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285" yWindow="360" windowWidth="14895" windowHeight="11640" activeTab="1"/>
  </bookViews>
  <sheets>
    <sheet name="nechrti seznam" sheetId="1" r:id="rId1"/>
    <sheet name="chrti seznam" sheetId="2" r:id="rId2"/>
    <sheet name="náklady_výdaje" sheetId="3" r:id="rId3"/>
    <sheet name="statistika" sheetId="4" r:id="rId4"/>
  </sheets>
  <definedNames>
    <definedName name="_xlnm._FilterDatabase" localSheetId="0" hidden="1">'nechrti seznam'!$A$1:$J$1</definedName>
  </definedNames>
  <calcPr calcId="145621"/>
</workbook>
</file>

<file path=xl/calcChain.xml><?xml version="1.0" encoding="utf-8"?>
<calcChain xmlns="http://schemas.openxmlformats.org/spreadsheetml/2006/main">
  <c r="D27" i="3" l="1"/>
  <c r="M81" i="2"/>
  <c r="D31" i="4"/>
  <c r="C31" i="4"/>
  <c r="D30" i="4"/>
  <c r="D29" i="4"/>
  <c r="B30" i="4"/>
  <c r="C30" i="4"/>
  <c r="C29" i="4"/>
  <c r="D27" i="4"/>
  <c r="C27" i="4"/>
  <c r="B29" i="4"/>
  <c r="B27" i="4"/>
  <c r="D26" i="4"/>
  <c r="C26" i="4"/>
  <c r="B26" i="4"/>
  <c r="M11" i="2"/>
  <c r="M65" i="1"/>
  <c r="M80" i="2"/>
  <c r="M61" i="1"/>
  <c r="M23" i="2"/>
  <c r="M15" i="2"/>
  <c r="M53" i="2"/>
  <c r="M21" i="2"/>
  <c r="M36" i="2"/>
  <c r="M56" i="2"/>
  <c r="M8" i="2"/>
  <c r="M9" i="2"/>
  <c r="M62" i="1"/>
  <c r="M33" i="1"/>
  <c r="M60" i="2"/>
  <c r="M57" i="2"/>
  <c r="M50" i="2"/>
  <c r="M37" i="2"/>
  <c r="M38" i="2"/>
  <c r="M49" i="2"/>
  <c r="M47" i="2"/>
  <c r="D24" i="4"/>
  <c r="C24" i="4"/>
  <c r="B24" i="4"/>
  <c r="D28" i="4"/>
  <c r="C28" i="4"/>
  <c r="B28" i="4"/>
  <c r="B31" i="4"/>
  <c r="M41" i="2"/>
  <c r="M43" i="2"/>
  <c r="M44" i="2"/>
  <c r="M19" i="2"/>
  <c r="M20" i="2"/>
  <c r="M39" i="2"/>
  <c r="M63" i="2"/>
  <c r="M52" i="2"/>
  <c r="F18" i="4"/>
  <c r="E13" i="4"/>
  <c r="E14" i="4"/>
  <c r="E4" i="4"/>
  <c r="E5" i="4"/>
  <c r="E6" i="4"/>
  <c r="E7" i="4"/>
  <c r="E8" i="4"/>
  <c r="E9" i="4"/>
  <c r="E10" i="4"/>
  <c r="E11" i="4"/>
  <c r="E12" i="4"/>
  <c r="E3" i="4"/>
  <c r="D25" i="4"/>
  <c r="D23" i="4"/>
  <c r="D22" i="4"/>
  <c r="D21" i="4"/>
  <c r="D20" i="4"/>
  <c r="C25" i="4"/>
  <c r="C23" i="4"/>
  <c r="C22" i="4"/>
  <c r="C21" i="4"/>
  <c r="C20" i="4"/>
  <c r="B25" i="4"/>
  <c r="B23" i="4"/>
  <c r="B22" i="4"/>
  <c r="B21" i="4"/>
  <c r="B20" i="4"/>
  <c r="D14" i="4"/>
  <c r="D13" i="4"/>
  <c r="D12" i="4"/>
  <c r="D11" i="4"/>
  <c r="D10" i="4"/>
  <c r="D9" i="4"/>
  <c r="D8" i="4"/>
  <c r="D7" i="4"/>
  <c r="D6" i="4"/>
  <c r="D5" i="4"/>
  <c r="D4" i="4"/>
  <c r="C14" i="4"/>
  <c r="C13" i="4"/>
  <c r="C12" i="4"/>
  <c r="C11" i="4"/>
  <c r="C10" i="4"/>
  <c r="C9" i="4"/>
  <c r="C8" i="4"/>
  <c r="C7" i="4"/>
  <c r="C6" i="4"/>
  <c r="C5" i="4"/>
  <c r="C4" i="4"/>
  <c r="C3" i="4"/>
  <c r="D3" i="4"/>
  <c r="B14" i="4"/>
  <c r="B13" i="4"/>
  <c r="B12" i="4"/>
  <c r="B11" i="4"/>
  <c r="B10" i="4"/>
  <c r="B9" i="4"/>
  <c r="B8" i="4"/>
  <c r="B7" i="4"/>
  <c r="B6" i="4"/>
  <c r="B5" i="4"/>
  <c r="B4" i="4"/>
  <c r="B3" i="4"/>
  <c r="M64" i="1"/>
  <c r="M51" i="2"/>
  <c r="M16" i="1"/>
  <c r="D43" i="3"/>
  <c r="D31" i="3"/>
  <c r="D22" i="3"/>
  <c r="D13" i="3"/>
  <c r="D47" i="3" s="1"/>
  <c r="M37" i="1"/>
  <c r="M78" i="2"/>
  <c r="M3" i="1"/>
  <c r="M5" i="1"/>
  <c r="M6" i="1"/>
  <c r="M7" i="1"/>
  <c r="M9" i="1"/>
  <c r="M10" i="1"/>
  <c r="M11" i="1"/>
  <c r="M12" i="1"/>
  <c r="M13" i="1"/>
  <c r="M14" i="1"/>
  <c r="M15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4" i="1"/>
  <c r="M35" i="1"/>
  <c r="M36" i="1"/>
  <c r="M38" i="1"/>
  <c r="M39" i="1"/>
  <c r="M40" i="1"/>
  <c r="M41" i="1"/>
  <c r="M42" i="1"/>
  <c r="M43" i="1"/>
  <c r="M44" i="1"/>
  <c r="M45" i="1"/>
  <c r="M46" i="1"/>
  <c r="M48" i="1"/>
  <c r="M49" i="1"/>
  <c r="M50" i="1"/>
  <c r="M51" i="1"/>
  <c r="M54" i="1"/>
  <c r="M55" i="1"/>
  <c r="M56" i="1"/>
  <c r="M57" i="1"/>
  <c r="M63" i="1"/>
  <c r="M2" i="1"/>
  <c r="M46" i="2"/>
  <c r="M42" i="2"/>
  <c r="M62" i="2"/>
  <c r="M3" i="2"/>
  <c r="M2" i="2"/>
  <c r="M70" i="2"/>
  <c r="M71" i="2"/>
  <c r="M79" i="2"/>
  <c r="M64" i="2"/>
  <c r="M65" i="2"/>
  <c r="M40" i="2"/>
  <c r="M28" i="2"/>
  <c r="M22" i="2"/>
  <c r="M13" i="2"/>
  <c r="M10" i="2"/>
  <c r="M12" i="2"/>
  <c r="M14" i="2"/>
  <c r="M16" i="2"/>
  <c r="M17" i="2"/>
  <c r="M18" i="2"/>
  <c r="M24" i="2"/>
  <c r="M25" i="2"/>
  <c r="M26" i="2"/>
  <c r="M27" i="2"/>
  <c r="M29" i="2"/>
  <c r="M30" i="2"/>
  <c r="M31" i="2"/>
  <c r="M32" i="2"/>
  <c r="M33" i="2"/>
  <c r="M34" i="2"/>
  <c r="M35" i="2"/>
  <c r="M45" i="2"/>
  <c r="M48" i="2"/>
  <c r="M54" i="2"/>
  <c r="M55" i="2"/>
  <c r="M58" i="2"/>
  <c r="M59" i="2"/>
  <c r="M61" i="2"/>
  <c r="M66" i="2"/>
  <c r="M67" i="2"/>
  <c r="M68" i="2"/>
  <c r="M69" i="2"/>
  <c r="M74" i="2"/>
  <c r="M75" i="2"/>
  <c r="M76" i="2"/>
  <c r="M77" i="2"/>
  <c r="M7" i="2"/>
  <c r="M6" i="2"/>
  <c r="J92" i="2"/>
  <c r="C4" i="3" s="1"/>
  <c r="I92" i="2"/>
  <c r="B4" i="3" s="1"/>
  <c r="J68" i="1"/>
  <c r="C3" i="3" s="1"/>
  <c r="D33" i="4" l="1"/>
  <c r="B33" i="4"/>
  <c r="C33" i="4"/>
  <c r="E24" i="4"/>
  <c r="E28" i="4"/>
  <c r="E20" i="4"/>
  <c r="E22" i="4"/>
  <c r="E25" i="4"/>
  <c r="E21" i="4"/>
  <c r="E23" i="4"/>
  <c r="E26" i="4"/>
  <c r="E27" i="4"/>
  <c r="E29" i="4"/>
  <c r="E30" i="4"/>
  <c r="E31" i="4"/>
  <c r="F2" i="4"/>
  <c r="D4" i="3"/>
  <c r="C5" i="3"/>
  <c r="M3" i="3"/>
  <c r="I94" i="2"/>
  <c r="I68" i="1"/>
  <c r="E18" i="4" l="1"/>
  <c r="I70" i="1"/>
  <c r="B3" i="3"/>
  <c r="D3" i="3" l="1"/>
  <c r="D5" i="3" s="1"/>
  <c r="M2" i="3" s="1"/>
  <c r="M5" i="3" s="1"/>
  <c r="B5" i="3"/>
</calcChain>
</file>

<file path=xl/sharedStrings.xml><?xml version="1.0" encoding="utf-8"?>
<sst xmlns="http://schemas.openxmlformats.org/spreadsheetml/2006/main" count="1570" uniqueCount="681">
  <si>
    <t>Z</t>
  </si>
  <si>
    <t>Abby</t>
  </si>
  <si>
    <t>L</t>
  </si>
  <si>
    <t>Holíková</t>
  </si>
  <si>
    <t> Knírač malý</t>
  </si>
  <si>
    <t> Fena</t>
  </si>
  <si>
    <t> Kolie krátkosrstá</t>
  </si>
  <si>
    <t>Atilla Aboriginal Mystery</t>
  </si>
  <si>
    <t> Belgický ovčák Tervueren</t>
  </si>
  <si>
    <t>Aston Martin Cherry Grove</t>
  </si>
  <si>
    <t> Parson Russell Teriér</t>
  </si>
  <si>
    <t>Azgiria Bella di Zucchero</t>
  </si>
  <si>
    <t> Dalmatin</t>
  </si>
  <si>
    <t>Ramona ze Západní stráně</t>
  </si>
  <si>
    <t> Kavalír King Charles španěl</t>
  </si>
  <si>
    <t>Estelle Black z Šostýnského podhradí</t>
  </si>
  <si>
    <t>Capone Tapka</t>
  </si>
  <si>
    <t>Lyla Cerny Faun</t>
  </si>
  <si>
    <t>Jess</t>
  </si>
  <si>
    <t> Kříženec</t>
  </si>
  <si>
    <t>Sofie</t>
  </si>
  <si>
    <t>Dear Sophie Little Soulmate</t>
  </si>
  <si>
    <t> West Highland White Terrier</t>
  </si>
  <si>
    <t>Faith Little Soulmate</t>
  </si>
  <si>
    <t>Guliver of Mine Little Soulmate</t>
  </si>
  <si>
    <t>Lolita</t>
  </si>
  <si>
    <t> Pražský krysařík</t>
  </si>
  <si>
    <t>Casius Black machine</t>
  </si>
  <si>
    <t> Stafordšírský bullterier</t>
  </si>
  <si>
    <t>Agehya Cinderella's Ranch</t>
  </si>
  <si>
    <t> Australský ovčák</t>
  </si>
  <si>
    <t>Faun von Lecstein</t>
  </si>
  <si>
    <t> Výmarský ohař</t>
  </si>
  <si>
    <t>Charli</t>
  </si>
  <si>
    <t> Border kolie</t>
  </si>
  <si>
    <t>Amelie London´s Brandy</t>
  </si>
  <si>
    <t> Jack Russell Teriér</t>
  </si>
  <si>
    <t>Amie Belle z Českého Dvora</t>
  </si>
  <si>
    <t>Cesmína Malý vousáček</t>
  </si>
  <si>
    <t> Bearded kolie</t>
  </si>
  <si>
    <t>Arisa Black Silesia Antracit</t>
  </si>
  <si>
    <t>Desiré Secure Power</t>
  </si>
  <si>
    <t>Arton ze Židenických zahrad</t>
  </si>
  <si>
    <t>Brutus Týnská hora</t>
  </si>
  <si>
    <t> Landseer</t>
  </si>
  <si>
    <t>Bonela Last of Mohycan</t>
  </si>
  <si>
    <t>Arnie z Čertova poupěte</t>
  </si>
  <si>
    <t>Hermínek Henri NIkippé</t>
  </si>
  <si>
    <t>Debora Danarny</t>
  </si>
  <si>
    <t>Batty Vera Gopo</t>
  </si>
  <si>
    <t>Cariňo SAPA INKA</t>
  </si>
  <si>
    <t>Cayo SAPA INKA</t>
  </si>
  <si>
    <t>Sabinka</t>
  </si>
  <si>
    <t> Bílý švýcarský ovčák</t>
  </si>
  <si>
    <t>Kaila</t>
  </si>
  <si>
    <t>Awesome of Magic Border's</t>
  </si>
  <si>
    <t>Milky Way Tricolor Diamond</t>
  </si>
  <si>
    <t> Beagle</t>
  </si>
  <si>
    <t>Joesset Tricolor Diamond</t>
  </si>
  <si>
    <t>Otka Spero meliora- alias Týna</t>
  </si>
  <si>
    <t>Xanto</t>
  </si>
  <si>
    <t>Danja Lovely Face</t>
  </si>
  <si>
    <t> Maďarský ohař krátkosrstý</t>
  </si>
  <si>
    <t>Ashley Shakarri Afryea</t>
  </si>
  <si>
    <t> Rhodézský ridgeback</t>
  </si>
  <si>
    <t>Keks</t>
  </si>
  <si>
    <t>Amy</t>
  </si>
  <si>
    <t>Goldie</t>
  </si>
  <si>
    <t> Bullterier</t>
  </si>
  <si>
    <t>Baraka</t>
  </si>
  <si>
    <t>Azaele SebLor</t>
  </si>
  <si>
    <t>Attaie Seblor</t>
  </si>
  <si>
    <t>Copper Mereva</t>
  </si>
  <si>
    <t> Beauceron</t>
  </si>
  <si>
    <t>Fantine Ann z Valdštejsnkých lip</t>
  </si>
  <si>
    <t>Buket Bohemia original</t>
  </si>
  <si>
    <t>Sam</t>
  </si>
  <si>
    <t> Trpasličí pinč</t>
  </si>
  <si>
    <t>Alfonso de la Amorrada Mágica</t>
  </si>
  <si>
    <t> Foxterier hladkosrstý</t>
  </si>
  <si>
    <t>Dorica de la Amorrada Mágica</t>
  </si>
  <si>
    <t> Peruánský naháč malý</t>
  </si>
  <si>
    <t>Cyrano Milthon Bohemia</t>
  </si>
  <si>
    <t>F/P</t>
  </si>
  <si>
    <t xml:space="preserve">FCI </t>
  </si>
  <si>
    <t>II</t>
  </si>
  <si>
    <t>I</t>
  </si>
  <si>
    <t>III</t>
  </si>
  <si>
    <t>VI</t>
  </si>
  <si>
    <t>IX</t>
  </si>
  <si>
    <t>V</t>
  </si>
  <si>
    <t>CO</t>
  </si>
  <si>
    <t>JMÉNO</t>
  </si>
  <si>
    <t>PLEMENO</t>
  </si>
  <si>
    <t>POZNÁMKA</t>
  </si>
  <si>
    <t>PLATBA</t>
  </si>
  <si>
    <t>ČÍSLO</t>
  </si>
  <si>
    <t>BPP M</t>
  </si>
  <si>
    <t>BPP V</t>
  </si>
  <si>
    <t>VII</t>
  </si>
  <si>
    <t xml:space="preserve"> Rhodéský ridgeback</t>
  </si>
  <si>
    <t xml:space="preserve"> Stafordšírský bullterier</t>
  </si>
  <si>
    <t>LICENCE</t>
  </si>
  <si>
    <t xml:space="preserve"> Irský Teriér</t>
  </si>
  <si>
    <t>Aiša Vydří</t>
  </si>
  <si>
    <t>doplatit</t>
  </si>
  <si>
    <t>zaplaceno</t>
  </si>
  <si>
    <t>Prita</t>
  </si>
  <si>
    <t>T</t>
  </si>
  <si>
    <t>klara.lindovska@seznam.cz</t>
  </si>
  <si>
    <t>Mister Gabbana Good To See You</t>
  </si>
  <si>
    <t> Vipet</t>
  </si>
  <si>
    <t>Fierce Fireball Blaze</t>
  </si>
  <si>
    <t>Mister Dolce Good To See You</t>
  </si>
  <si>
    <t>Gordon Isis Wind</t>
  </si>
  <si>
    <t>Cornell Frajanka</t>
  </si>
  <si>
    <t>Good Lucky Bart by Libami</t>
  </si>
  <si>
    <t>Fine Design Petula-Vera</t>
  </si>
  <si>
    <t> Basenji</t>
  </si>
  <si>
    <t>Casablanca Di Sangue Regale</t>
  </si>
  <si>
    <t> Italský chrtík</t>
  </si>
  <si>
    <t>Alwin Trixtan</t>
  </si>
  <si>
    <t>LUNA LUCRETIA Quindici</t>
  </si>
  <si>
    <t>ZUELLA Gorzowska Panorama (FCI)</t>
  </si>
  <si>
    <t>Abia Asma Annaperla</t>
  </si>
  <si>
    <t>Giorgina Annaperla</t>
  </si>
  <si>
    <t>Cebiscuit Valentine Dogs</t>
  </si>
  <si>
    <t>About Face Valentine Dogs</t>
  </si>
  <si>
    <t>Bibianne Trixtan</t>
  </si>
  <si>
    <t>Kucorgó-Dombi Imola</t>
  </si>
  <si>
    <t> Maďarský chrt</t>
  </si>
  <si>
    <t>Aerobomba Assetto Corse</t>
  </si>
  <si>
    <t>Yvet Feritte Bugsy</t>
  </si>
  <si>
    <t>Abracadabra Camino Bianca</t>
  </si>
  <si>
    <t>Aristo Camino Bianca</t>
  </si>
  <si>
    <t>Ámhra Cnoc Áine</t>
  </si>
  <si>
    <t>Fly With Style Afrikata</t>
  </si>
  <si>
    <t>Garissa Njara Lady Congo</t>
  </si>
  <si>
    <t>Ozzy Paluduz</t>
  </si>
  <si>
    <t>Buster Annaperla</t>
  </si>
  <si>
    <t>Bikilu Kandali Santon</t>
  </si>
  <si>
    <t>Giom Bohemia Snap Dog</t>
  </si>
  <si>
    <t>Cooper Mini Rhoderick Sodar</t>
  </si>
  <si>
    <t>Abuluka Godogodo</t>
  </si>
  <si>
    <t>Jelizaveta Bistkupstwo</t>
  </si>
  <si>
    <t>Angua Izironk</t>
  </si>
  <si>
    <t>Erlina Caen Morhen</t>
  </si>
  <si>
    <t>ESSERINO Annaperla</t>
  </si>
  <si>
    <t>EARLEEN Annaperla</t>
  </si>
  <si>
    <t>Ankh Anubis Temple of Sachmet</t>
  </si>
  <si>
    <t>Arachne Temple of Sachmet</t>
  </si>
  <si>
    <t>Unique z Hedvábí</t>
  </si>
  <si>
    <t>Alejandro Doozy</t>
  </si>
  <si>
    <t>JMÉNO PSA</t>
  </si>
  <si>
    <t>P/F</t>
  </si>
  <si>
    <t>DOPLATIT</t>
  </si>
  <si>
    <t>rovinka</t>
  </si>
  <si>
    <t>NA MÍSTĚ</t>
  </si>
  <si>
    <t>SPONZOR</t>
  </si>
  <si>
    <t>Aaron Charlie of Tommys Home</t>
  </si>
  <si>
    <t>Agate Zuli of Silken Grace</t>
  </si>
  <si>
    <t>Falstaff Nijinski Ballet</t>
  </si>
  <si>
    <t>Benjamín Yellow Treatures</t>
  </si>
  <si>
    <t>Chuligan od Hněvína</t>
  </si>
  <si>
    <t>Asha Trixtan</t>
  </si>
  <si>
    <t>datum narození</t>
  </si>
  <si>
    <t>věk</t>
  </si>
  <si>
    <t>č.licence</t>
  </si>
  <si>
    <t>tel</t>
  </si>
  <si>
    <t>email</t>
  </si>
  <si>
    <t>země</t>
  </si>
  <si>
    <t>ČR</t>
  </si>
  <si>
    <t>pavlinahalmaznova@seznam.cz</t>
  </si>
  <si>
    <t>kryceroval@seznam.cz</t>
  </si>
  <si>
    <t>ozzychias@seznam.cz</t>
  </si>
  <si>
    <t>CMKU B 589/14</t>
  </si>
  <si>
    <t>SR</t>
  </si>
  <si>
    <t>ztichabantu@atlas.cz</t>
  </si>
  <si>
    <t>ynoveska@savio.cz</t>
  </si>
  <si>
    <t>ČMKU BSN 295/11</t>
  </si>
  <si>
    <t>laylah@volny.cz</t>
  </si>
  <si>
    <t>klimekpetr2@seznam.cz</t>
  </si>
  <si>
    <t>eva.s.l@seznam.cz</t>
  </si>
  <si>
    <t>ČMKU IW 667/14</t>
  </si>
  <si>
    <t>ajahelkova@atlas.cz</t>
  </si>
  <si>
    <t>renata@mildner.cz</t>
  </si>
  <si>
    <t>plní</t>
  </si>
  <si>
    <t>a.ohnoutkova@volny.cz</t>
  </si>
  <si>
    <t>tangla@seznam.cz</t>
  </si>
  <si>
    <t>CMKU IT 291/11</t>
  </si>
  <si>
    <t xml:space="preserve">  30.1.2014</t>
  </si>
  <si>
    <t>jiri.svestka@email.cz</t>
  </si>
  <si>
    <t>helseb@seznam.cz</t>
  </si>
  <si>
    <t>ČMKU IT 601/14</t>
  </si>
  <si>
    <t>szadkowskagata@gmail.com</t>
  </si>
  <si>
    <t>PL</t>
  </si>
  <si>
    <t>ČMKU IT 600/14</t>
  </si>
  <si>
    <t>Iveta.plickova@email.cz</t>
  </si>
  <si>
    <t>denisamachu@seznam.cz</t>
  </si>
  <si>
    <t>ČMKU IT 183/10</t>
  </si>
  <si>
    <t>ani.langos@seznam.cz</t>
  </si>
  <si>
    <t>ČMKU WH 665/14</t>
  </si>
  <si>
    <t>zapkr@seznam.cz</t>
  </si>
  <si>
    <t>mtossatossa@gmail.com</t>
  </si>
  <si>
    <t>VercaPG@gmail.com</t>
  </si>
  <si>
    <t>bengordon@wbl.sk</t>
  </si>
  <si>
    <t>CMKU WH 662/14</t>
  </si>
  <si>
    <t>Fantastic Champagne</t>
  </si>
  <si>
    <t xml:space="preserve"> vipet</t>
  </si>
  <si>
    <t>Bahirra Juwel von Persien</t>
  </si>
  <si>
    <t xml:space="preserve">Z </t>
  </si>
  <si>
    <t>Barnabáš Verona Sunrise</t>
  </si>
  <si>
    <t>Ferrari Beami Šahrak (Denis)</t>
  </si>
  <si>
    <t>Blue Effect Valentine Dogs</t>
  </si>
  <si>
    <t>Moira Ayort Back</t>
  </si>
  <si>
    <t>Cariam Valentine Dogs</t>
  </si>
  <si>
    <t>N</t>
  </si>
  <si>
    <t>Adélka Zli-Rů</t>
  </si>
  <si>
    <t xml:space="preserve"> Český strakatý pes</t>
  </si>
  <si>
    <t xml:space="preserve">  merienn71@seznam.cz</t>
  </si>
  <si>
    <t>baykulova@seznam.cz</t>
  </si>
  <si>
    <t>whippet.petula.vera@seznam.cz</t>
  </si>
  <si>
    <t>Kamila.Vasickova@seznam.cz</t>
  </si>
  <si>
    <t>verca.dolezelova@seznam.cz</t>
  </si>
  <si>
    <t>IW 651/14</t>
  </si>
  <si>
    <t>chupekovakatarina@gmail.com</t>
  </si>
  <si>
    <t>SK</t>
  </si>
  <si>
    <t>hanavaleo@seznam.cz</t>
  </si>
  <si>
    <t>ČMKU WH 674/14</t>
  </si>
  <si>
    <t>ČMKU WH 894/08</t>
  </si>
  <si>
    <t>ČMKU WH 420/12</t>
  </si>
  <si>
    <t>bohumila.hanacikova@gmail.com</t>
  </si>
  <si>
    <t>radka.jersakova@seznam.cz</t>
  </si>
  <si>
    <t>ČMKU WH 349/11</t>
  </si>
  <si>
    <t>lad.janis@seznam.cz</t>
  </si>
  <si>
    <t>ČMKU WH 388/12</t>
  </si>
  <si>
    <t>ANEMCOVA@atlas.cz</t>
  </si>
  <si>
    <t>ČMKU DV 166/10</t>
  </si>
  <si>
    <t>ČMKU DV 342/11</t>
  </si>
  <si>
    <t>CMKU DV 562/13</t>
  </si>
  <si>
    <t>solo</t>
  </si>
  <si>
    <t>511/13</t>
  </si>
  <si>
    <t>561/13</t>
  </si>
  <si>
    <t>ČMKU  AF 682/14</t>
  </si>
  <si>
    <t>vero16@seznam.cz</t>
  </si>
  <si>
    <t>evik.konecna@gmail.com</t>
  </si>
  <si>
    <t>ČP N 06/2013</t>
  </si>
  <si>
    <t>irena.nemcova@email.cz</t>
  </si>
  <si>
    <t>sofulin@seznam.cz</t>
  </si>
  <si>
    <t>ČP N 73/2014</t>
  </si>
  <si>
    <t>jansky.radek@seznam.cz</t>
  </si>
  <si>
    <t>paradoxys@seznam.cz</t>
  </si>
  <si>
    <t>CMKU IT 675/14</t>
  </si>
  <si>
    <t>příjem:</t>
  </si>
  <si>
    <t>nechrti</t>
  </si>
  <si>
    <t>chrti</t>
  </si>
  <si>
    <t>předem</t>
  </si>
  <si>
    <t>na místě</t>
  </si>
  <si>
    <t>celkem</t>
  </si>
  <si>
    <t>náklady:</t>
  </si>
  <si>
    <t>TECHNIKA</t>
  </si>
  <si>
    <t xml:space="preserve"> - cesta</t>
  </si>
  <si>
    <t xml:space="preserve"> - práce</t>
  </si>
  <si>
    <t>UBYTOVÁNÍ</t>
  </si>
  <si>
    <t>ROZHODČÍ</t>
  </si>
  <si>
    <t>Pavel</t>
  </si>
  <si>
    <t>Jana</t>
  </si>
  <si>
    <t>poznámka</t>
  </si>
  <si>
    <t>JH, Milan, Jana, AnnaF, Vet, + ?</t>
  </si>
  <si>
    <t>oběd</t>
  </si>
  <si>
    <t>AnnaF</t>
  </si>
  <si>
    <t>oběd 2x, ubytko výše</t>
  </si>
  <si>
    <t>cesta</t>
  </si>
  <si>
    <t>oběd 2x, ubytko výše, cesta, odměna...</t>
  </si>
  <si>
    <t>Johana</t>
  </si>
  <si>
    <t>BRIGÁDNÍCI</t>
  </si>
  <si>
    <t>Denisa</t>
  </si>
  <si>
    <t>Alenka</t>
  </si>
  <si>
    <t xml:space="preserve"> + další otrokáři</t>
  </si>
  <si>
    <t>asi startovné, oběd, drobné na přilepšenou</t>
  </si>
  <si>
    <t>odhad dle aktuálního stavu</t>
  </si>
  <si>
    <t>VETERINÁŘ</t>
  </si>
  <si>
    <t>Markéta</t>
  </si>
  <si>
    <t>odměna</t>
  </si>
  <si>
    <t>CENY</t>
  </si>
  <si>
    <t>víno</t>
  </si>
  <si>
    <t xml:space="preserve"> - nechrti</t>
  </si>
  <si>
    <t xml:space="preserve"> - chrti</t>
  </si>
  <si>
    <t>poháry, kokardy, jiné ceny</t>
  </si>
  <si>
    <t>dečky, šerpy</t>
  </si>
  <si>
    <t>diplomy</t>
  </si>
  <si>
    <t>tisk</t>
  </si>
  <si>
    <t>pamlsky, granule</t>
  </si>
  <si>
    <t>.... Co já vím</t>
  </si>
  <si>
    <t>50-100 kč * počet kusů</t>
  </si>
  <si>
    <t>celkem náklady</t>
  </si>
  <si>
    <t>bilance:</t>
  </si>
  <si>
    <t>příjem</t>
  </si>
  <si>
    <t>výdaj</t>
  </si>
  <si>
    <t>cca</t>
  </si>
  <si>
    <t xml:space="preserve"> </t>
  </si>
  <si>
    <t>hrubý odhad</t>
  </si>
  <si>
    <t>michal.andrys@seznam.cz</t>
  </si>
  <si>
    <t>lorelaix@seznam.cz</t>
  </si>
  <si>
    <t>martanx77@seznam.cz</t>
  </si>
  <si>
    <t>monamonamonamona@seznam.cz</t>
  </si>
  <si>
    <t>brzochod@gmail.com</t>
  </si>
  <si>
    <t>ČP N 66/2014</t>
  </si>
  <si>
    <t>leona.kubeckova@centrum.cz</t>
  </si>
  <si>
    <t>beardieeva@beardieeva.cz</t>
  </si>
  <si>
    <t>jirina.kuzelova@seznam.cz</t>
  </si>
  <si>
    <t>CMKU/BD/482/11</t>
  </si>
  <si>
    <t>holikovadasa@seznam.cz</t>
  </si>
  <si>
    <t>AnnieF@seznam.cz</t>
  </si>
  <si>
    <t>CMKU/BC/540/11</t>
  </si>
  <si>
    <t>VlastaHofirkova@seznam.cz</t>
  </si>
  <si>
    <t>petulets@seznam.cz</t>
  </si>
  <si>
    <t>vl.ad@email.cz</t>
  </si>
  <si>
    <t>Kesy - Aida ze Židenických zahrad</t>
  </si>
  <si>
    <t>zezidenickychzahrad@gmail.com</t>
  </si>
  <si>
    <t>ewen.wt@gmail.com</t>
  </si>
  <si>
    <t>binkova.jan@seznam.cz</t>
  </si>
  <si>
    <t>BorivojBohanus@seznam.cz</t>
  </si>
  <si>
    <t>ČMKU WH 170/10</t>
  </si>
  <si>
    <t>Myron Ayort Back</t>
  </si>
  <si>
    <t>ČMKU WH 60/09</t>
  </si>
  <si>
    <t>ČLP/FXH/619/12</t>
  </si>
  <si>
    <t>ČLP/FXH/618/12</t>
  </si>
  <si>
    <t>mramixx@seznam.cz</t>
  </si>
  <si>
    <t>pavelkova.i@email.cz</t>
  </si>
  <si>
    <t>beerova5@seznam.cz</t>
  </si>
  <si>
    <t>monulin@email.cz</t>
  </si>
  <si>
    <t>lenka.mato@post.cz</t>
  </si>
  <si>
    <t>mishel@q7.sk</t>
  </si>
  <si>
    <t>CLP/PRT/402/10</t>
  </si>
  <si>
    <t>CLP/PRT/533/11</t>
  </si>
  <si>
    <t>chachka@centrum.cz</t>
  </si>
  <si>
    <t>ČLP/PRT/547/11</t>
  </si>
  <si>
    <t>Double Barrel´s Sharp Shot Image</t>
  </si>
  <si>
    <t>martinkova.gabriela@seznam.cz</t>
  </si>
  <si>
    <t>ČP III 02/2013</t>
  </si>
  <si>
    <t>ČP III 03/2013</t>
  </si>
  <si>
    <t>ČP III 22/2013</t>
  </si>
  <si>
    <t>ČP IX 47/2013</t>
  </si>
  <si>
    <t>marketrehacek@gmail.com</t>
  </si>
  <si>
    <t>cendicina@seznam.cz</t>
  </si>
  <si>
    <t>ČP IX 46/2013</t>
  </si>
  <si>
    <t>preisingerova.r@kapitol.cz</t>
  </si>
  <si>
    <t>CMKU/PEN/616/12</t>
  </si>
  <si>
    <t>CMKU/PEN/615/12</t>
  </si>
  <si>
    <t>s.skarkova@seznam.cz</t>
  </si>
  <si>
    <t>bartos.adam@email.cz</t>
  </si>
  <si>
    <t>ČLP/RR/588/12</t>
  </si>
  <si>
    <t>ticha@pef.czu.cz</t>
  </si>
  <si>
    <t>lucia.havrlentova@seznam.cz</t>
  </si>
  <si>
    <t>hkirnigova@centrum.cz</t>
  </si>
  <si>
    <t>monni2@volny.cz</t>
  </si>
  <si>
    <t>bm.barbora.mala@seznam.cz</t>
  </si>
  <si>
    <t>ilona.macakova@seznam.cz</t>
  </si>
  <si>
    <t>danek.josef@email.cz</t>
  </si>
  <si>
    <t>adelajne@centrum.cz</t>
  </si>
  <si>
    <t>micova.denisa@seznam.cz</t>
  </si>
  <si>
    <t>cenkova.eva@seznam.cz</t>
  </si>
  <si>
    <t>ČP N 116/2014</t>
  </si>
  <si>
    <t>NReg/CSP/564/12</t>
  </si>
  <si>
    <t>ČMKU IT 673/14</t>
  </si>
  <si>
    <t>FCI I</t>
  </si>
  <si>
    <t>FCI II</t>
  </si>
  <si>
    <t>FCI III</t>
  </si>
  <si>
    <t>FCI IV</t>
  </si>
  <si>
    <t>FCI V</t>
  </si>
  <si>
    <t>FCI VI</t>
  </si>
  <si>
    <t>FCI VII</t>
  </si>
  <si>
    <t>FCI VIII</t>
  </si>
  <si>
    <t>FCI IX</t>
  </si>
  <si>
    <t>FCI N</t>
  </si>
  <si>
    <t xml:space="preserve">psi </t>
  </si>
  <si>
    <t>feny</t>
  </si>
  <si>
    <t>mix</t>
  </si>
  <si>
    <t>Pes</t>
  </si>
  <si>
    <t>Fena</t>
  </si>
  <si>
    <t>afgánský chrt</t>
  </si>
  <si>
    <t>barzoj</t>
  </si>
  <si>
    <t>basenji</t>
  </si>
  <si>
    <t>faraonský pes</t>
  </si>
  <si>
    <t>irský vlkodav</t>
  </si>
  <si>
    <t>italský chrtík</t>
  </si>
  <si>
    <t>italský chrtík sprinter</t>
  </si>
  <si>
    <t>vipet</t>
  </si>
  <si>
    <t>vipet sprinter</t>
  </si>
  <si>
    <t>vipet dlouhosrstý</t>
  </si>
  <si>
    <t>Afgánský chrt</t>
  </si>
  <si>
    <t>Barzoj</t>
  </si>
  <si>
    <t>Basenji</t>
  </si>
  <si>
    <t>Faraónský pes</t>
  </si>
  <si>
    <t>Irský vlkodav</t>
  </si>
  <si>
    <t>Italský chrtík</t>
  </si>
  <si>
    <t>Vipet</t>
  </si>
  <si>
    <t>ČMKU IW 685/14</t>
  </si>
  <si>
    <t>ČMKU IW 686/14</t>
  </si>
  <si>
    <t>mix FCI I F</t>
  </si>
  <si>
    <t>mix FCI I P</t>
  </si>
  <si>
    <t>mix FCI III F</t>
  </si>
  <si>
    <t xml:space="preserve">mix FCI II </t>
  </si>
  <si>
    <t>mix FCI III P</t>
  </si>
  <si>
    <t>west mix</t>
  </si>
  <si>
    <t>pena P</t>
  </si>
  <si>
    <t>mix FCI VI F</t>
  </si>
  <si>
    <t>ridgeback mix</t>
  </si>
  <si>
    <t>FCI VII F</t>
  </si>
  <si>
    <t>kavalír mix</t>
  </si>
  <si>
    <t>krysařík mix</t>
  </si>
  <si>
    <t>FCI N F</t>
  </si>
  <si>
    <t>BPP M F</t>
  </si>
  <si>
    <t>BPP M P</t>
  </si>
  <si>
    <t>BPP V mix</t>
  </si>
  <si>
    <t>CACT</t>
  </si>
  <si>
    <t>Mistři Moravy</t>
  </si>
  <si>
    <t>hilalova@email.cz</t>
  </si>
  <si>
    <t>ČMKU WH 658/14</t>
  </si>
  <si>
    <t>Daddy Cool Sunny Funny</t>
  </si>
  <si>
    <t>sima.kosorin@post.cz</t>
  </si>
  <si>
    <t>Uncle Teddy z Úplňku</t>
  </si>
  <si>
    <t>ČMKU WH 500/13</t>
  </si>
  <si>
    <t>499/13</t>
  </si>
  <si>
    <t>l.sevcikova@chello.cz</t>
  </si>
  <si>
    <t>ČMKU WH 129/10</t>
  </si>
  <si>
    <t>Aguillera Teqamba</t>
  </si>
  <si>
    <t>Ta´zim Gehna Gazalah</t>
  </si>
  <si>
    <t>Saluki</t>
  </si>
  <si>
    <t>beba.flakova@gmail.com</t>
  </si>
  <si>
    <t>Jarvis Aston Riuna</t>
  </si>
  <si>
    <t>Jingle Bells Riuna</t>
  </si>
  <si>
    <t>Greyhound</t>
  </si>
  <si>
    <t>dufca@centrum.cz</t>
  </si>
  <si>
    <t>Rakija Pagawa</t>
  </si>
  <si>
    <t>Sweet Mimi Pagawa</t>
  </si>
  <si>
    <t>i.nahalewicz@hotmail.com</t>
  </si>
  <si>
    <t>Icy Flower Bohemia Snap Dog</t>
  </si>
  <si>
    <t>WH 311/11</t>
  </si>
  <si>
    <t>greyhound</t>
  </si>
  <si>
    <t>saluki</t>
  </si>
  <si>
    <t>MichalikovaAdriana@seznam.cz</t>
  </si>
  <si>
    <t>Celina Al Zahra</t>
  </si>
  <si>
    <t>Goli Golbahar Danone</t>
  </si>
  <si>
    <t>ČMKU AF 687/14</t>
  </si>
  <si>
    <t>kahankova@pansped.cz</t>
  </si>
  <si>
    <t>ČMKU SA 591/14</t>
  </si>
  <si>
    <t>ČMKU SA 683/14</t>
  </si>
  <si>
    <t>Bahír Gasan Czatyrdach</t>
  </si>
  <si>
    <t>ČMKU BSN 618/14</t>
  </si>
  <si>
    <t>ČMKU WH 655/14</t>
  </si>
  <si>
    <t>nijinski@centrum.cz</t>
  </si>
  <si>
    <t>Fenomenon Nijinski Ballet</t>
  </si>
  <si>
    <t>Fascinacia Nijinski Ballet</t>
  </si>
  <si>
    <t>CMKU/B 546/13</t>
  </si>
  <si>
    <t>CMKU/B 545/13</t>
  </si>
  <si>
    <t>Jabulani Bohemia Snap Dog</t>
  </si>
  <si>
    <t>ČMKU WH 442/12</t>
  </si>
  <si>
    <t>ČMKU IT 471/13</t>
  </si>
  <si>
    <t>ČMKU FC 622/14</t>
  </si>
  <si>
    <t>ČMKU FC 278/11</t>
  </si>
  <si>
    <t>SOPISCO EVA KARADHRAS</t>
  </si>
  <si>
    <t>ewavaevictis@gmail.com</t>
  </si>
  <si>
    <t>A MAN FOR EVERY DAY OF THE WEEK</t>
  </si>
  <si>
    <t>linea.poczta@gmail.com</t>
  </si>
  <si>
    <t>Kewpie Černý faun</t>
  </si>
  <si>
    <t>aliceg@email.cz</t>
  </si>
  <si>
    <t>parson psi</t>
  </si>
  <si>
    <t>parson feny</t>
  </si>
  <si>
    <t>Legenda Russia z Bilmy</t>
  </si>
  <si>
    <t>ČMKU/b/30011/11</t>
  </si>
  <si>
    <t>hojnaan@seznam.cz</t>
  </si>
  <si>
    <t>Brixie Trixtan</t>
  </si>
  <si>
    <t>llancer@centrum.cz</t>
  </si>
  <si>
    <t>CMKU WH 590/14</t>
  </si>
  <si>
    <t xml:space="preserve">FANGIO FAMOSO TREDICI  </t>
  </si>
  <si>
    <t>SPKP 186</t>
  </si>
  <si>
    <t>cribalza@gmail.com</t>
  </si>
  <si>
    <t>ČMKU WH 676/14</t>
  </si>
  <si>
    <t>Elaine BALFAMA</t>
  </si>
  <si>
    <t>Eli.r@seznam.cz</t>
  </si>
  <si>
    <t>Angel face Rhoderick Sodar</t>
  </si>
  <si>
    <t>kubovaz@seznam.cz</t>
  </si>
  <si>
    <t>ČMKU WH 547/13</t>
  </si>
  <si>
    <t>Daboya Kwilu Lady Congo</t>
  </si>
  <si>
    <t>Haduwik Moonvillage</t>
  </si>
  <si>
    <t>dubnova@seznam.cz</t>
  </si>
  <si>
    <t>CMKU IW 362/12</t>
  </si>
  <si>
    <t>Blue Briliant Kaskarak</t>
  </si>
  <si>
    <t>alena.palarcova@gmail.com</t>
  </si>
  <si>
    <t>TRÉNINK</t>
  </si>
  <si>
    <t>chce platit k 3.11.</t>
  </si>
  <si>
    <t>X</t>
  </si>
  <si>
    <t>plní, bez pp</t>
  </si>
  <si>
    <t>MAJITEL PŘÍJMENÍ</t>
  </si>
  <si>
    <t>MAJITEL JMÉNO</t>
  </si>
  <si>
    <t>Katarína</t>
  </si>
  <si>
    <t>Chlupeková</t>
  </si>
  <si>
    <t>Pavlína</t>
  </si>
  <si>
    <t>Halmazńová</t>
  </si>
  <si>
    <t>Šárka</t>
  </si>
  <si>
    <t>Kahánková</t>
  </si>
  <si>
    <t>Alena</t>
  </si>
  <si>
    <t>Palárcová</t>
  </si>
  <si>
    <t>Lenka</t>
  </si>
  <si>
    <t>Kryčerová</t>
  </si>
  <si>
    <t>Burianová</t>
  </si>
  <si>
    <t>Václav</t>
  </si>
  <si>
    <t>Hojný</t>
  </si>
  <si>
    <t>Horáková</t>
  </si>
  <si>
    <t>Věra</t>
  </si>
  <si>
    <t>Neubauerová</t>
  </si>
  <si>
    <t>Pavla</t>
  </si>
  <si>
    <t>Hanáková</t>
  </si>
  <si>
    <t>Yvona</t>
  </si>
  <si>
    <t>Noveská</t>
  </si>
  <si>
    <t>Vladimíra</t>
  </si>
  <si>
    <t>Hilalová</t>
  </si>
  <si>
    <t>Lichtenberg</t>
  </si>
  <si>
    <t>Eva</t>
  </si>
  <si>
    <t>Dufková</t>
  </si>
  <si>
    <t>M.</t>
  </si>
  <si>
    <t>Rudolecká</t>
  </si>
  <si>
    <t>Petr</t>
  </si>
  <si>
    <t>Klímek</t>
  </si>
  <si>
    <t>Ilona</t>
  </si>
  <si>
    <t>Dubnová</t>
  </si>
  <si>
    <t>Radim</t>
  </si>
  <si>
    <t>Vismek</t>
  </si>
  <si>
    <t>Andrea</t>
  </si>
  <si>
    <t>Jahelková</t>
  </si>
  <si>
    <t>Renáta</t>
  </si>
  <si>
    <t>Mildner</t>
  </si>
  <si>
    <t>Alice</t>
  </si>
  <si>
    <t>Ohnoutková</t>
  </si>
  <si>
    <t>Anna</t>
  </si>
  <si>
    <t>Vachová</t>
  </si>
  <si>
    <t>Jiří</t>
  </si>
  <si>
    <t>Švestka</t>
  </si>
  <si>
    <t>Helena</t>
  </si>
  <si>
    <t>Šebestová</t>
  </si>
  <si>
    <t>Agata</t>
  </si>
  <si>
    <t>Szadkowska</t>
  </si>
  <si>
    <t>Iveta</t>
  </si>
  <si>
    <t>Pličková</t>
  </si>
  <si>
    <t>Cristina</t>
  </si>
  <si>
    <t>Balzanelli</t>
  </si>
  <si>
    <t>Žaneta</t>
  </si>
  <si>
    <t>Michalíková</t>
  </si>
  <si>
    <t>Adriana</t>
  </si>
  <si>
    <t>Alžběta</t>
  </si>
  <si>
    <t>Flaková</t>
  </si>
  <si>
    <t>Ševčíková</t>
  </si>
  <si>
    <t>Hana</t>
  </si>
  <si>
    <t>Valentová</t>
  </si>
  <si>
    <t>Iwona</t>
  </si>
  <si>
    <t>Nahalewicz</t>
  </si>
  <si>
    <t>Machů</t>
  </si>
  <si>
    <t>Bohumila</t>
  </si>
  <si>
    <t>Hanačíková</t>
  </si>
  <si>
    <t>Langová</t>
  </si>
  <si>
    <t>Radka</t>
  </si>
  <si>
    <t>Jersáková</t>
  </si>
  <si>
    <t>Ladislav</t>
  </si>
  <si>
    <t>Janiš</t>
  </si>
  <si>
    <t>Simona</t>
  </si>
  <si>
    <t>Kosorin</t>
  </si>
  <si>
    <t>Zuzana</t>
  </si>
  <si>
    <t>Kubová</t>
  </si>
  <si>
    <t>Kristýna</t>
  </si>
  <si>
    <t>Zapletalová</t>
  </si>
  <si>
    <t>Klára</t>
  </si>
  <si>
    <t>Lindovská</t>
  </si>
  <si>
    <t>Lukáš</t>
  </si>
  <si>
    <t>Janků</t>
  </si>
  <si>
    <t>Ewa</t>
  </si>
  <si>
    <t>Zwolińska</t>
  </si>
  <si>
    <t>Martina</t>
  </si>
  <si>
    <t>Tomšová</t>
  </si>
  <si>
    <t>Jaroslav</t>
  </si>
  <si>
    <t>Novák</t>
  </si>
  <si>
    <t>Janina</t>
  </si>
  <si>
    <t>Czajkowska</t>
  </si>
  <si>
    <t>Roman</t>
  </si>
  <si>
    <t>Božik</t>
  </si>
  <si>
    <t>Voráčková</t>
  </si>
  <si>
    <t>Němcová</t>
  </si>
  <si>
    <t>Veronika</t>
  </si>
  <si>
    <t>Doleželová</t>
  </si>
  <si>
    <t>Kamila</t>
  </si>
  <si>
    <t>Vašíčková</t>
  </si>
  <si>
    <t>Ryšková</t>
  </si>
  <si>
    <t>Petra</t>
  </si>
  <si>
    <t>Natalia</t>
  </si>
  <si>
    <t>Gerling</t>
  </si>
  <si>
    <t>Marie</t>
  </si>
  <si>
    <t>Moravcová</t>
  </si>
  <si>
    <t>Řeháčková</t>
  </si>
  <si>
    <t>Vipet sprinter</t>
  </si>
  <si>
    <t>Italský chrtík sprinter</t>
  </si>
  <si>
    <t>I.běh</t>
  </si>
  <si>
    <t>II.běh</t>
  </si>
  <si>
    <t>pár</t>
  </si>
  <si>
    <t>organizátor</t>
  </si>
  <si>
    <t>DOKLAD</t>
  </si>
  <si>
    <t>platí 3.11.</t>
  </si>
  <si>
    <t>tsjoey@email.cz</t>
  </si>
  <si>
    <t>POZNÁMKY</t>
  </si>
  <si>
    <t>Vějačková</t>
  </si>
  <si>
    <t>Konečná</t>
  </si>
  <si>
    <t>Irena</t>
  </si>
  <si>
    <t>Kimerová</t>
  </si>
  <si>
    <t>Radek</t>
  </si>
  <si>
    <t>Jánský</t>
  </si>
  <si>
    <t>Vicherková</t>
  </si>
  <si>
    <t>Zlatka</t>
  </si>
  <si>
    <t>Andrys</t>
  </si>
  <si>
    <t>Michal</t>
  </si>
  <si>
    <t>Šmídová</t>
  </si>
  <si>
    <t>Michaela</t>
  </si>
  <si>
    <t>Martin</t>
  </si>
  <si>
    <t>Dvořák</t>
  </si>
  <si>
    <t>Monika</t>
  </si>
  <si>
    <t>Chalupová</t>
  </si>
  <si>
    <t>Vaňko</t>
  </si>
  <si>
    <t>Leona</t>
  </si>
  <si>
    <t>Kubečková</t>
  </si>
  <si>
    <t>Jiřina</t>
  </si>
  <si>
    <t>Kuželová</t>
  </si>
  <si>
    <t>Fialová</t>
  </si>
  <si>
    <t>Vlasta</t>
  </si>
  <si>
    <t>Hofírková</t>
  </si>
  <si>
    <t>Dlabačová</t>
  </si>
  <si>
    <t>Vladimír</t>
  </si>
  <si>
    <t>Adámek</t>
  </si>
  <si>
    <t>Kučerová</t>
  </si>
  <si>
    <t>Suchá</t>
  </si>
  <si>
    <t>Binková</t>
  </si>
  <si>
    <t>Bořivoj</t>
  </si>
  <si>
    <t>Bohanus</t>
  </si>
  <si>
    <t>Mrázková</t>
  </si>
  <si>
    <t>Ivona</t>
  </si>
  <si>
    <t>Pavelková</t>
  </si>
  <si>
    <t>Beerová</t>
  </si>
  <si>
    <t>Przeczková</t>
  </si>
  <si>
    <t>Glöcknerová</t>
  </si>
  <si>
    <t>Paninárová</t>
  </si>
  <si>
    <t>Maťo</t>
  </si>
  <si>
    <t>Alexandra</t>
  </si>
  <si>
    <t>Felixová</t>
  </si>
  <si>
    <t>Gabriela</t>
  </si>
  <si>
    <t>Martínková</t>
  </si>
  <si>
    <t>Barbora</t>
  </si>
  <si>
    <t>Staufčíková</t>
  </si>
  <si>
    <t>Renata</t>
  </si>
  <si>
    <t>Preisingerová</t>
  </si>
  <si>
    <t>Škarková</t>
  </si>
  <si>
    <t>Lucia</t>
  </si>
  <si>
    <t>Havrlentová</t>
  </si>
  <si>
    <t>Ivana</t>
  </si>
  <si>
    <t>Tichá</t>
  </si>
  <si>
    <t>Josef</t>
  </si>
  <si>
    <t>Kirnig</t>
  </si>
  <si>
    <t>Jelínková</t>
  </si>
  <si>
    <t>Malá</t>
  </si>
  <si>
    <t>Macáková</t>
  </si>
  <si>
    <t>Daněk</t>
  </si>
  <si>
    <t>Adéla</t>
  </si>
  <si>
    <t>Vašutová</t>
  </si>
  <si>
    <t>Míčová</t>
  </si>
  <si>
    <t>Adam</t>
  </si>
  <si>
    <t>Bartoš</t>
  </si>
  <si>
    <t>Morcinek Čapníková</t>
  </si>
  <si>
    <t>Dáša</t>
  </si>
  <si>
    <t>Lembart</t>
  </si>
  <si>
    <t>Ondřej</t>
  </si>
  <si>
    <t>Cenková</t>
  </si>
  <si>
    <t>FCI</t>
  </si>
  <si>
    <t>startér</t>
  </si>
  <si>
    <t>štěně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</si>
</sst>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u/>
      <sz val="7.7"/>
      <color theme="10"/>
      <name val="Calibri"/>
      <family val="2"/>
      <charset val="238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7" tint="-0.249977111117893"/>
      </bottom>
      <diagonal/>
    </border>
    <border>
      <left style="dotted">
        <color auto="1"/>
      </left>
      <right style="dotted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Border="1"/>
    <xf numFmtId="0" fontId="1" fillId="3" borderId="0" xfId="0" applyFont="1" applyFill="1"/>
    <xf numFmtId="0" fontId="1" fillId="3" borderId="1" xfId="0" applyFont="1" applyFill="1" applyBorder="1"/>
    <xf numFmtId="0" fontId="0" fillId="3" borderId="0" xfId="0" applyFill="1" applyBorder="1"/>
    <xf numFmtId="0" fontId="0" fillId="3" borderId="0" xfId="0" applyFill="1" applyBorder="1" applyAlignment="1">
      <alignment wrapText="1"/>
    </xf>
    <xf numFmtId="0" fontId="0" fillId="3" borderId="0" xfId="0" applyFill="1" applyBorder="1" applyAlignment="1">
      <alignment horizont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 applyBorder="1"/>
    <xf numFmtId="0" fontId="1" fillId="0" borderId="0" xfId="0" applyFont="1"/>
    <xf numFmtId="0" fontId="2" fillId="3" borderId="0" xfId="0" applyFont="1" applyFill="1"/>
    <xf numFmtId="0" fontId="1" fillId="2" borderId="0" xfId="0" applyFont="1" applyFill="1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3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2" fillId="3" borderId="0" xfId="0" applyFont="1" applyFill="1" applyBorder="1"/>
    <xf numFmtId="14" fontId="0" fillId="0" borderId="0" xfId="0" applyNumberFormat="1"/>
    <xf numFmtId="14" fontId="0" fillId="4" borderId="0" xfId="0" applyNumberFormat="1" applyFill="1"/>
    <xf numFmtId="49" fontId="0" fillId="3" borderId="0" xfId="0" applyNumberFormat="1" applyFill="1"/>
    <xf numFmtId="49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2" xfId="0" applyBorder="1"/>
    <xf numFmtId="0" fontId="1" fillId="6" borderId="0" xfId="0" applyFont="1" applyFill="1"/>
    <xf numFmtId="0" fontId="0" fillId="9" borderId="0" xfId="0" applyFill="1"/>
    <xf numFmtId="0" fontId="0" fillId="10" borderId="0" xfId="0" applyFill="1"/>
    <xf numFmtId="0" fontId="0" fillId="5" borderId="2" xfId="0" applyFill="1" applyBorder="1"/>
    <xf numFmtId="0" fontId="1" fillId="6" borderId="2" xfId="0" applyFont="1" applyFill="1" applyBorder="1"/>
    <xf numFmtId="0" fontId="0" fillId="9" borderId="2" xfId="0" applyFill="1" applyBorder="1"/>
    <xf numFmtId="0" fontId="1" fillId="9" borderId="0" xfId="0" applyFont="1" applyFill="1"/>
    <xf numFmtId="0" fontId="0" fillId="8" borderId="2" xfId="0" applyFill="1" applyBorder="1"/>
    <xf numFmtId="0" fontId="4" fillId="0" borderId="2" xfId="0" applyFont="1" applyBorder="1"/>
    <xf numFmtId="0" fontId="1" fillId="0" borderId="1" xfId="0" applyFont="1" applyFill="1" applyBorder="1"/>
    <xf numFmtId="14" fontId="0" fillId="6" borderId="0" xfId="0" applyNumberFormat="1" applyFill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14" fontId="0" fillId="6" borderId="0" xfId="0" applyNumberFormat="1" applyFill="1" applyAlignment="1">
      <alignment horizontal="left"/>
    </xf>
    <xf numFmtId="0" fontId="0" fillId="7" borderId="2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6" borderId="0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10" borderId="0" xfId="0" applyFill="1" applyBorder="1" applyAlignment="1">
      <alignment wrapText="1"/>
    </xf>
    <xf numFmtId="0" fontId="0" fillId="10" borderId="0" xfId="0" applyFill="1" applyAlignment="1">
      <alignment horizontal="right"/>
    </xf>
    <xf numFmtId="0" fontId="0" fillId="0" borderId="4" xfId="0" applyBorder="1"/>
    <xf numFmtId="14" fontId="0" fillId="0" borderId="0" xfId="0" applyNumberFormat="1" applyFill="1" applyBorder="1"/>
    <xf numFmtId="49" fontId="5" fillId="0" borderId="0" xfId="1" applyNumberFormat="1" applyFont="1" applyFill="1" applyAlignment="1" applyProtection="1"/>
    <xf numFmtId="3" fontId="0" fillId="0" borderId="0" xfId="0" applyNumberFormat="1" applyFill="1"/>
    <xf numFmtId="0" fontId="0" fillId="0" borderId="0" xfId="0" applyNumberFormat="1" applyFill="1"/>
    <xf numFmtId="0" fontId="0" fillId="0" borderId="0" xfId="0" applyFill="1" applyAlignment="1">
      <alignment horizontal="left"/>
    </xf>
    <xf numFmtId="49" fontId="0" fillId="0" borderId="0" xfId="0" applyNumberFormat="1" applyFill="1"/>
    <xf numFmtId="0" fontId="0" fillId="11" borderId="0" xfId="0" applyFill="1"/>
    <xf numFmtId="0" fontId="0" fillId="11" borderId="0" xfId="0" applyFill="1" applyBorder="1" applyAlignment="1">
      <alignment wrapText="1"/>
    </xf>
    <xf numFmtId="0" fontId="0" fillId="11" borderId="0" xfId="0" applyFill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10" borderId="0" xfId="0" applyFill="1" applyAlignment="1">
      <alignment horizontal="right" wrapText="1"/>
    </xf>
    <xf numFmtId="0" fontId="0" fillId="10" borderId="0" xfId="0" applyFill="1" applyBorder="1"/>
  </cellXfs>
  <cellStyles count="2">
    <cellStyle name="Hypertextový odkaz" xfId="1" builtinId="8"/>
    <cellStyle name="Normální" xfId="0" builtinId="0"/>
  </cellStyles>
  <dxfs count="2"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zoomScale="60" zoomScaleNormal="60" workbookViewId="0">
      <selection activeCell="B1" sqref="B1"/>
    </sheetView>
  </sheetViews>
  <sheetFormatPr defaultRowHeight="15" customHeight="1" x14ac:dyDescent="0.25"/>
  <cols>
    <col min="1" max="1" width="5.7109375" customWidth="1"/>
    <col min="2" max="3" width="20.7109375" customWidth="1"/>
    <col min="4" max="4" width="20.7109375" style="3" customWidth="1"/>
    <col min="5" max="5" width="20.7109375" style="34" customWidth="1"/>
    <col min="6" max="7" width="20.7109375" customWidth="1"/>
    <col min="8" max="8" width="20.7109375" style="3" customWidth="1"/>
    <col min="9" max="9" width="20.7109375" customWidth="1"/>
    <col min="10" max="10" width="20.7109375" style="7" customWidth="1"/>
    <col min="11" max="11" width="20.7109375" customWidth="1"/>
    <col min="12" max="12" width="20.7109375" style="34" customWidth="1"/>
    <col min="13" max="13" width="20.7109375" customWidth="1"/>
    <col min="14" max="15" width="20.7109375" style="34" customWidth="1"/>
    <col min="16" max="17" width="20.7109375" customWidth="1"/>
    <col min="19" max="19" width="12.28515625" customWidth="1"/>
  </cols>
  <sheetData>
    <row r="1" spans="1:19" ht="15" customHeight="1" x14ac:dyDescent="0.25">
      <c r="A1" s="13" t="s">
        <v>96</v>
      </c>
      <c r="B1" s="13" t="s">
        <v>496</v>
      </c>
      <c r="C1" s="13" t="s">
        <v>495</v>
      </c>
      <c r="D1" s="14" t="s">
        <v>91</v>
      </c>
      <c r="E1" s="13" t="s">
        <v>92</v>
      </c>
      <c r="F1" s="13" t="s">
        <v>93</v>
      </c>
      <c r="G1" s="13" t="s">
        <v>83</v>
      </c>
      <c r="H1" s="14" t="s">
        <v>84</v>
      </c>
      <c r="I1" s="13" t="s">
        <v>95</v>
      </c>
      <c r="J1" s="10" t="s">
        <v>105</v>
      </c>
      <c r="K1" s="13" t="s">
        <v>94</v>
      </c>
      <c r="L1" s="13" t="s">
        <v>165</v>
      </c>
      <c r="M1" s="14" t="s">
        <v>166</v>
      </c>
      <c r="N1" s="10" t="s">
        <v>167</v>
      </c>
      <c r="O1" s="10"/>
      <c r="P1" s="13" t="s">
        <v>168</v>
      </c>
      <c r="Q1" s="27" t="s">
        <v>169</v>
      </c>
      <c r="S1" s="26">
        <v>42004</v>
      </c>
    </row>
    <row r="2" spans="1:19" ht="15" customHeight="1" x14ac:dyDescent="0.25">
      <c r="A2" s="7"/>
      <c r="B2" s="5" t="s">
        <v>588</v>
      </c>
      <c r="C2" s="5" t="s">
        <v>609</v>
      </c>
      <c r="D2" s="6" t="s">
        <v>0</v>
      </c>
      <c r="E2" s="22" t="s">
        <v>66</v>
      </c>
      <c r="F2" s="5" t="s">
        <v>36</v>
      </c>
      <c r="G2" s="5" t="s">
        <v>380</v>
      </c>
      <c r="H2" s="6" t="s">
        <v>97</v>
      </c>
      <c r="I2" s="5">
        <v>300</v>
      </c>
      <c r="J2" s="7">
        <v>0</v>
      </c>
      <c r="K2" s="7"/>
      <c r="L2" s="36">
        <v>40697</v>
      </c>
      <c r="M2" s="37">
        <f>DATEDIF(L2,$S$1,"Y")</f>
        <v>3</v>
      </c>
      <c r="N2" s="37"/>
      <c r="O2" s="37" t="s">
        <v>171</v>
      </c>
      <c r="P2">
        <v>731226957</v>
      </c>
      <c r="Q2" t="s">
        <v>244</v>
      </c>
    </row>
    <row r="3" spans="1:19" ht="15" customHeight="1" x14ac:dyDescent="0.25">
      <c r="A3" s="7"/>
      <c r="B3" s="5" t="s">
        <v>520</v>
      </c>
      <c r="C3" s="5" t="s">
        <v>610</v>
      </c>
      <c r="D3" s="6" t="s">
        <v>0</v>
      </c>
      <c r="E3" s="22" t="s">
        <v>69</v>
      </c>
      <c r="F3" s="5" t="s">
        <v>36</v>
      </c>
      <c r="G3" s="5" t="s">
        <v>380</v>
      </c>
      <c r="H3" s="6" t="s">
        <v>97</v>
      </c>
      <c r="I3" s="5">
        <v>500</v>
      </c>
      <c r="J3" s="7">
        <v>0</v>
      </c>
      <c r="K3" s="7"/>
      <c r="L3" s="36">
        <v>40005</v>
      </c>
      <c r="M3" s="37">
        <f>DATEDIF(L3,$S$1,"Y")</f>
        <v>5</v>
      </c>
      <c r="N3" s="34" t="s">
        <v>246</v>
      </c>
      <c r="O3" s="37" t="s">
        <v>171</v>
      </c>
      <c r="Q3" t="s">
        <v>245</v>
      </c>
    </row>
    <row r="4" spans="1:19" ht="15" customHeight="1" x14ac:dyDescent="0.25">
      <c r="A4" s="7"/>
      <c r="B4" s="5" t="s">
        <v>611</v>
      </c>
      <c r="C4" s="5" t="s">
        <v>587</v>
      </c>
      <c r="D4" s="6" t="s">
        <v>0</v>
      </c>
      <c r="E4" s="22" t="s">
        <v>25</v>
      </c>
      <c r="F4" s="5" t="s">
        <v>26</v>
      </c>
      <c r="G4" s="5" t="s">
        <v>380</v>
      </c>
      <c r="H4" s="6" t="s">
        <v>97</v>
      </c>
      <c r="I4" s="5">
        <v>0</v>
      </c>
      <c r="J4" s="7">
        <v>300</v>
      </c>
      <c r="K4" s="7"/>
      <c r="M4" s="37"/>
      <c r="O4" s="37" t="s">
        <v>171</v>
      </c>
      <c r="Q4" t="s">
        <v>247</v>
      </c>
    </row>
    <row r="5" spans="1:19" ht="15" customHeight="1" x14ac:dyDescent="0.25">
      <c r="A5" s="7"/>
      <c r="B5" s="5" t="s">
        <v>266</v>
      </c>
      <c r="C5" s="5" t="s">
        <v>612</v>
      </c>
      <c r="D5" s="6" t="s">
        <v>0</v>
      </c>
      <c r="E5" s="22" t="s">
        <v>20</v>
      </c>
      <c r="F5" s="5" t="s">
        <v>19</v>
      </c>
      <c r="G5" s="5" t="s">
        <v>380</v>
      </c>
      <c r="H5" s="6" t="s">
        <v>97</v>
      </c>
      <c r="I5" s="5">
        <v>500</v>
      </c>
      <c r="J5" s="15">
        <v>500</v>
      </c>
      <c r="K5" s="7"/>
      <c r="L5" s="36">
        <v>41087</v>
      </c>
      <c r="M5" s="37">
        <f>DATEDIF(L5,$S$1,"Y")</f>
        <v>2</v>
      </c>
      <c r="N5" s="34" t="s">
        <v>249</v>
      </c>
      <c r="O5" s="37" t="s">
        <v>171</v>
      </c>
      <c r="P5">
        <v>728899693</v>
      </c>
      <c r="Q5" t="s">
        <v>248</v>
      </c>
    </row>
    <row r="6" spans="1:19" ht="15" customHeight="1" x14ac:dyDescent="0.25">
      <c r="A6" s="7"/>
      <c r="B6" s="5" t="s">
        <v>613</v>
      </c>
      <c r="C6" s="5" t="s">
        <v>614</v>
      </c>
      <c r="D6" s="6" t="s">
        <v>0</v>
      </c>
      <c r="E6" s="22" t="s">
        <v>65</v>
      </c>
      <c r="F6" s="5" t="s">
        <v>36</v>
      </c>
      <c r="G6" s="5" t="s">
        <v>379</v>
      </c>
      <c r="H6" s="6" t="s">
        <v>97</v>
      </c>
      <c r="I6" s="5">
        <v>500</v>
      </c>
      <c r="J6" s="15">
        <v>0</v>
      </c>
      <c r="K6" s="7"/>
      <c r="L6" s="36">
        <v>40692</v>
      </c>
      <c r="M6" s="37">
        <f>DATEDIF(L6,$S$1,"Y")</f>
        <v>3</v>
      </c>
      <c r="O6" s="37" t="s">
        <v>171</v>
      </c>
      <c r="Q6" t="s">
        <v>250</v>
      </c>
    </row>
    <row r="7" spans="1:19" ht="15" customHeight="1" x14ac:dyDescent="0.25">
      <c r="A7" s="7"/>
      <c r="B7" s="5" t="s">
        <v>616</v>
      </c>
      <c r="C7" s="5" t="s">
        <v>615</v>
      </c>
      <c r="D7" s="6" t="s">
        <v>0</v>
      </c>
      <c r="E7" s="22" t="s">
        <v>60</v>
      </c>
      <c r="F7" s="5" t="s">
        <v>26</v>
      </c>
      <c r="G7" s="5" t="s">
        <v>379</v>
      </c>
      <c r="H7" s="6" t="s">
        <v>97</v>
      </c>
      <c r="I7" s="5">
        <v>0</v>
      </c>
      <c r="J7" s="15">
        <v>300</v>
      </c>
      <c r="K7" s="7"/>
      <c r="L7" s="36">
        <v>39635</v>
      </c>
      <c r="M7" s="37">
        <f>DATEDIF(L7,$S$1,"Y")</f>
        <v>6</v>
      </c>
      <c r="O7" s="37" t="s">
        <v>171</v>
      </c>
      <c r="Q7" t="s">
        <v>251</v>
      </c>
    </row>
    <row r="8" spans="1:19" ht="15" customHeight="1" x14ac:dyDescent="0.25">
      <c r="A8" s="7"/>
      <c r="B8" s="5" t="s">
        <v>618</v>
      </c>
      <c r="C8" s="5" t="s">
        <v>617</v>
      </c>
      <c r="D8" s="6" t="s">
        <v>0</v>
      </c>
      <c r="E8" s="22" t="s">
        <v>76</v>
      </c>
      <c r="F8" s="5" t="s">
        <v>77</v>
      </c>
      <c r="G8" s="5" t="s">
        <v>379</v>
      </c>
      <c r="H8" s="6" t="s">
        <v>97</v>
      </c>
      <c r="I8" s="5">
        <v>300</v>
      </c>
      <c r="J8" s="15">
        <v>0</v>
      </c>
      <c r="K8" s="22" t="s">
        <v>679</v>
      </c>
      <c r="M8" s="37"/>
      <c r="O8" s="37" t="s">
        <v>171</v>
      </c>
      <c r="Q8" t="s">
        <v>302</v>
      </c>
    </row>
    <row r="9" spans="1:19" ht="15" customHeight="1" x14ac:dyDescent="0.25">
      <c r="A9" s="7"/>
      <c r="B9" s="5" t="s">
        <v>620</v>
      </c>
      <c r="C9" s="5" t="s">
        <v>619</v>
      </c>
      <c r="D9" s="6" t="s">
        <v>0</v>
      </c>
      <c r="E9" s="22" t="s">
        <v>52</v>
      </c>
      <c r="F9" s="5" t="s">
        <v>53</v>
      </c>
      <c r="G9" s="5" t="s">
        <v>380</v>
      </c>
      <c r="H9" s="6" t="s">
        <v>98</v>
      </c>
      <c r="I9" s="5">
        <v>0</v>
      </c>
      <c r="J9" s="15">
        <v>450</v>
      </c>
      <c r="K9" s="7"/>
      <c r="L9" s="36">
        <v>40396</v>
      </c>
      <c r="M9" s="37">
        <f t="shared" ref="M9:M15" si="0">DATEDIF(L9,$S$1,"Y")</f>
        <v>4</v>
      </c>
      <c r="O9" s="37" t="s">
        <v>171</v>
      </c>
      <c r="Q9" t="s">
        <v>303</v>
      </c>
    </row>
    <row r="10" spans="1:19" ht="15" customHeight="1" x14ac:dyDescent="0.25">
      <c r="A10" s="7"/>
      <c r="B10" s="5" t="s">
        <v>621</v>
      </c>
      <c r="C10" s="5" t="s">
        <v>622</v>
      </c>
      <c r="D10" s="6" t="s">
        <v>0</v>
      </c>
      <c r="E10" s="22" t="s">
        <v>54</v>
      </c>
      <c r="F10" s="5" t="s">
        <v>34</v>
      </c>
      <c r="G10" s="5" t="s">
        <v>380</v>
      </c>
      <c r="H10" s="6" t="s">
        <v>98</v>
      </c>
      <c r="I10" s="5">
        <v>500</v>
      </c>
      <c r="J10" s="15">
        <v>0</v>
      </c>
      <c r="K10" s="7"/>
      <c r="L10" s="36">
        <v>39611</v>
      </c>
      <c r="M10" s="37">
        <f t="shared" si="0"/>
        <v>6</v>
      </c>
      <c r="O10" s="37" t="s">
        <v>171</v>
      </c>
      <c r="P10">
        <v>776353453</v>
      </c>
      <c r="Q10" t="s">
        <v>304</v>
      </c>
    </row>
    <row r="11" spans="1:19" ht="15" customHeight="1" x14ac:dyDescent="0.25">
      <c r="A11" s="7"/>
      <c r="B11" s="5" t="s">
        <v>620</v>
      </c>
      <c r="C11" s="5" t="s">
        <v>619</v>
      </c>
      <c r="D11" s="6" t="s">
        <v>0</v>
      </c>
      <c r="E11" s="22" t="s">
        <v>33</v>
      </c>
      <c r="F11" s="5" t="s">
        <v>34</v>
      </c>
      <c r="G11" s="5" t="s">
        <v>379</v>
      </c>
      <c r="H11" s="6" t="s">
        <v>98</v>
      </c>
      <c r="I11" s="5">
        <v>500</v>
      </c>
      <c r="J11" s="15">
        <v>0</v>
      </c>
      <c r="K11" s="7"/>
      <c r="L11" s="36">
        <v>40436</v>
      </c>
      <c r="M11" s="37">
        <f t="shared" si="0"/>
        <v>4</v>
      </c>
      <c r="O11" s="37" t="s">
        <v>171</v>
      </c>
      <c r="Q11" t="s">
        <v>303</v>
      </c>
    </row>
    <row r="12" spans="1:19" ht="15" customHeight="1" x14ac:dyDescent="0.25">
      <c r="A12" s="7"/>
      <c r="B12" s="5" t="s">
        <v>623</v>
      </c>
      <c r="C12" s="5" t="s">
        <v>624</v>
      </c>
      <c r="D12" s="6" t="s">
        <v>0</v>
      </c>
      <c r="E12" s="22" t="s">
        <v>67</v>
      </c>
      <c r="F12" s="5" t="s">
        <v>68</v>
      </c>
      <c r="G12" s="5" t="s">
        <v>380</v>
      </c>
      <c r="H12" s="6" t="s">
        <v>98</v>
      </c>
      <c r="I12" s="5">
        <v>0</v>
      </c>
      <c r="J12" s="15">
        <v>300</v>
      </c>
      <c r="K12" s="7"/>
      <c r="L12" s="36">
        <v>40665</v>
      </c>
      <c r="M12" s="37">
        <f t="shared" si="0"/>
        <v>3</v>
      </c>
      <c r="O12" s="37" t="s">
        <v>171</v>
      </c>
      <c r="Q12" t="s">
        <v>305</v>
      </c>
    </row>
    <row r="13" spans="1:19" ht="15" customHeight="1" x14ac:dyDescent="0.25">
      <c r="A13" s="7"/>
      <c r="B13" s="5" t="s">
        <v>528</v>
      </c>
      <c r="C13" s="5" t="s">
        <v>625</v>
      </c>
      <c r="D13" s="6" t="s">
        <v>0</v>
      </c>
      <c r="E13" s="22" t="s">
        <v>18</v>
      </c>
      <c r="F13" s="5" t="s">
        <v>19</v>
      </c>
      <c r="G13" s="5" t="s">
        <v>380</v>
      </c>
      <c r="H13" s="6" t="s">
        <v>98</v>
      </c>
      <c r="I13" s="5">
        <v>0</v>
      </c>
      <c r="J13" s="15">
        <v>300</v>
      </c>
      <c r="K13" s="7"/>
      <c r="L13" s="36">
        <v>40088</v>
      </c>
      <c r="M13" s="37">
        <f t="shared" si="0"/>
        <v>5</v>
      </c>
      <c r="N13" s="34" t="s">
        <v>307</v>
      </c>
      <c r="O13" s="37" t="s">
        <v>171</v>
      </c>
      <c r="Q13" t="s">
        <v>306</v>
      </c>
      <c r="R13" s="34"/>
      <c r="S13" s="34"/>
    </row>
    <row r="14" spans="1:19" ht="15" customHeight="1" x14ac:dyDescent="0.25">
      <c r="A14" s="7"/>
      <c r="B14" s="5" t="s">
        <v>626</v>
      </c>
      <c r="C14" s="5" t="s">
        <v>627</v>
      </c>
      <c r="D14" s="6" t="s">
        <v>0</v>
      </c>
      <c r="E14" s="22" t="s">
        <v>1</v>
      </c>
      <c r="F14" s="5" t="s">
        <v>32</v>
      </c>
      <c r="G14" s="5" t="s">
        <v>380</v>
      </c>
      <c r="H14" s="6" t="s">
        <v>98</v>
      </c>
      <c r="I14" s="5">
        <v>500</v>
      </c>
      <c r="J14" s="15">
        <v>0</v>
      </c>
      <c r="K14" s="7"/>
      <c r="L14" s="36">
        <v>39718</v>
      </c>
      <c r="M14" s="37">
        <f t="shared" si="0"/>
        <v>6</v>
      </c>
      <c r="O14" s="37" t="s">
        <v>171</v>
      </c>
      <c r="P14">
        <v>603500895</v>
      </c>
      <c r="Q14" t="s">
        <v>308</v>
      </c>
      <c r="R14" s="34"/>
      <c r="S14" s="34"/>
    </row>
    <row r="15" spans="1:19" ht="15" customHeight="1" x14ac:dyDescent="0.25">
      <c r="A15" s="7"/>
      <c r="B15" s="5" t="s">
        <v>520</v>
      </c>
      <c r="C15" s="5" t="s">
        <v>673</v>
      </c>
      <c r="D15" s="6" t="s">
        <v>0</v>
      </c>
      <c r="E15" s="22" t="s">
        <v>40</v>
      </c>
      <c r="F15" s="5" t="s">
        <v>39</v>
      </c>
      <c r="G15" s="5" t="s">
        <v>380</v>
      </c>
      <c r="H15" s="6" t="s">
        <v>86</v>
      </c>
      <c r="I15" s="5">
        <v>300</v>
      </c>
      <c r="J15" s="15">
        <v>0</v>
      </c>
      <c r="K15" s="7"/>
      <c r="L15" s="36">
        <v>41076</v>
      </c>
      <c r="M15" s="37">
        <f t="shared" si="0"/>
        <v>2</v>
      </c>
      <c r="O15" s="37" t="s">
        <v>171</v>
      </c>
      <c r="Q15" t="s">
        <v>309</v>
      </c>
      <c r="R15" s="34"/>
      <c r="S15" s="34"/>
    </row>
    <row r="16" spans="1:19" s="7" customFormat="1" ht="15" customHeight="1" x14ac:dyDescent="0.25">
      <c r="B16" s="5" t="s">
        <v>520</v>
      </c>
      <c r="C16" s="5" t="s">
        <v>673</v>
      </c>
      <c r="D16" s="6" t="s">
        <v>0</v>
      </c>
      <c r="E16" s="22" t="s">
        <v>38</v>
      </c>
      <c r="F16" s="5" t="s">
        <v>39</v>
      </c>
      <c r="G16" s="5" t="s">
        <v>380</v>
      </c>
      <c r="H16" s="6" t="s">
        <v>86</v>
      </c>
      <c r="I16" s="5">
        <v>250</v>
      </c>
      <c r="J16" s="15">
        <v>0</v>
      </c>
      <c r="L16" s="62">
        <v>40072</v>
      </c>
      <c r="M16" s="58">
        <f t="shared" ref="M16" si="1">DATEDIF(L16,$S$1,"Y")</f>
        <v>5</v>
      </c>
      <c r="N16" s="15" t="s">
        <v>311</v>
      </c>
      <c r="O16" s="37" t="s">
        <v>171</v>
      </c>
      <c r="Q16" s="7" t="s">
        <v>309</v>
      </c>
      <c r="R16" s="15"/>
      <c r="S16" s="15"/>
    </row>
    <row r="17" spans="1:19" s="7" customFormat="1" ht="15.75" customHeight="1" x14ac:dyDescent="0.25">
      <c r="B17" s="5" t="s">
        <v>628</v>
      </c>
      <c r="C17" s="5" t="s">
        <v>629</v>
      </c>
      <c r="D17" s="6" t="s">
        <v>0</v>
      </c>
      <c r="E17" s="22" t="s">
        <v>29</v>
      </c>
      <c r="F17" s="5" t="s">
        <v>30</v>
      </c>
      <c r="G17" s="5" t="s">
        <v>380</v>
      </c>
      <c r="H17" s="6" t="s">
        <v>86</v>
      </c>
      <c r="I17" s="5">
        <v>500</v>
      </c>
      <c r="J17" s="15">
        <v>0</v>
      </c>
      <c r="L17" s="62">
        <v>40676</v>
      </c>
      <c r="M17" s="58">
        <f t="shared" ref="M17:M46" si="2">DATEDIF(L17,$S$1,"Y")</f>
        <v>3</v>
      </c>
      <c r="N17" s="15"/>
      <c r="O17" s="37" t="s">
        <v>171</v>
      </c>
      <c r="Q17" s="7" t="s">
        <v>310</v>
      </c>
      <c r="R17" s="15"/>
      <c r="S17" s="15"/>
    </row>
    <row r="18" spans="1:19" ht="15" customHeight="1" x14ac:dyDescent="0.25">
      <c r="A18" s="7"/>
      <c r="B18" s="5" t="s">
        <v>674</v>
      </c>
      <c r="C18" s="5" t="s">
        <v>3</v>
      </c>
      <c r="D18" s="6" t="s">
        <v>0</v>
      </c>
      <c r="E18" s="22" t="s">
        <v>49</v>
      </c>
      <c r="F18" s="5" t="s">
        <v>6</v>
      </c>
      <c r="G18" s="5" t="s">
        <v>380</v>
      </c>
      <c r="H18" s="6" t="s">
        <v>86</v>
      </c>
      <c r="I18" s="69">
        <v>0</v>
      </c>
      <c r="J18" s="70">
        <v>500</v>
      </c>
      <c r="K18" s="7" t="s">
        <v>605</v>
      </c>
      <c r="L18" s="36">
        <v>41088</v>
      </c>
      <c r="M18" s="37">
        <f t="shared" si="2"/>
        <v>2</v>
      </c>
      <c r="O18" s="37" t="s">
        <v>171</v>
      </c>
      <c r="P18">
        <v>725820610</v>
      </c>
      <c r="Q18" t="s">
        <v>312</v>
      </c>
      <c r="R18" s="34"/>
      <c r="S18" s="34"/>
    </row>
    <row r="19" spans="1:19" ht="15" customHeight="1" x14ac:dyDescent="0.25">
      <c r="A19" s="7"/>
      <c r="B19" s="5" t="s">
        <v>536</v>
      </c>
      <c r="C19" s="5" t="s">
        <v>630</v>
      </c>
      <c r="D19" s="6" t="s">
        <v>0</v>
      </c>
      <c r="E19" s="22" t="s">
        <v>72</v>
      </c>
      <c r="F19" s="5" t="s">
        <v>73</v>
      </c>
      <c r="G19" s="5" t="s">
        <v>379</v>
      </c>
      <c r="H19" s="6" t="s">
        <v>86</v>
      </c>
      <c r="I19" s="5">
        <v>0</v>
      </c>
      <c r="J19" s="15">
        <v>0</v>
      </c>
      <c r="K19" s="7"/>
      <c r="L19" s="36">
        <v>40289</v>
      </c>
      <c r="M19" s="37">
        <f t="shared" si="2"/>
        <v>4</v>
      </c>
      <c r="N19" s="34" t="s">
        <v>314</v>
      </c>
      <c r="O19" s="37" t="s">
        <v>171</v>
      </c>
      <c r="P19">
        <v>602977281</v>
      </c>
      <c r="Q19" t="s">
        <v>313</v>
      </c>
      <c r="R19" s="34"/>
      <c r="S19" s="34"/>
    </row>
    <row r="20" spans="1:19" ht="15" customHeight="1" x14ac:dyDescent="0.25">
      <c r="A20" s="7"/>
      <c r="B20" s="5" t="s">
        <v>631</v>
      </c>
      <c r="C20" s="5" t="s">
        <v>632</v>
      </c>
      <c r="D20" s="6" t="s">
        <v>0</v>
      </c>
      <c r="E20" s="22" t="s">
        <v>7</v>
      </c>
      <c r="F20" s="5" t="s">
        <v>8</v>
      </c>
      <c r="G20" s="5" t="s">
        <v>379</v>
      </c>
      <c r="H20" s="6" t="s">
        <v>86</v>
      </c>
      <c r="I20" s="5">
        <v>300</v>
      </c>
      <c r="J20" s="15">
        <v>0</v>
      </c>
      <c r="K20" s="7"/>
      <c r="L20" s="36">
        <v>39133</v>
      </c>
      <c r="M20" s="37">
        <f t="shared" si="2"/>
        <v>7</v>
      </c>
      <c r="O20" s="37" t="s">
        <v>171</v>
      </c>
      <c r="P20">
        <v>728202093</v>
      </c>
      <c r="Q20" t="s">
        <v>315</v>
      </c>
      <c r="R20" s="34"/>
      <c r="S20" s="34"/>
    </row>
    <row r="21" spans="1:19" ht="15" customHeight="1" x14ac:dyDescent="0.25">
      <c r="A21" s="7"/>
      <c r="B21" s="5" t="s">
        <v>593</v>
      </c>
      <c r="C21" s="5" t="s">
        <v>633</v>
      </c>
      <c r="D21" s="6" t="s">
        <v>0</v>
      </c>
      <c r="E21" s="22" t="s">
        <v>55</v>
      </c>
      <c r="F21" s="5" t="s">
        <v>34</v>
      </c>
      <c r="G21" s="5" t="s">
        <v>379</v>
      </c>
      <c r="H21" s="6" t="s">
        <v>86</v>
      </c>
      <c r="I21" s="5">
        <v>0</v>
      </c>
      <c r="J21" s="15">
        <v>500</v>
      </c>
      <c r="K21" s="7"/>
      <c r="L21" s="36">
        <v>41114</v>
      </c>
      <c r="M21" s="37">
        <f t="shared" si="2"/>
        <v>2</v>
      </c>
      <c r="O21" s="37" t="s">
        <v>171</v>
      </c>
      <c r="Q21" t="s">
        <v>316</v>
      </c>
      <c r="R21" s="34"/>
      <c r="S21" s="34"/>
    </row>
    <row r="22" spans="1:19" ht="15" customHeight="1" x14ac:dyDescent="0.25">
      <c r="A22" s="7"/>
      <c r="B22" s="5" t="s">
        <v>634</v>
      </c>
      <c r="C22" s="5" t="s">
        <v>635</v>
      </c>
      <c r="D22" s="6" t="s">
        <v>0</v>
      </c>
      <c r="E22" s="22" t="s">
        <v>318</v>
      </c>
      <c r="F22" s="5" t="s">
        <v>4</v>
      </c>
      <c r="G22" s="5" t="s">
        <v>380</v>
      </c>
      <c r="H22" s="6" t="s">
        <v>85</v>
      </c>
      <c r="I22" s="5">
        <v>0</v>
      </c>
      <c r="J22" s="15">
        <v>0</v>
      </c>
      <c r="K22" s="7" t="s">
        <v>158</v>
      </c>
      <c r="L22" s="36">
        <v>40541</v>
      </c>
      <c r="M22" s="37">
        <f t="shared" si="2"/>
        <v>4</v>
      </c>
      <c r="O22" s="37" t="s">
        <v>171</v>
      </c>
      <c r="Q22" t="s">
        <v>317</v>
      </c>
      <c r="R22" s="34"/>
      <c r="S22" s="34"/>
    </row>
    <row r="23" spans="1:19" ht="15" customHeight="1" x14ac:dyDescent="0.25">
      <c r="A23" s="7"/>
      <c r="B23" s="5" t="s">
        <v>266</v>
      </c>
      <c r="C23" s="5" t="s">
        <v>636</v>
      </c>
      <c r="D23" s="6" t="s">
        <v>0</v>
      </c>
      <c r="E23" s="22" t="s">
        <v>42</v>
      </c>
      <c r="F23" s="5" t="s">
        <v>4</v>
      </c>
      <c r="G23" s="5" t="s">
        <v>379</v>
      </c>
      <c r="H23" s="6" t="s">
        <v>85</v>
      </c>
      <c r="I23" s="5">
        <v>300</v>
      </c>
      <c r="J23" s="15">
        <v>0</v>
      </c>
      <c r="K23" s="7"/>
      <c r="L23" s="36">
        <v>40541</v>
      </c>
      <c r="M23" s="37">
        <f t="shared" si="2"/>
        <v>4</v>
      </c>
      <c r="O23" s="37" t="s">
        <v>171</v>
      </c>
      <c r="P23">
        <v>774909012</v>
      </c>
      <c r="Q23" t="s">
        <v>319</v>
      </c>
      <c r="R23" s="34"/>
      <c r="S23" s="34"/>
    </row>
    <row r="24" spans="1:19" ht="15" customHeight="1" x14ac:dyDescent="0.25">
      <c r="A24" s="7"/>
      <c r="B24" s="5" t="s">
        <v>520</v>
      </c>
      <c r="C24" s="5" t="s">
        <v>637</v>
      </c>
      <c r="D24" s="6" t="s">
        <v>0</v>
      </c>
      <c r="E24" s="22" t="s">
        <v>43</v>
      </c>
      <c r="F24" s="5" t="s">
        <v>44</v>
      </c>
      <c r="G24" s="5" t="s">
        <v>379</v>
      </c>
      <c r="H24" s="6" t="s">
        <v>85</v>
      </c>
      <c r="I24" s="5">
        <v>0</v>
      </c>
      <c r="J24" s="15">
        <v>500</v>
      </c>
      <c r="K24" s="7"/>
      <c r="L24" s="36">
        <v>40636</v>
      </c>
      <c r="M24" s="37">
        <f t="shared" si="2"/>
        <v>3</v>
      </c>
      <c r="O24" s="37" t="s">
        <v>171</v>
      </c>
      <c r="Q24" t="s">
        <v>320</v>
      </c>
      <c r="R24" s="34"/>
      <c r="S24" s="34"/>
    </row>
    <row r="25" spans="1:19" ht="15" customHeight="1" x14ac:dyDescent="0.25">
      <c r="A25" s="7"/>
      <c r="B25" s="5" t="s">
        <v>266</v>
      </c>
      <c r="C25" s="5" t="s">
        <v>638</v>
      </c>
      <c r="D25" s="6" t="s">
        <v>0</v>
      </c>
      <c r="E25" s="22" t="s">
        <v>37</v>
      </c>
      <c r="F25" s="5" t="s">
        <v>101</v>
      </c>
      <c r="G25" s="5" t="s">
        <v>379</v>
      </c>
      <c r="H25" s="6" t="s">
        <v>87</v>
      </c>
      <c r="I25" s="69">
        <v>0</v>
      </c>
      <c r="J25" s="70">
        <v>500</v>
      </c>
      <c r="K25" s="7" t="s">
        <v>605</v>
      </c>
      <c r="L25" s="36">
        <v>41160</v>
      </c>
      <c r="M25" s="37">
        <f t="shared" si="2"/>
        <v>2</v>
      </c>
      <c r="O25" s="37" t="s">
        <v>171</v>
      </c>
      <c r="Q25" t="s">
        <v>321</v>
      </c>
      <c r="R25" s="34"/>
      <c r="S25" s="34"/>
    </row>
    <row r="26" spans="1:19" ht="15" customHeight="1" x14ac:dyDescent="0.25">
      <c r="A26" s="7"/>
      <c r="B26" s="5" t="s">
        <v>639</v>
      </c>
      <c r="C26" s="5" t="s">
        <v>640</v>
      </c>
      <c r="D26" s="6" t="s">
        <v>0</v>
      </c>
      <c r="E26" s="22" t="s">
        <v>27</v>
      </c>
      <c r="F26" s="5" t="s">
        <v>28</v>
      </c>
      <c r="G26" s="5" t="s">
        <v>379</v>
      </c>
      <c r="H26" s="6" t="s">
        <v>87</v>
      </c>
      <c r="I26" s="5">
        <v>0</v>
      </c>
      <c r="J26" s="15">
        <v>500</v>
      </c>
      <c r="K26" s="7"/>
      <c r="L26" s="36">
        <v>41113</v>
      </c>
      <c r="M26" s="37">
        <f t="shared" si="2"/>
        <v>2</v>
      </c>
      <c r="O26" s="37" t="s">
        <v>171</v>
      </c>
      <c r="P26">
        <v>606069649</v>
      </c>
      <c r="Q26" t="s">
        <v>322</v>
      </c>
      <c r="R26" s="34"/>
      <c r="S26" s="34"/>
    </row>
    <row r="27" spans="1:19" ht="15" customHeight="1" x14ac:dyDescent="0.25">
      <c r="A27" s="7"/>
      <c r="B27" s="5" t="s">
        <v>620</v>
      </c>
      <c r="C27" s="5" t="s">
        <v>641</v>
      </c>
      <c r="D27" s="6" t="s">
        <v>0</v>
      </c>
      <c r="E27" s="22" t="s">
        <v>78</v>
      </c>
      <c r="F27" s="5" t="s">
        <v>79</v>
      </c>
      <c r="G27" s="5" t="s">
        <v>379</v>
      </c>
      <c r="H27" s="6" t="s">
        <v>87</v>
      </c>
      <c r="I27" s="5">
        <v>500</v>
      </c>
      <c r="J27" s="15">
        <v>0</v>
      </c>
      <c r="K27" s="7"/>
      <c r="L27" s="36">
        <v>39264</v>
      </c>
      <c r="M27" s="37">
        <f t="shared" si="2"/>
        <v>7</v>
      </c>
      <c r="N27" s="34" t="s">
        <v>326</v>
      </c>
      <c r="O27" s="37" t="s">
        <v>171</v>
      </c>
      <c r="Q27" t="s">
        <v>328</v>
      </c>
      <c r="R27" s="34"/>
      <c r="S27" s="34"/>
    </row>
    <row r="28" spans="1:19" ht="15" customHeight="1" x14ac:dyDescent="0.25">
      <c r="A28" s="7"/>
      <c r="B28" s="5" t="s">
        <v>642</v>
      </c>
      <c r="C28" s="5" t="s">
        <v>643</v>
      </c>
      <c r="D28" s="6" t="s">
        <v>0</v>
      </c>
      <c r="E28" s="22" t="s">
        <v>71</v>
      </c>
      <c r="F28" s="5" t="s">
        <v>68</v>
      </c>
      <c r="G28" s="5" t="s">
        <v>380</v>
      </c>
      <c r="H28" s="6" t="s">
        <v>87</v>
      </c>
      <c r="I28" s="5">
        <v>300</v>
      </c>
      <c r="J28" s="15">
        <v>0</v>
      </c>
      <c r="K28" s="7"/>
      <c r="L28" s="36">
        <v>39966</v>
      </c>
      <c r="M28" s="37">
        <f t="shared" si="2"/>
        <v>5</v>
      </c>
      <c r="O28" s="37" t="s">
        <v>171</v>
      </c>
      <c r="P28">
        <v>603996873</v>
      </c>
      <c r="Q28" t="s">
        <v>329</v>
      </c>
      <c r="R28" s="34"/>
      <c r="S28" s="34"/>
    </row>
    <row r="29" spans="1:19" ht="15" customHeight="1" x14ac:dyDescent="0.25">
      <c r="A29" s="7"/>
      <c r="B29" s="5" t="s">
        <v>642</v>
      </c>
      <c r="C29" s="5" t="s">
        <v>643</v>
      </c>
      <c r="D29" s="6" t="s">
        <v>0</v>
      </c>
      <c r="E29" s="22" t="s">
        <v>70</v>
      </c>
      <c r="F29" s="5" t="s">
        <v>68</v>
      </c>
      <c r="G29" s="5" t="s">
        <v>380</v>
      </c>
      <c r="H29" s="6" t="s">
        <v>87</v>
      </c>
      <c r="I29" s="5">
        <v>300</v>
      </c>
      <c r="J29" s="15">
        <v>0</v>
      </c>
      <c r="K29" s="7"/>
      <c r="L29" s="36">
        <v>39966</v>
      </c>
      <c r="M29" s="37">
        <f t="shared" si="2"/>
        <v>5</v>
      </c>
      <c r="O29" s="37" t="s">
        <v>171</v>
      </c>
      <c r="P29">
        <v>603996873</v>
      </c>
      <c r="Q29" t="s">
        <v>329</v>
      </c>
      <c r="R29" s="34"/>
      <c r="S29" s="34"/>
    </row>
    <row r="30" spans="1:19" ht="15" customHeight="1" x14ac:dyDescent="0.25">
      <c r="A30" s="7"/>
      <c r="B30" s="5" t="s">
        <v>596</v>
      </c>
      <c r="C30" s="5" t="s">
        <v>644</v>
      </c>
      <c r="D30" s="6" t="s">
        <v>0</v>
      </c>
      <c r="E30" s="22" t="s">
        <v>104</v>
      </c>
      <c r="F30" s="5" t="s">
        <v>103</v>
      </c>
      <c r="G30" s="5" t="s">
        <v>380</v>
      </c>
      <c r="H30" s="6" t="s">
        <v>87</v>
      </c>
      <c r="I30" s="5">
        <v>500</v>
      </c>
      <c r="J30" s="15">
        <v>0</v>
      </c>
      <c r="K30" s="7"/>
      <c r="L30" s="36">
        <v>39452</v>
      </c>
      <c r="M30" s="37">
        <f t="shared" si="2"/>
        <v>6</v>
      </c>
      <c r="N30" s="34">
        <v>523</v>
      </c>
      <c r="O30" s="37" t="s">
        <v>171</v>
      </c>
      <c r="Q30" t="s">
        <v>330</v>
      </c>
      <c r="R30" s="34"/>
      <c r="S30" s="34"/>
    </row>
    <row r="31" spans="1:19" ht="15" customHeight="1" x14ac:dyDescent="0.25">
      <c r="A31" s="7"/>
      <c r="B31" s="5" t="s">
        <v>620</v>
      </c>
      <c r="C31" s="5" t="s">
        <v>641</v>
      </c>
      <c r="D31" s="6" t="s">
        <v>0</v>
      </c>
      <c r="E31" s="22" t="s">
        <v>80</v>
      </c>
      <c r="F31" s="5" t="s">
        <v>79</v>
      </c>
      <c r="G31" s="5" t="s">
        <v>380</v>
      </c>
      <c r="H31" s="6" t="s">
        <v>87</v>
      </c>
      <c r="I31" s="5">
        <v>500</v>
      </c>
      <c r="J31" s="15">
        <v>0</v>
      </c>
      <c r="K31" s="7"/>
      <c r="L31" s="36">
        <v>40340</v>
      </c>
      <c r="M31" s="37">
        <f t="shared" si="2"/>
        <v>4</v>
      </c>
      <c r="N31" s="34" t="s">
        <v>327</v>
      </c>
      <c r="O31" s="37" t="s">
        <v>171</v>
      </c>
      <c r="Q31" t="s">
        <v>328</v>
      </c>
      <c r="R31" s="34"/>
      <c r="S31" s="34"/>
    </row>
    <row r="32" spans="1:19" ht="15" customHeight="1" x14ac:dyDescent="0.25">
      <c r="A32" s="7"/>
      <c r="B32" s="5" t="s">
        <v>623</v>
      </c>
      <c r="C32" s="5" t="s">
        <v>645</v>
      </c>
      <c r="D32" s="6" t="s">
        <v>0</v>
      </c>
      <c r="E32" s="22" t="s">
        <v>35</v>
      </c>
      <c r="F32" s="5" t="s">
        <v>10</v>
      </c>
      <c r="G32" s="5" t="s">
        <v>380</v>
      </c>
      <c r="H32" s="6" t="s">
        <v>87</v>
      </c>
      <c r="I32" s="69">
        <v>0</v>
      </c>
      <c r="J32" s="70">
        <v>500</v>
      </c>
      <c r="K32" s="7" t="s">
        <v>605</v>
      </c>
      <c r="L32" s="36">
        <v>40078</v>
      </c>
      <c r="M32" s="37">
        <f t="shared" si="2"/>
        <v>5</v>
      </c>
      <c r="O32" s="37" t="s">
        <v>171</v>
      </c>
      <c r="Q32" t="s">
        <v>331</v>
      </c>
      <c r="R32" s="34"/>
      <c r="S32" s="34"/>
    </row>
    <row r="33" spans="1:19" ht="15" customHeight="1" x14ac:dyDescent="0.25">
      <c r="A33" s="7"/>
      <c r="B33" s="5" t="s">
        <v>534</v>
      </c>
      <c r="C33" s="5" t="s">
        <v>646</v>
      </c>
      <c r="D33" s="6" t="s">
        <v>0</v>
      </c>
      <c r="E33" s="22" t="s">
        <v>466</v>
      </c>
      <c r="F33" s="5" t="s">
        <v>10</v>
      </c>
      <c r="G33" s="5" t="s">
        <v>380</v>
      </c>
      <c r="H33" s="6" t="s">
        <v>87</v>
      </c>
      <c r="I33" s="69">
        <v>0</v>
      </c>
      <c r="J33" s="70">
        <v>500</v>
      </c>
      <c r="K33" s="7" t="s">
        <v>605</v>
      </c>
      <c r="L33" s="36">
        <v>40177</v>
      </c>
      <c r="M33" s="37">
        <f t="shared" si="2"/>
        <v>5</v>
      </c>
      <c r="O33" s="37" t="s">
        <v>171</v>
      </c>
      <c r="P33">
        <v>776726678</v>
      </c>
      <c r="Q33" t="s">
        <v>467</v>
      </c>
      <c r="R33" s="34"/>
      <c r="S33" s="34"/>
    </row>
    <row r="34" spans="1:19" ht="15" customHeight="1" x14ac:dyDescent="0.25">
      <c r="A34" s="7"/>
      <c r="B34" s="5" t="s">
        <v>620</v>
      </c>
      <c r="C34" s="5" t="s">
        <v>647</v>
      </c>
      <c r="D34" s="6" t="s">
        <v>0</v>
      </c>
      <c r="E34" s="22" t="s">
        <v>17</v>
      </c>
      <c r="F34" s="5" t="s">
        <v>10</v>
      </c>
      <c r="G34" s="5" t="s">
        <v>380</v>
      </c>
      <c r="H34" s="6" t="s">
        <v>87</v>
      </c>
      <c r="I34" s="5">
        <v>300</v>
      </c>
      <c r="J34" s="15">
        <v>300</v>
      </c>
      <c r="K34" s="7"/>
      <c r="L34" s="36">
        <v>40282</v>
      </c>
      <c r="M34" s="37">
        <f t="shared" si="2"/>
        <v>4</v>
      </c>
      <c r="N34" s="34" t="s">
        <v>335</v>
      </c>
      <c r="O34" s="37" t="s">
        <v>171</v>
      </c>
      <c r="Q34" t="s">
        <v>333</v>
      </c>
      <c r="R34" s="34"/>
      <c r="S34" s="34"/>
    </row>
    <row r="35" spans="1:19" ht="15" customHeight="1" x14ac:dyDescent="0.25">
      <c r="A35" s="7"/>
      <c r="B35" s="5" t="s">
        <v>505</v>
      </c>
      <c r="C35" s="5" t="s">
        <v>648</v>
      </c>
      <c r="D35" s="6" t="s">
        <v>0</v>
      </c>
      <c r="E35" s="22" t="s">
        <v>9</v>
      </c>
      <c r="F35" s="5" t="s">
        <v>10</v>
      </c>
      <c r="G35" s="5" t="s">
        <v>379</v>
      </c>
      <c r="H35" s="6" t="s">
        <v>87</v>
      </c>
      <c r="I35" s="69">
        <v>0</v>
      </c>
      <c r="J35" s="70">
        <v>300</v>
      </c>
      <c r="K35" s="7" t="s">
        <v>605</v>
      </c>
      <c r="L35" s="36">
        <v>40307</v>
      </c>
      <c r="M35" s="37">
        <f t="shared" si="2"/>
        <v>4</v>
      </c>
      <c r="O35" s="37" t="s">
        <v>171</v>
      </c>
      <c r="P35">
        <v>775937373</v>
      </c>
      <c r="Q35" t="s">
        <v>332</v>
      </c>
      <c r="R35" s="34"/>
      <c r="S35" s="34"/>
    </row>
    <row r="36" spans="1:19" ht="15" customHeight="1" x14ac:dyDescent="0.25">
      <c r="A36" s="7"/>
      <c r="B36" s="5" t="s">
        <v>620</v>
      </c>
      <c r="C36" s="5" t="s">
        <v>647</v>
      </c>
      <c r="D36" s="6" t="s">
        <v>0</v>
      </c>
      <c r="E36" s="22" t="s">
        <v>16</v>
      </c>
      <c r="F36" s="5" t="s">
        <v>10</v>
      </c>
      <c r="G36" s="5" t="s">
        <v>379</v>
      </c>
      <c r="H36" s="6" t="s">
        <v>87</v>
      </c>
      <c r="I36" s="5">
        <v>250</v>
      </c>
      <c r="J36" s="15">
        <v>0</v>
      </c>
      <c r="K36" s="7"/>
      <c r="L36" s="36">
        <v>39032</v>
      </c>
      <c r="M36" s="37">
        <f t="shared" si="2"/>
        <v>8</v>
      </c>
      <c r="N36" s="34" t="s">
        <v>334</v>
      </c>
      <c r="O36" s="37" t="s">
        <v>171</v>
      </c>
      <c r="Q36" t="s">
        <v>333</v>
      </c>
      <c r="R36" s="34"/>
      <c r="S36" s="34"/>
    </row>
    <row r="37" spans="1:19" ht="15" customHeight="1" x14ac:dyDescent="0.25">
      <c r="A37" s="7"/>
      <c r="B37" s="7" t="s">
        <v>649</v>
      </c>
      <c r="C37" s="7" t="s">
        <v>650</v>
      </c>
      <c r="D37" s="6" t="s">
        <v>0</v>
      </c>
      <c r="E37" s="15" t="s">
        <v>338</v>
      </c>
      <c r="F37" s="5" t="s">
        <v>10</v>
      </c>
      <c r="G37" s="5" t="s">
        <v>379</v>
      </c>
      <c r="H37" s="6" t="s">
        <v>87</v>
      </c>
      <c r="I37" s="22">
        <v>500</v>
      </c>
      <c r="J37" s="15">
        <v>0</v>
      </c>
      <c r="K37" s="7"/>
      <c r="L37" s="36">
        <v>40239</v>
      </c>
      <c r="M37" s="37">
        <f t="shared" si="2"/>
        <v>4</v>
      </c>
      <c r="N37" s="34" t="s">
        <v>337</v>
      </c>
      <c r="O37" s="37" t="s">
        <v>171</v>
      </c>
      <c r="Q37" t="s">
        <v>336</v>
      </c>
      <c r="R37" s="34"/>
      <c r="S37" s="34"/>
    </row>
    <row r="38" spans="1:19" ht="15" customHeight="1" x14ac:dyDescent="0.25">
      <c r="A38" s="7"/>
      <c r="B38" s="5" t="s">
        <v>651</v>
      </c>
      <c r="C38" s="5" t="s">
        <v>652</v>
      </c>
      <c r="D38" s="6" t="s">
        <v>0</v>
      </c>
      <c r="E38" s="22" t="s">
        <v>21</v>
      </c>
      <c r="F38" s="5" t="s">
        <v>22</v>
      </c>
      <c r="G38" s="5" t="s">
        <v>380</v>
      </c>
      <c r="H38" s="6" t="s">
        <v>87</v>
      </c>
      <c r="I38" s="69">
        <v>0</v>
      </c>
      <c r="J38" s="70">
        <v>300</v>
      </c>
      <c r="K38" s="7" t="s">
        <v>605</v>
      </c>
      <c r="L38" s="36">
        <v>40353</v>
      </c>
      <c r="M38" s="37">
        <f t="shared" si="2"/>
        <v>4</v>
      </c>
      <c r="N38" s="34" t="s">
        <v>340</v>
      </c>
      <c r="O38" s="37" t="s">
        <v>171</v>
      </c>
      <c r="P38">
        <v>739472883</v>
      </c>
      <c r="Q38" t="s">
        <v>339</v>
      </c>
      <c r="R38" s="34"/>
      <c r="S38" s="34"/>
    </row>
    <row r="39" spans="1:19" ht="15" customHeight="1" x14ac:dyDescent="0.25">
      <c r="A39" s="7"/>
      <c r="B39" s="5" t="s">
        <v>651</v>
      </c>
      <c r="C39" s="5" t="s">
        <v>652</v>
      </c>
      <c r="D39" s="6" t="s">
        <v>0</v>
      </c>
      <c r="E39" s="22" t="s">
        <v>23</v>
      </c>
      <c r="F39" s="5" t="s">
        <v>22</v>
      </c>
      <c r="G39" s="5" t="s">
        <v>380</v>
      </c>
      <c r="H39" s="6" t="s">
        <v>87</v>
      </c>
      <c r="I39" s="69">
        <v>0</v>
      </c>
      <c r="J39" s="70">
        <v>250</v>
      </c>
      <c r="K39" s="7" t="s">
        <v>605</v>
      </c>
      <c r="L39" s="36">
        <v>40676</v>
      </c>
      <c r="M39" s="37">
        <f t="shared" si="2"/>
        <v>3</v>
      </c>
      <c r="N39" s="34" t="s">
        <v>341</v>
      </c>
      <c r="O39" s="37" t="s">
        <v>171</v>
      </c>
      <c r="P39">
        <v>739472883</v>
      </c>
      <c r="Q39" t="s">
        <v>339</v>
      </c>
      <c r="R39" s="34"/>
      <c r="S39" s="34"/>
    </row>
    <row r="40" spans="1:19" ht="15" customHeight="1" x14ac:dyDescent="0.25">
      <c r="A40" s="7"/>
      <c r="B40" s="5" t="s">
        <v>651</v>
      </c>
      <c r="C40" s="5" t="s">
        <v>652</v>
      </c>
      <c r="D40" s="6" t="s">
        <v>0</v>
      </c>
      <c r="E40" s="22" t="s">
        <v>24</v>
      </c>
      <c r="F40" s="5" t="s">
        <v>22</v>
      </c>
      <c r="G40" s="5" t="s">
        <v>379</v>
      </c>
      <c r="H40" s="6" t="s">
        <v>87</v>
      </c>
      <c r="I40" s="69">
        <v>0</v>
      </c>
      <c r="J40" s="70">
        <v>250</v>
      </c>
      <c r="K40" s="15" t="s">
        <v>605</v>
      </c>
      <c r="L40" s="36">
        <v>40863</v>
      </c>
      <c r="M40" s="37">
        <f t="shared" si="2"/>
        <v>3</v>
      </c>
      <c r="N40" s="34" t="s">
        <v>342</v>
      </c>
      <c r="O40" s="37" t="s">
        <v>171</v>
      </c>
      <c r="P40">
        <v>739472883</v>
      </c>
      <c r="Q40" t="s">
        <v>339</v>
      </c>
      <c r="R40" s="34"/>
      <c r="S40" s="34"/>
    </row>
    <row r="41" spans="1:19" ht="15" customHeight="1" x14ac:dyDescent="0.25">
      <c r="A41" s="7"/>
      <c r="B41" s="5" t="s">
        <v>282</v>
      </c>
      <c r="C41" s="5" t="s">
        <v>598</v>
      </c>
      <c r="D41" s="6" t="s">
        <v>0</v>
      </c>
      <c r="E41" s="22" t="s">
        <v>13</v>
      </c>
      <c r="F41" s="5" t="s">
        <v>14</v>
      </c>
      <c r="G41" s="5" t="s">
        <v>380</v>
      </c>
      <c r="H41" s="6" t="s">
        <v>89</v>
      </c>
      <c r="I41" s="5">
        <v>0</v>
      </c>
      <c r="J41" s="15">
        <v>600</v>
      </c>
      <c r="K41" s="20" t="s">
        <v>492</v>
      </c>
      <c r="L41" s="36">
        <v>41012</v>
      </c>
      <c r="M41" s="37">
        <f t="shared" si="2"/>
        <v>2</v>
      </c>
      <c r="N41" s="34" t="s">
        <v>343</v>
      </c>
      <c r="O41" s="37" t="s">
        <v>171</v>
      </c>
      <c r="P41">
        <v>608866564</v>
      </c>
      <c r="Q41" t="s">
        <v>344</v>
      </c>
      <c r="R41" s="34"/>
      <c r="S41" s="34"/>
    </row>
    <row r="42" spans="1:19" ht="15" customHeight="1" x14ac:dyDescent="0.25">
      <c r="A42" s="7"/>
      <c r="B42" s="5" t="s">
        <v>653</v>
      </c>
      <c r="C42" s="5" t="s">
        <v>654</v>
      </c>
      <c r="D42" s="6" t="s">
        <v>0</v>
      </c>
      <c r="E42" s="22" t="s">
        <v>46</v>
      </c>
      <c r="F42" s="5" t="s">
        <v>14</v>
      </c>
      <c r="G42" s="5" t="s">
        <v>379</v>
      </c>
      <c r="H42" s="6" t="s">
        <v>89</v>
      </c>
      <c r="I42" s="5">
        <v>500</v>
      </c>
      <c r="J42" s="15">
        <v>0</v>
      </c>
      <c r="K42" s="7"/>
      <c r="L42" s="36">
        <v>40807</v>
      </c>
      <c r="M42" s="37">
        <f t="shared" si="2"/>
        <v>3</v>
      </c>
      <c r="N42" s="34" t="s">
        <v>346</v>
      </c>
      <c r="O42" s="37" t="s">
        <v>171</v>
      </c>
      <c r="Q42" t="s">
        <v>345</v>
      </c>
      <c r="R42" s="34"/>
      <c r="S42" s="34"/>
    </row>
    <row r="43" spans="1:19" ht="15" customHeight="1" x14ac:dyDescent="0.25">
      <c r="A43" s="7"/>
      <c r="B43" s="5" t="s">
        <v>655</v>
      </c>
      <c r="C43" s="5" t="s">
        <v>656</v>
      </c>
      <c r="D43" s="6" t="s">
        <v>0</v>
      </c>
      <c r="E43" s="22" t="s">
        <v>50</v>
      </c>
      <c r="F43" s="5" t="s">
        <v>81</v>
      </c>
      <c r="G43" s="5" t="s">
        <v>379</v>
      </c>
      <c r="H43" s="6" t="s">
        <v>90</v>
      </c>
      <c r="I43" s="5">
        <v>300</v>
      </c>
      <c r="J43" s="15">
        <v>0</v>
      </c>
      <c r="K43" s="7"/>
      <c r="L43" s="36">
        <v>40530</v>
      </c>
      <c r="M43" s="37">
        <f t="shared" si="2"/>
        <v>4</v>
      </c>
      <c r="N43" s="34" t="s">
        <v>348</v>
      </c>
      <c r="O43" s="37" t="s">
        <v>171</v>
      </c>
      <c r="P43">
        <v>777100889</v>
      </c>
      <c r="Q43" t="s">
        <v>347</v>
      </c>
      <c r="R43" s="34"/>
      <c r="S43" s="34"/>
    </row>
    <row r="44" spans="1:19" ht="15" customHeight="1" x14ac:dyDescent="0.25">
      <c r="A44" s="7"/>
      <c r="B44" s="5" t="s">
        <v>655</v>
      </c>
      <c r="C44" s="5" t="s">
        <v>656</v>
      </c>
      <c r="D44" s="6" t="s">
        <v>0</v>
      </c>
      <c r="E44" s="22" t="s">
        <v>51</v>
      </c>
      <c r="F44" s="5" t="s">
        <v>81</v>
      </c>
      <c r="G44" s="5" t="s">
        <v>379</v>
      </c>
      <c r="H44" s="6" t="s">
        <v>90</v>
      </c>
      <c r="I44" s="5">
        <v>300</v>
      </c>
      <c r="J44" s="15">
        <v>0</v>
      </c>
      <c r="K44" s="7"/>
      <c r="L44" s="36">
        <v>40530</v>
      </c>
      <c r="M44" s="37">
        <f t="shared" si="2"/>
        <v>4</v>
      </c>
      <c r="N44" s="34" t="s">
        <v>349</v>
      </c>
      <c r="O44" s="37" t="s">
        <v>171</v>
      </c>
      <c r="P44">
        <v>777100889</v>
      </c>
      <c r="Q44" t="s">
        <v>347</v>
      </c>
      <c r="R44" s="34"/>
      <c r="S44" s="34"/>
    </row>
    <row r="45" spans="1:19" ht="15" customHeight="1" x14ac:dyDescent="0.25">
      <c r="A45" s="7"/>
      <c r="B45" s="5" t="s">
        <v>671</v>
      </c>
      <c r="C45" s="5" t="s">
        <v>672</v>
      </c>
      <c r="D45" s="6" t="s">
        <v>0</v>
      </c>
      <c r="E45" s="22" t="s">
        <v>82</v>
      </c>
      <c r="F45" s="5" t="s">
        <v>81</v>
      </c>
      <c r="G45" s="5" t="s">
        <v>379</v>
      </c>
      <c r="H45" s="6" t="s">
        <v>90</v>
      </c>
      <c r="I45" s="5">
        <v>0</v>
      </c>
      <c r="J45" s="15">
        <v>500</v>
      </c>
      <c r="K45" s="7"/>
      <c r="L45" s="36">
        <v>40210</v>
      </c>
      <c r="M45" s="37">
        <f t="shared" si="2"/>
        <v>4</v>
      </c>
      <c r="O45" s="37" t="s">
        <v>171</v>
      </c>
      <c r="Q45" t="s">
        <v>351</v>
      </c>
    </row>
    <row r="46" spans="1:19" ht="15" customHeight="1" x14ac:dyDescent="0.25">
      <c r="A46" s="7"/>
      <c r="B46" s="5" t="s">
        <v>501</v>
      </c>
      <c r="C46" s="5" t="s">
        <v>657</v>
      </c>
      <c r="D46" s="6" t="s">
        <v>0</v>
      </c>
      <c r="E46" s="22" t="s">
        <v>63</v>
      </c>
      <c r="F46" s="5" t="s">
        <v>64</v>
      </c>
      <c r="G46" s="5" t="s">
        <v>380</v>
      </c>
      <c r="H46" s="6" t="s">
        <v>88</v>
      </c>
      <c r="I46" s="5">
        <v>0</v>
      </c>
      <c r="J46" s="15">
        <v>300</v>
      </c>
      <c r="K46" s="22" t="s">
        <v>679</v>
      </c>
      <c r="L46" s="36">
        <v>41043</v>
      </c>
      <c r="M46" s="37">
        <f t="shared" si="2"/>
        <v>2</v>
      </c>
      <c r="O46" s="37" t="s">
        <v>171</v>
      </c>
      <c r="P46">
        <v>724458012</v>
      </c>
      <c r="Q46" t="s">
        <v>350</v>
      </c>
    </row>
    <row r="47" spans="1:19" ht="15" customHeight="1" x14ac:dyDescent="0.25">
      <c r="A47" s="7"/>
      <c r="B47" s="22" t="s">
        <v>658</v>
      </c>
      <c r="C47" s="22" t="s">
        <v>659</v>
      </c>
      <c r="D47" s="6" t="s">
        <v>0</v>
      </c>
      <c r="E47" s="22" t="s">
        <v>159</v>
      </c>
      <c r="F47" s="22" t="s">
        <v>100</v>
      </c>
      <c r="G47" s="22" t="s">
        <v>379</v>
      </c>
      <c r="H47" s="23" t="s">
        <v>88</v>
      </c>
      <c r="I47" s="5">
        <v>0</v>
      </c>
      <c r="J47" s="15">
        <v>500</v>
      </c>
      <c r="K47" s="7"/>
      <c r="L47" s="36"/>
      <c r="M47" s="37"/>
      <c r="O47" s="37" t="s">
        <v>171</v>
      </c>
      <c r="Q47" t="s">
        <v>354</v>
      </c>
    </row>
    <row r="48" spans="1:19" ht="15" customHeight="1" x14ac:dyDescent="0.25">
      <c r="A48" s="7"/>
      <c r="B48" s="5" t="s">
        <v>660</v>
      </c>
      <c r="C48" s="5" t="s">
        <v>661</v>
      </c>
      <c r="D48" s="6" t="s">
        <v>0</v>
      </c>
      <c r="E48" s="22" t="s">
        <v>74</v>
      </c>
      <c r="F48" s="5" t="s">
        <v>64</v>
      </c>
      <c r="G48" s="5" t="s">
        <v>380</v>
      </c>
      <c r="H48" s="6" t="s">
        <v>88</v>
      </c>
      <c r="I48" s="5">
        <v>300</v>
      </c>
      <c r="J48" s="15">
        <v>0</v>
      </c>
      <c r="K48" s="7"/>
      <c r="L48" s="36">
        <v>40310</v>
      </c>
      <c r="M48" s="37">
        <f>DATEDIF(L48,$S$1,"Y")</f>
        <v>4</v>
      </c>
      <c r="N48" s="34" t="s">
        <v>352</v>
      </c>
      <c r="O48" s="37" t="s">
        <v>171</v>
      </c>
      <c r="Q48" t="s">
        <v>353</v>
      </c>
    </row>
    <row r="49" spans="1:19" ht="15" customHeight="1" x14ac:dyDescent="0.25">
      <c r="A49" s="7"/>
      <c r="B49" s="5" t="s">
        <v>662</v>
      </c>
      <c r="C49" s="5" t="s">
        <v>663</v>
      </c>
      <c r="D49" s="6" t="s">
        <v>0</v>
      </c>
      <c r="E49" s="22" t="s">
        <v>58</v>
      </c>
      <c r="F49" s="5" t="s">
        <v>57</v>
      </c>
      <c r="G49" s="5" t="s">
        <v>380</v>
      </c>
      <c r="H49" s="6" t="s">
        <v>88</v>
      </c>
      <c r="I49" s="5">
        <v>500</v>
      </c>
      <c r="J49" s="15">
        <v>0</v>
      </c>
      <c r="K49" s="7"/>
      <c r="L49" s="36">
        <v>39775</v>
      </c>
      <c r="M49" s="37">
        <f>DATEDIF(L49,$S$1,"Y")</f>
        <v>6</v>
      </c>
      <c r="O49" s="37" t="s">
        <v>171</v>
      </c>
      <c r="Q49" t="s">
        <v>355</v>
      </c>
    </row>
    <row r="50" spans="1:19" ht="15" customHeight="1" x14ac:dyDescent="0.25">
      <c r="A50" s="7"/>
      <c r="B50" s="5" t="s">
        <v>623</v>
      </c>
      <c r="C50" s="5" t="s">
        <v>664</v>
      </c>
      <c r="D50" s="6" t="s">
        <v>0</v>
      </c>
      <c r="E50" s="22" t="s">
        <v>11</v>
      </c>
      <c r="F50" s="5" t="s">
        <v>12</v>
      </c>
      <c r="G50" s="5" t="s">
        <v>380</v>
      </c>
      <c r="H50" s="6" t="s">
        <v>88</v>
      </c>
      <c r="I50" s="5">
        <v>500</v>
      </c>
      <c r="J50" s="15">
        <v>0</v>
      </c>
      <c r="K50" s="7"/>
      <c r="L50" s="36">
        <v>39170</v>
      </c>
      <c r="M50" s="37">
        <f>DATEDIF(L50,$S$1,"Y")</f>
        <v>7</v>
      </c>
      <c r="O50" s="37" t="s">
        <v>171</v>
      </c>
      <c r="Q50" t="s">
        <v>356</v>
      </c>
    </row>
    <row r="51" spans="1:19" ht="15" customHeight="1" x14ac:dyDescent="0.25">
      <c r="A51" s="7"/>
      <c r="B51" s="5" t="s">
        <v>653</v>
      </c>
      <c r="C51" s="5" t="s">
        <v>665</v>
      </c>
      <c r="D51" s="6" t="s">
        <v>0</v>
      </c>
      <c r="E51" s="22" t="s">
        <v>48</v>
      </c>
      <c r="F51" s="5" t="s">
        <v>12</v>
      </c>
      <c r="G51" s="5" t="s">
        <v>380</v>
      </c>
      <c r="H51" s="6" t="s">
        <v>88</v>
      </c>
      <c r="I51" s="5">
        <v>500</v>
      </c>
      <c r="J51" s="15">
        <v>0</v>
      </c>
      <c r="K51" s="7"/>
      <c r="L51" s="36">
        <v>41060</v>
      </c>
      <c r="M51" s="37">
        <f>DATEDIF(L51,$S$1,"Y")</f>
        <v>2</v>
      </c>
      <c r="O51" s="37" t="s">
        <v>171</v>
      </c>
      <c r="P51">
        <v>732406498</v>
      </c>
      <c r="Q51" t="s">
        <v>357</v>
      </c>
    </row>
    <row r="52" spans="1:19" ht="15" customHeight="1" x14ac:dyDescent="0.25">
      <c r="A52" s="7"/>
      <c r="B52" s="5" t="s">
        <v>526</v>
      </c>
      <c r="C52" s="5" t="s">
        <v>666</v>
      </c>
      <c r="D52" s="6" t="s">
        <v>0</v>
      </c>
      <c r="E52" s="22" t="s">
        <v>61</v>
      </c>
      <c r="F52" s="5" t="s">
        <v>62</v>
      </c>
      <c r="G52" s="5" t="s">
        <v>380</v>
      </c>
      <c r="H52" s="6" t="s">
        <v>99</v>
      </c>
      <c r="I52" s="5">
        <v>500</v>
      </c>
      <c r="J52" s="15">
        <v>0</v>
      </c>
      <c r="K52" s="7"/>
      <c r="M52" s="37"/>
      <c r="O52" s="37" t="s">
        <v>171</v>
      </c>
      <c r="Q52" t="s">
        <v>358</v>
      </c>
    </row>
    <row r="53" spans="1:19" ht="15" customHeight="1" x14ac:dyDescent="0.25">
      <c r="A53" s="7"/>
      <c r="B53" s="5" t="s">
        <v>611</v>
      </c>
      <c r="C53" s="5" t="s">
        <v>587</v>
      </c>
      <c r="D53" s="6" t="s">
        <v>0</v>
      </c>
      <c r="E53" s="22" t="s">
        <v>41</v>
      </c>
      <c r="F53" s="5" t="s">
        <v>26</v>
      </c>
      <c r="G53" s="5" t="s">
        <v>380</v>
      </c>
      <c r="H53" s="6" t="s">
        <v>216</v>
      </c>
      <c r="I53" s="5">
        <v>0</v>
      </c>
      <c r="J53" s="15">
        <v>250</v>
      </c>
      <c r="K53" s="7"/>
      <c r="M53" s="37"/>
      <c r="O53" s="37" t="s">
        <v>171</v>
      </c>
      <c r="Q53" t="s">
        <v>247</v>
      </c>
    </row>
    <row r="54" spans="1:19" ht="15" customHeight="1" x14ac:dyDescent="0.25">
      <c r="A54" s="7"/>
      <c r="B54" s="5" t="s">
        <v>616</v>
      </c>
      <c r="C54" s="5" t="s">
        <v>615</v>
      </c>
      <c r="D54" s="6" t="s">
        <v>0</v>
      </c>
      <c r="E54" s="22" t="s">
        <v>59</v>
      </c>
      <c r="F54" s="5" t="s">
        <v>26</v>
      </c>
      <c r="G54" s="5" t="s">
        <v>380</v>
      </c>
      <c r="H54" s="6" t="s">
        <v>216</v>
      </c>
      <c r="I54" s="5">
        <v>0</v>
      </c>
      <c r="J54" s="15">
        <v>250</v>
      </c>
      <c r="K54" s="7"/>
      <c r="L54" s="36">
        <v>39447</v>
      </c>
      <c r="M54" s="37">
        <f>DATEDIF(L54,$S$1,"Y")</f>
        <v>7</v>
      </c>
      <c r="N54" s="34">
        <v>350</v>
      </c>
      <c r="O54" s="37" t="s">
        <v>171</v>
      </c>
      <c r="Q54" t="s">
        <v>251</v>
      </c>
    </row>
    <row r="55" spans="1:19" ht="15" customHeight="1" x14ac:dyDescent="0.25">
      <c r="A55" s="7"/>
      <c r="B55" s="5" t="s">
        <v>662</v>
      </c>
      <c r="C55" s="5" t="s">
        <v>667</v>
      </c>
      <c r="D55" s="6" t="s">
        <v>0</v>
      </c>
      <c r="E55" s="22" t="s">
        <v>75</v>
      </c>
      <c r="F55" s="5" t="s">
        <v>26</v>
      </c>
      <c r="G55" s="5" t="s">
        <v>379</v>
      </c>
      <c r="H55" s="6" t="s">
        <v>216</v>
      </c>
      <c r="I55" s="5">
        <v>500</v>
      </c>
      <c r="J55" s="15">
        <v>0</v>
      </c>
      <c r="K55" s="7"/>
      <c r="L55" s="36">
        <v>41305</v>
      </c>
      <c r="M55" s="37">
        <f>DATEDIF(L55,$S$1,"Y")</f>
        <v>1</v>
      </c>
      <c r="N55" s="34" t="s">
        <v>363</v>
      </c>
      <c r="O55" s="37" t="s">
        <v>171</v>
      </c>
      <c r="P55">
        <v>776160018</v>
      </c>
      <c r="Q55" t="s">
        <v>359</v>
      </c>
    </row>
    <row r="56" spans="1:19" ht="15" customHeight="1" x14ac:dyDescent="0.25">
      <c r="A56" s="7"/>
      <c r="B56" s="5" t="s">
        <v>668</v>
      </c>
      <c r="C56" s="5" t="s">
        <v>669</v>
      </c>
      <c r="D56" s="6" t="s">
        <v>0</v>
      </c>
      <c r="E56" s="22" t="s">
        <v>31</v>
      </c>
      <c r="F56" s="5" t="s">
        <v>26</v>
      </c>
      <c r="G56" s="5" t="s">
        <v>379</v>
      </c>
      <c r="H56" s="6" t="s">
        <v>216</v>
      </c>
      <c r="I56" s="5">
        <v>0</v>
      </c>
      <c r="J56" s="15">
        <v>300</v>
      </c>
      <c r="K56" s="7"/>
      <c r="L56" s="36">
        <v>40614</v>
      </c>
      <c r="M56" s="37">
        <f>DATEDIF(L56,$S$1,"Y")</f>
        <v>3</v>
      </c>
      <c r="O56" s="37" t="s">
        <v>171</v>
      </c>
      <c r="P56">
        <v>737336503</v>
      </c>
      <c r="Q56" t="s">
        <v>360</v>
      </c>
    </row>
    <row r="57" spans="1:19" ht="15" customHeight="1" x14ac:dyDescent="0.25">
      <c r="A57" s="7"/>
      <c r="B57" s="5" t="s">
        <v>276</v>
      </c>
      <c r="C57" s="5" t="s">
        <v>670</v>
      </c>
      <c r="D57" s="6" t="s">
        <v>0</v>
      </c>
      <c r="E57" s="22" t="s">
        <v>217</v>
      </c>
      <c r="F57" s="5" t="s">
        <v>218</v>
      </c>
      <c r="G57" s="5" t="s">
        <v>380</v>
      </c>
      <c r="H57" s="6" t="s">
        <v>216</v>
      </c>
      <c r="I57" s="5">
        <v>300</v>
      </c>
      <c r="J57" s="15">
        <v>0</v>
      </c>
      <c r="K57" s="7"/>
      <c r="L57" s="36">
        <v>40296</v>
      </c>
      <c r="M57" s="37">
        <f>DATEDIF(L57,$S$1,"Y")</f>
        <v>4</v>
      </c>
      <c r="N57" s="36" t="s">
        <v>364</v>
      </c>
      <c r="O57" s="37" t="s">
        <v>171</v>
      </c>
      <c r="P57">
        <v>605481279</v>
      </c>
      <c r="Q57" t="s">
        <v>361</v>
      </c>
    </row>
    <row r="58" spans="1:19" ht="15" customHeight="1" x14ac:dyDescent="0.25">
      <c r="A58" s="4"/>
      <c r="B58" s="5"/>
      <c r="C58" s="5"/>
      <c r="D58" s="6"/>
      <c r="E58" s="22"/>
      <c r="F58" s="5"/>
      <c r="G58" s="5"/>
      <c r="H58" s="6"/>
      <c r="I58" s="5"/>
      <c r="J58" s="15"/>
      <c r="M58" s="37"/>
    </row>
    <row r="59" spans="1:19" ht="15" customHeight="1" x14ac:dyDescent="0.25">
      <c r="A59" s="9" t="s">
        <v>102</v>
      </c>
      <c r="B59" s="11"/>
      <c r="C59" s="11"/>
      <c r="D59" s="12"/>
      <c r="E59" s="11"/>
      <c r="F59" s="11"/>
      <c r="G59" s="11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3" t="s">
        <v>601</v>
      </c>
      <c r="S59" s="13" t="s">
        <v>602</v>
      </c>
    </row>
    <row r="60" spans="1:19" ht="15" customHeight="1" x14ac:dyDescent="0.25">
      <c r="A60" s="48"/>
      <c r="B60" s="5" t="s">
        <v>520</v>
      </c>
      <c r="C60" s="5" t="s">
        <v>677</v>
      </c>
      <c r="D60" s="6" t="s">
        <v>2</v>
      </c>
      <c r="E60" s="22" t="s">
        <v>45</v>
      </c>
      <c r="F60" s="5" t="s">
        <v>10</v>
      </c>
      <c r="G60" s="5" t="s">
        <v>380</v>
      </c>
      <c r="H60" s="6" t="s">
        <v>87</v>
      </c>
      <c r="I60" s="5">
        <v>0</v>
      </c>
      <c r="J60" s="15">
        <v>300</v>
      </c>
      <c r="M60" s="37"/>
      <c r="O60" s="37" t="s">
        <v>171</v>
      </c>
      <c r="Q60" t="s">
        <v>362</v>
      </c>
    </row>
    <row r="61" spans="1:19" ht="15" customHeight="1" x14ac:dyDescent="0.25">
      <c r="A61" s="4"/>
      <c r="B61" s="5" t="s">
        <v>282</v>
      </c>
      <c r="C61" s="5" t="s">
        <v>598</v>
      </c>
      <c r="D61" s="6" t="s">
        <v>2</v>
      </c>
      <c r="E61" s="22" t="s">
        <v>15</v>
      </c>
      <c r="F61" s="5" t="s">
        <v>14</v>
      </c>
      <c r="G61" s="5" t="s">
        <v>380</v>
      </c>
      <c r="H61" s="6" t="s">
        <v>89</v>
      </c>
      <c r="I61" s="5">
        <v>0</v>
      </c>
      <c r="J61" s="15">
        <v>300</v>
      </c>
      <c r="L61" s="36">
        <v>41259</v>
      </c>
      <c r="M61" s="37">
        <f>DATEDIF(L61,$S$1,"Y")</f>
        <v>2</v>
      </c>
      <c r="O61" s="37" t="s">
        <v>171</v>
      </c>
      <c r="P61">
        <v>608866564</v>
      </c>
      <c r="Q61" t="s">
        <v>344</v>
      </c>
      <c r="R61" t="s">
        <v>603</v>
      </c>
      <c r="S61" t="s">
        <v>603</v>
      </c>
    </row>
    <row r="62" spans="1:19" ht="15" customHeight="1" x14ac:dyDescent="0.25">
      <c r="A62" s="7"/>
      <c r="B62" s="5" t="s">
        <v>676</v>
      </c>
      <c r="C62" s="5" t="s">
        <v>675</v>
      </c>
      <c r="D62" s="6" t="s">
        <v>2</v>
      </c>
      <c r="E62" s="22" t="s">
        <v>47</v>
      </c>
      <c r="F62" s="5" t="s">
        <v>14</v>
      </c>
      <c r="G62" s="5" t="s">
        <v>379</v>
      </c>
      <c r="H62" s="6" t="s">
        <v>89</v>
      </c>
      <c r="I62" s="5">
        <v>500</v>
      </c>
      <c r="J62" s="15">
        <v>0</v>
      </c>
      <c r="L62" s="36">
        <v>41278</v>
      </c>
      <c r="M62" s="37">
        <f>DATEDIF(L62,$S$1,"Y")</f>
        <v>1</v>
      </c>
      <c r="O62" s="37" t="s">
        <v>171</v>
      </c>
      <c r="Q62" t="s">
        <v>345</v>
      </c>
      <c r="R62" t="s">
        <v>603</v>
      </c>
      <c r="S62" t="s">
        <v>603</v>
      </c>
    </row>
    <row r="63" spans="1:19" ht="15" customHeight="1" x14ac:dyDescent="0.25">
      <c r="A63" s="7"/>
      <c r="B63" s="5" t="s">
        <v>662</v>
      </c>
      <c r="C63" s="5" t="s">
        <v>663</v>
      </c>
      <c r="D63" s="6" t="s">
        <v>2</v>
      </c>
      <c r="E63" s="22" t="s">
        <v>56</v>
      </c>
      <c r="F63" s="5" t="s">
        <v>57</v>
      </c>
      <c r="G63" s="5" t="s">
        <v>379</v>
      </c>
      <c r="H63" s="6" t="s">
        <v>88</v>
      </c>
      <c r="I63" s="5">
        <v>150</v>
      </c>
      <c r="J63" s="15">
        <v>0</v>
      </c>
      <c r="L63" s="36">
        <v>40342</v>
      </c>
      <c r="M63" s="37">
        <f>DATEDIF(L63,$S$1,"Y")</f>
        <v>4</v>
      </c>
      <c r="O63" s="37" t="s">
        <v>171</v>
      </c>
      <c r="Q63" t="s">
        <v>355</v>
      </c>
      <c r="R63" t="s">
        <v>603</v>
      </c>
      <c r="S63" t="s">
        <v>603</v>
      </c>
    </row>
    <row r="64" spans="1:19" ht="15" customHeight="1" x14ac:dyDescent="0.25">
      <c r="A64" s="4"/>
      <c r="B64" s="1" t="s">
        <v>596</v>
      </c>
      <c r="C64" s="1" t="s">
        <v>597</v>
      </c>
      <c r="D64" s="2" t="s">
        <v>2</v>
      </c>
      <c r="E64" s="34" t="s">
        <v>207</v>
      </c>
      <c r="F64" s="1" t="s">
        <v>208</v>
      </c>
      <c r="G64" s="1" t="s">
        <v>379</v>
      </c>
      <c r="H64" s="2" t="s">
        <v>493</v>
      </c>
      <c r="I64">
        <v>100</v>
      </c>
      <c r="J64" s="19">
        <v>0</v>
      </c>
      <c r="L64" s="36">
        <v>41253</v>
      </c>
      <c r="M64" s="3">
        <f>DATEDIF(L64,$S$1,"Y")</f>
        <v>2</v>
      </c>
      <c r="N64" s="37" t="s">
        <v>186</v>
      </c>
      <c r="O64" s="37" t="s">
        <v>171</v>
      </c>
      <c r="P64">
        <v>604174162</v>
      </c>
      <c r="Q64" s="28" t="s">
        <v>219</v>
      </c>
      <c r="R64" t="s">
        <v>240</v>
      </c>
    </row>
    <row r="65" spans="1:19" ht="15" customHeight="1" x14ac:dyDescent="0.25">
      <c r="A65" s="7"/>
      <c r="B65" s="33" t="s">
        <v>594</v>
      </c>
      <c r="C65" s="33" t="s">
        <v>595</v>
      </c>
      <c r="D65" s="73" t="s">
        <v>2</v>
      </c>
      <c r="E65" s="33" t="s">
        <v>107</v>
      </c>
      <c r="F65" s="33" t="s">
        <v>111</v>
      </c>
      <c r="G65" s="33" t="s">
        <v>380</v>
      </c>
      <c r="H65" s="73" t="s">
        <v>493</v>
      </c>
      <c r="I65" s="5">
        <v>0</v>
      </c>
      <c r="J65" s="15">
        <v>300</v>
      </c>
      <c r="L65" s="36">
        <v>41317</v>
      </c>
      <c r="M65" s="37">
        <f>DATEDIF(L65,$S$1,"Y")</f>
        <v>1</v>
      </c>
      <c r="N65" s="3" t="s">
        <v>494</v>
      </c>
      <c r="O65" s="37" t="s">
        <v>171</v>
      </c>
      <c r="P65">
        <v>725312969</v>
      </c>
      <c r="Q65" t="s">
        <v>220</v>
      </c>
      <c r="R65" t="s">
        <v>240</v>
      </c>
      <c r="S65" t="s">
        <v>240</v>
      </c>
    </row>
    <row r="66" spans="1:19" ht="15" customHeight="1" x14ac:dyDescent="0.25">
      <c r="A66" s="7"/>
      <c r="B66" s="5"/>
      <c r="C66" s="5"/>
      <c r="D66" s="6"/>
      <c r="E66" s="22"/>
      <c r="F66" s="5"/>
      <c r="G66" s="5"/>
      <c r="H66" s="6"/>
      <c r="I66" s="5"/>
      <c r="J66" s="15"/>
    </row>
    <row r="67" spans="1:19" ht="15" customHeight="1" x14ac:dyDescent="0.25">
      <c r="B67" s="1"/>
      <c r="C67" s="1"/>
      <c r="D67" s="2"/>
      <c r="E67" s="33"/>
      <c r="F67" s="1"/>
      <c r="G67" s="1"/>
      <c r="H67" s="2"/>
      <c r="I67" s="1" t="s">
        <v>106</v>
      </c>
      <c r="J67" s="7" t="s">
        <v>105</v>
      </c>
    </row>
    <row r="68" spans="1:19" ht="15" customHeight="1" x14ac:dyDescent="0.25">
      <c r="I68" s="8">
        <f>SUM(I1:I67)</f>
        <v>13350</v>
      </c>
      <c r="J68" s="18">
        <f>SUM(J1:J67)</f>
        <v>10650</v>
      </c>
    </row>
    <row r="70" spans="1:19" ht="15" customHeight="1" x14ac:dyDescent="0.3">
      <c r="I70" s="17">
        <f>I68+J68</f>
        <v>24000</v>
      </c>
    </row>
  </sheetData>
  <sortState ref="B60:R65">
    <sortCondition ref="H60:H65"/>
    <sortCondition ref="F60:F65"/>
    <sortCondition ref="G60:G65"/>
    <sortCondition ref="E60:E65"/>
  </sortState>
  <conditionalFormatting sqref="M60:M65 N60 M2:M58">
    <cfRule type="cellIs" dxfId="1" priority="4" operator="equal">
      <formula>8</formula>
    </cfRule>
  </conditionalFormatting>
  <conditionalFormatting sqref="I60:I66 I2:I58 K8 K46">
    <cfRule type="iconSet" priority="70">
      <iconSet>
        <cfvo type="percent" val="0"/>
        <cfvo type="percent" val="33"/>
        <cfvo type="percent" val="67"/>
      </iconSet>
    </cfRule>
  </conditionalFormatting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zoomScale="60" zoomScaleNormal="60" workbookViewId="0">
      <selection activeCell="B1" sqref="B1"/>
    </sheetView>
  </sheetViews>
  <sheetFormatPr defaultRowHeight="15" customHeight="1" x14ac:dyDescent="0.25"/>
  <cols>
    <col min="1" max="1" width="5.7109375" customWidth="1"/>
    <col min="2" max="3" width="20.7109375" customWidth="1"/>
    <col min="4" max="4" width="20.7109375" style="3" customWidth="1"/>
    <col min="5" max="7" width="20.7109375" customWidth="1"/>
    <col min="8" max="8" width="20.7109375" style="3" customWidth="1"/>
    <col min="9" max="9" width="20.7109375" style="7" customWidth="1"/>
    <col min="10" max="10" width="20.7109375" customWidth="1"/>
    <col min="11" max="11" width="20.7109375" style="19" customWidth="1"/>
    <col min="12" max="12" width="20.7109375" customWidth="1"/>
    <col min="13" max="15" width="20.7109375" style="3" customWidth="1"/>
    <col min="16" max="16" width="20.7109375" customWidth="1"/>
    <col min="17" max="17" width="20.7109375" style="28" customWidth="1"/>
    <col min="18" max="18" width="20.85546875" customWidth="1"/>
    <col min="20" max="20" width="12.5703125" customWidth="1"/>
  </cols>
  <sheetData>
    <row r="1" spans="1:20" ht="15" customHeight="1" x14ac:dyDescent="0.25">
      <c r="A1" s="13" t="s">
        <v>96</v>
      </c>
      <c r="B1" s="13" t="s">
        <v>496</v>
      </c>
      <c r="C1" s="13" t="s">
        <v>495</v>
      </c>
      <c r="D1" s="14" t="s">
        <v>91</v>
      </c>
      <c r="E1" s="13" t="s">
        <v>153</v>
      </c>
      <c r="F1" s="13" t="s">
        <v>93</v>
      </c>
      <c r="G1" s="13" t="s">
        <v>154</v>
      </c>
      <c r="H1" s="14" t="s">
        <v>678</v>
      </c>
      <c r="I1" s="10" t="s">
        <v>95</v>
      </c>
      <c r="J1" s="13" t="s">
        <v>155</v>
      </c>
      <c r="K1" s="14" t="s">
        <v>608</v>
      </c>
      <c r="L1" s="13" t="s">
        <v>165</v>
      </c>
      <c r="M1" s="14" t="s">
        <v>166</v>
      </c>
      <c r="N1" s="14" t="s">
        <v>167</v>
      </c>
      <c r="O1" s="14" t="s">
        <v>170</v>
      </c>
      <c r="P1" s="13" t="s">
        <v>168</v>
      </c>
      <c r="Q1" s="27" t="s">
        <v>169</v>
      </c>
      <c r="R1" s="13"/>
      <c r="T1" s="26">
        <v>42004</v>
      </c>
    </row>
    <row r="2" spans="1:20" ht="15" customHeight="1" x14ac:dyDescent="0.25">
      <c r="A2" s="34"/>
      <c r="B2" s="33" t="s">
        <v>497</v>
      </c>
      <c r="C2" s="33" t="s">
        <v>498</v>
      </c>
      <c r="D2" s="73" t="s">
        <v>0</v>
      </c>
      <c r="E2" s="33" t="s">
        <v>209</v>
      </c>
      <c r="F2" s="33" t="s">
        <v>391</v>
      </c>
      <c r="G2" s="33" t="s">
        <v>380</v>
      </c>
      <c r="H2" s="73" t="s">
        <v>493</v>
      </c>
      <c r="I2" s="59">
        <v>0</v>
      </c>
      <c r="J2" s="41">
        <v>300</v>
      </c>
      <c r="K2" s="60" t="s">
        <v>157</v>
      </c>
      <c r="L2" s="36">
        <v>40949</v>
      </c>
      <c r="M2" s="37">
        <f>DATEDIF(L2,$T$1,"Y")</f>
        <v>2</v>
      </c>
      <c r="N2" s="37">
        <v>359</v>
      </c>
      <c r="O2" s="37" t="s">
        <v>226</v>
      </c>
      <c r="P2" s="34">
        <v>918329167</v>
      </c>
      <c r="Q2" s="63" t="s">
        <v>225</v>
      </c>
      <c r="R2" s="34"/>
    </row>
    <row r="3" spans="1:20" ht="15" customHeight="1" x14ac:dyDescent="0.25">
      <c r="A3" s="34"/>
      <c r="B3" s="33" t="s">
        <v>499</v>
      </c>
      <c r="C3" s="33" t="s">
        <v>500</v>
      </c>
      <c r="D3" s="73" t="s">
        <v>0</v>
      </c>
      <c r="E3" s="34" t="s">
        <v>152</v>
      </c>
      <c r="F3" s="33" t="s">
        <v>391</v>
      </c>
      <c r="G3" s="33" t="s">
        <v>379</v>
      </c>
      <c r="H3" s="73" t="s">
        <v>493</v>
      </c>
      <c r="I3" s="22">
        <v>500</v>
      </c>
      <c r="J3" s="34">
        <v>0</v>
      </c>
      <c r="K3" s="35"/>
      <c r="L3" s="36">
        <v>41348</v>
      </c>
      <c r="M3" s="37">
        <f>DATEDIF(L3,$T$1,"Y")</f>
        <v>1</v>
      </c>
      <c r="N3" s="37" t="s">
        <v>243</v>
      </c>
      <c r="O3" s="37" t="s">
        <v>171</v>
      </c>
      <c r="P3" s="34">
        <v>606533913</v>
      </c>
      <c r="Q3" s="34" t="s">
        <v>172</v>
      </c>
      <c r="R3" s="34"/>
    </row>
    <row r="4" spans="1:20" ht="15" customHeight="1" x14ac:dyDescent="0.25">
      <c r="A4" s="34"/>
      <c r="B4" s="33" t="s">
        <v>501</v>
      </c>
      <c r="C4" s="33" t="s">
        <v>502</v>
      </c>
      <c r="D4" s="73" t="s">
        <v>0</v>
      </c>
      <c r="E4" s="33" t="s">
        <v>449</v>
      </c>
      <c r="F4" s="33" t="s">
        <v>391</v>
      </c>
      <c r="G4" s="33" t="s">
        <v>379</v>
      </c>
      <c r="H4" s="73" t="s">
        <v>493</v>
      </c>
      <c r="I4" s="22">
        <v>300</v>
      </c>
      <c r="J4" s="34">
        <v>0</v>
      </c>
      <c r="K4" s="35"/>
      <c r="L4" s="36"/>
      <c r="M4" s="37">
        <v>2</v>
      </c>
      <c r="N4" s="37" t="s">
        <v>445</v>
      </c>
      <c r="O4" s="37" t="s">
        <v>171</v>
      </c>
      <c r="P4" s="64">
        <v>603200280</v>
      </c>
      <c r="Q4" s="63" t="s">
        <v>446</v>
      </c>
      <c r="R4" s="34"/>
    </row>
    <row r="5" spans="1:20" ht="15" customHeight="1" x14ac:dyDescent="0.25">
      <c r="A5" s="34"/>
      <c r="B5" s="33" t="s">
        <v>503</v>
      </c>
      <c r="C5" s="33" t="s">
        <v>504</v>
      </c>
      <c r="D5" s="73" t="s">
        <v>0</v>
      </c>
      <c r="E5" t="s">
        <v>489</v>
      </c>
      <c r="F5" s="33" t="s">
        <v>391</v>
      </c>
      <c r="G5" s="33" t="s">
        <v>379</v>
      </c>
      <c r="H5" s="73" t="s">
        <v>493</v>
      </c>
      <c r="I5" s="59">
        <v>0</v>
      </c>
      <c r="J5" s="41">
        <v>500</v>
      </c>
      <c r="K5" s="60" t="s">
        <v>157</v>
      </c>
      <c r="L5" s="36">
        <v>40389</v>
      </c>
      <c r="M5" s="37">
        <v>2</v>
      </c>
      <c r="N5" s="37">
        <v>315</v>
      </c>
      <c r="O5" s="37" t="s">
        <v>176</v>
      </c>
      <c r="P5" s="64">
        <v>907862330</v>
      </c>
      <c r="Q5" s="63" t="s">
        <v>490</v>
      </c>
      <c r="R5" s="34"/>
    </row>
    <row r="6" spans="1:20" ht="15" customHeight="1" x14ac:dyDescent="0.25">
      <c r="A6" s="34"/>
      <c r="B6" s="33" t="s">
        <v>505</v>
      </c>
      <c r="C6" s="33" t="s">
        <v>506</v>
      </c>
      <c r="D6" s="73" t="s">
        <v>0</v>
      </c>
      <c r="E6" s="34" t="s">
        <v>145</v>
      </c>
      <c r="F6" s="33" t="s">
        <v>392</v>
      </c>
      <c r="G6" s="33" t="s">
        <v>380</v>
      </c>
      <c r="H6" s="73" t="s">
        <v>493</v>
      </c>
      <c r="I6" s="22">
        <v>300</v>
      </c>
      <c r="J6" s="34">
        <v>0</v>
      </c>
      <c r="K6" s="35"/>
      <c r="L6" s="36">
        <v>41020</v>
      </c>
      <c r="M6" s="37">
        <f>DATEDIF(L6,$T$1,"Y")</f>
        <v>2</v>
      </c>
      <c r="N6" s="37" t="s">
        <v>242</v>
      </c>
      <c r="O6" s="37" t="s">
        <v>171</v>
      </c>
      <c r="P6" s="34"/>
      <c r="Q6" s="34" t="s">
        <v>173</v>
      </c>
      <c r="R6" s="34"/>
    </row>
    <row r="7" spans="1:20" ht="15" customHeight="1" x14ac:dyDescent="0.25">
      <c r="A7" s="34"/>
      <c r="B7" s="33" t="s">
        <v>505</v>
      </c>
      <c r="C7" s="33" t="s">
        <v>506</v>
      </c>
      <c r="D7" s="73" t="s">
        <v>0</v>
      </c>
      <c r="E7" s="34" t="s">
        <v>144</v>
      </c>
      <c r="F7" s="33" t="s">
        <v>392</v>
      </c>
      <c r="G7" s="33" t="s">
        <v>380</v>
      </c>
      <c r="H7" s="73" t="s">
        <v>493</v>
      </c>
      <c r="I7" s="22">
        <v>250</v>
      </c>
      <c r="J7" s="34">
        <v>0</v>
      </c>
      <c r="K7" s="35"/>
      <c r="L7" s="36">
        <v>40851</v>
      </c>
      <c r="M7" s="37">
        <f>DATEDIF(L7,$T$1,"Y")</f>
        <v>3</v>
      </c>
      <c r="N7" s="37" t="s">
        <v>241</v>
      </c>
      <c r="O7" s="37" t="s">
        <v>171</v>
      </c>
      <c r="P7" s="34"/>
      <c r="Q7" s="34" t="s">
        <v>173</v>
      </c>
      <c r="R7" s="34"/>
    </row>
    <row r="8" spans="1:20" ht="15" customHeight="1" x14ac:dyDescent="0.25">
      <c r="A8" s="34"/>
      <c r="B8" s="33" t="s">
        <v>505</v>
      </c>
      <c r="C8" s="33" t="s">
        <v>507</v>
      </c>
      <c r="D8" s="73" t="s">
        <v>0</v>
      </c>
      <c r="E8" s="34" t="s">
        <v>454</v>
      </c>
      <c r="F8" s="33" t="s">
        <v>392</v>
      </c>
      <c r="G8" s="33" t="s">
        <v>380</v>
      </c>
      <c r="H8" s="73" t="s">
        <v>493</v>
      </c>
      <c r="I8" s="22">
        <v>300</v>
      </c>
      <c r="J8" s="34">
        <v>0</v>
      </c>
      <c r="K8" s="35"/>
      <c r="L8" s="36">
        <v>40969</v>
      </c>
      <c r="M8" s="37">
        <f t="shared" ref="M8:M9" si="0">DATEDIF(L8,$T$1,"Y")</f>
        <v>2</v>
      </c>
      <c r="N8" s="37" t="s">
        <v>455</v>
      </c>
      <c r="O8" s="37" t="s">
        <v>171</v>
      </c>
      <c r="P8" s="34"/>
      <c r="Q8" s="34" t="s">
        <v>452</v>
      </c>
      <c r="R8" s="34"/>
    </row>
    <row r="9" spans="1:20" ht="15" customHeight="1" x14ac:dyDescent="0.25">
      <c r="A9" s="34"/>
      <c r="B9" s="33" t="s">
        <v>508</v>
      </c>
      <c r="C9" s="33" t="s">
        <v>509</v>
      </c>
      <c r="D9" s="73" t="s">
        <v>0</v>
      </c>
      <c r="E9" s="34" t="s">
        <v>470</v>
      </c>
      <c r="F9" s="33" t="s">
        <v>392</v>
      </c>
      <c r="G9" s="33" t="s">
        <v>380</v>
      </c>
      <c r="H9" s="73" t="s">
        <v>493</v>
      </c>
      <c r="I9" s="22">
        <v>500</v>
      </c>
      <c r="J9" s="34">
        <v>0</v>
      </c>
      <c r="K9" s="35"/>
      <c r="L9" s="36">
        <v>40591</v>
      </c>
      <c r="M9" s="37">
        <f t="shared" si="0"/>
        <v>3</v>
      </c>
      <c r="N9" s="37" t="s">
        <v>471</v>
      </c>
      <c r="O9" s="37" t="s">
        <v>171</v>
      </c>
      <c r="P9" s="34">
        <v>777226838</v>
      </c>
      <c r="Q9" s="34" t="s">
        <v>472</v>
      </c>
      <c r="R9" s="34"/>
    </row>
    <row r="10" spans="1:20" ht="15" customHeight="1" x14ac:dyDescent="0.25">
      <c r="A10" s="34"/>
      <c r="B10" s="33" t="s">
        <v>274</v>
      </c>
      <c r="C10" s="33" t="s">
        <v>510</v>
      </c>
      <c r="D10" s="73" t="s">
        <v>0</v>
      </c>
      <c r="E10" s="34" t="s">
        <v>161</v>
      </c>
      <c r="F10" s="33" t="s">
        <v>392</v>
      </c>
      <c r="G10" s="33" t="s">
        <v>379</v>
      </c>
      <c r="H10" s="73" t="s">
        <v>493</v>
      </c>
      <c r="I10" s="34">
        <v>0</v>
      </c>
      <c r="J10" s="34">
        <v>0</v>
      </c>
      <c r="K10" s="35" t="s">
        <v>604</v>
      </c>
      <c r="L10" s="36">
        <v>40969</v>
      </c>
      <c r="M10" s="37">
        <f t="shared" ref="M10:M46" si="1">DATEDIF(L10,$T$1,"Y")</f>
        <v>2</v>
      </c>
      <c r="N10" s="37"/>
      <c r="O10" s="37" t="s">
        <v>171</v>
      </c>
      <c r="P10" s="34"/>
      <c r="Q10" s="34" t="s">
        <v>607</v>
      </c>
      <c r="R10" s="34"/>
    </row>
    <row r="11" spans="1:20" ht="15" customHeight="1" x14ac:dyDescent="0.25">
      <c r="A11" s="34"/>
      <c r="B11" s="33" t="s">
        <v>505</v>
      </c>
      <c r="C11" s="33" t="s">
        <v>507</v>
      </c>
      <c r="D11" s="73" t="s">
        <v>0</v>
      </c>
      <c r="E11" s="34" t="s">
        <v>453</v>
      </c>
      <c r="F11" s="33" t="s">
        <v>392</v>
      </c>
      <c r="G11" s="33" t="s">
        <v>379</v>
      </c>
      <c r="H11" s="73" t="s">
        <v>493</v>
      </c>
      <c r="I11" s="22">
        <v>250</v>
      </c>
      <c r="J11" s="34">
        <v>0</v>
      </c>
      <c r="K11" s="35"/>
      <c r="L11" s="36">
        <v>40969</v>
      </c>
      <c r="M11" s="37">
        <f t="shared" si="1"/>
        <v>2</v>
      </c>
      <c r="N11" s="37" t="s">
        <v>456</v>
      </c>
      <c r="O11" s="37" t="s">
        <v>171</v>
      </c>
      <c r="P11" s="34"/>
      <c r="Q11" s="34" t="s">
        <v>452</v>
      </c>
      <c r="R11" s="34"/>
    </row>
    <row r="12" spans="1:20" ht="15" customHeight="1" x14ac:dyDescent="0.25">
      <c r="A12" s="34"/>
      <c r="B12" s="33" t="s">
        <v>511</v>
      </c>
      <c r="C12" s="33" t="s">
        <v>512</v>
      </c>
      <c r="D12" s="73" t="s">
        <v>0</v>
      </c>
      <c r="E12" s="33" t="s">
        <v>115</v>
      </c>
      <c r="F12" s="33" t="s">
        <v>392</v>
      </c>
      <c r="G12" s="33" t="s">
        <v>379</v>
      </c>
      <c r="H12" s="73" t="s">
        <v>493</v>
      </c>
      <c r="I12" s="22">
        <v>500</v>
      </c>
      <c r="J12" s="34">
        <v>0</v>
      </c>
      <c r="K12" s="35"/>
      <c r="L12" s="36">
        <v>40699</v>
      </c>
      <c r="M12" s="37">
        <f t="shared" si="1"/>
        <v>3</v>
      </c>
      <c r="N12" s="37" t="s">
        <v>175</v>
      </c>
      <c r="O12" s="37" t="s">
        <v>171</v>
      </c>
      <c r="P12" s="34">
        <v>602374266</v>
      </c>
      <c r="Q12" s="34" t="s">
        <v>174</v>
      </c>
      <c r="R12" s="34"/>
    </row>
    <row r="13" spans="1:20" ht="15" customHeight="1" x14ac:dyDescent="0.25">
      <c r="A13" s="34"/>
      <c r="B13" s="33" t="s">
        <v>513</v>
      </c>
      <c r="C13" s="33" t="s">
        <v>514</v>
      </c>
      <c r="D13" s="73" t="s">
        <v>0</v>
      </c>
      <c r="E13" s="34" t="s">
        <v>143</v>
      </c>
      <c r="F13" s="33" t="s">
        <v>393</v>
      </c>
      <c r="G13" s="33" t="s">
        <v>379</v>
      </c>
      <c r="H13" s="73" t="s">
        <v>90</v>
      </c>
      <c r="I13" s="69">
        <v>500</v>
      </c>
      <c r="J13" s="68">
        <v>0</v>
      </c>
      <c r="K13" s="71" t="s">
        <v>605</v>
      </c>
      <c r="L13" s="36">
        <v>39428</v>
      </c>
      <c r="M13" s="37">
        <f t="shared" si="1"/>
        <v>7</v>
      </c>
      <c r="N13" s="37" t="s">
        <v>450</v>
      </c>
      <c r="O13" s="37" t="s">
        <v>171</v>
      </c>
      <c r="P13" s="34">
        <v>607869278</v>
      </c>
      <c r="Q13" s="34" t="s">
        <v>177</v>
      </c>
      <c r="R13" s="34"/>
    </row>
    <row r="14" spans="1:20" ht="15" customHeight="1" x14ac:dyDescent="0.25">
      <c r="A14" s="34"/>
      <c r="B14" s="33" t="s">
        <v>515</v>
      </c>
      <c r="C14" s="33" t="s">
        <v>516</v>
      </c>
      <c r="D14" s="73" t="s">
        <v>0</v>
      </c>
      <c r="E14" s="33" t="s">
        <v>140</v>
      </c>
      <c r="F14" s="33" t="s">
        <v>393</v>
      </c>
      <c r="G14" s="33" t="s">
        <v>380</v>
      </c>
      <c r="H14" s="73" t="s">
        <v>90</v>
      </c>
      <c r="I14" s="22">
        <v>0</v>
      </c>
      <c r="J14" s="34">
        <v>300</v>
      </c>
      <c r="K14" s="35"/>
      <c r="L14" s="36">
        <v>40152</v>
      </c>
      <c r="M14" s="37">
        <f t="shared" si="1"/>
        <v>5</v>
      </c>
      <c r="N14" s="37" t="s">
        <v>179</v>
      </c>
      <c r="O14" s="37" t="s">
        <v>171</v>
      </c>
      <c r="P14" s="65">
        <v>603726850</v>
      </c>
      <c r="Q14" s="34" t="s">
        <v>178</v>
      </c>
      <c r="R14" s="34"/>
    </row>
    <row r="15" spans="1:20" ht="15" customHeight="1" x14ac:dyDescent="0.25">
      <c r="A15" s="34"/>
      <c r="B15" s="33" t="s">
        <v>517</v>
      </c>
      <c r="C15" s="33" t="s">
        <v>518</v>
      </c>
      <c r="D15" s="73" t="s">
        <v>0</v>
      </c>
      <c r="E15" s="33" t="s">
        <v>485</v>
      </c>
      <c r="F15" s="33" t="s">
        <v>393</v>
      </c>
      <c r="G15" s="33" t="s">
        <v>380</v>
      </c>
      <c r="H15" s="73" t="s">
        <v>90</v>
      </c>
      <c r="I15" s="22">
        <v>0</v>
      </c>
      <c r="J15" s="34">
        <v>450</v>
      </c>
      <c r="K15" s="35"/>
      <c r="L15" s="36">
        <v>39764</v>
      </c>
      <c r="M15" s="37">
        <f t="shared" si="1"/>
        <v>6</v>
      </c>
      <c r="N15" s="37"/>
      <c r="O15" s="37" t="s">
        <v>171</v>
      </c>
      <c r="P15" s="34"/>
      <c r="Q15" s="34" t="s">
        <v>418</v>
      </c>
      <c r="R15" s="34"/>
    </row>
    <row r="16" spans="1:20" ht="15" customHeight="1" x14ac:dyDescent="0.25">
      <c r="A16" s="34"/>
      <c r="B16" s="33" t="s">
        <v>517</v>
      </c>
      <c r="C16" s="33" t="s">
        <v>518</v>
      </c>
      <c r="D16" s="73" t="s">
        <v>0</v>
      </c>
      <c r="E16" s="34" t="s">
        <v>136</v>
      </c>
      <c r="F16" s="33" t="s">
        <v>393</v>
      </c>
      <c r="G16" s="33" t="s">
        <v>379</v>
      </c>
      <c r="H16" s="73" t="s">
        <v>90</v>
      </c>
      <c r="I16" s="22">
        <v>0</v>
      </c>
      <c r="J16" s="34">
        <v>500</v>
      </c>
      <c r="K16" s="35"/>
      <c r="L16" s="36">
        <v>39049</v>
      </c>
      <c r="M16" s="37">
        <f t="shared" si="1"/>
        <v>8</v>
      </c>
      <c r="N16" s="37"/>
      <c r="O16" s="37" t="s">
        <v>171</v>
      </c>
      <c r="P16" s="34"/>
      <c r="Q16" s="34" t="s">
        <v>418</v>
      </c>
      <c r="R16" s="34"/>
    </row>
    <row r="17" spans="1:18" ht="15" customHeight="1" x14ac:dyDescent="0.25">
      <c r="A17" s="34"/>
      <c r="B17" s="33" t="s">
        <v>505</v>
      </c>
      <c r="C17" s="33" t="s">
        <v>519</v>
      </c>
      <c r="D17" s="73" t="s">
        <v>0</v>
      </c>
      <c r="E17" s="34" t="s">
        <v>150</v>
      </c>
      <c r="F17" s="33" t="s">
        <v>394</v>
      </c>
      <c r="G17" s="33" t="s">
        <v>380</v>
      </c>
      <c r="H17" s="73" t="s">
        <v>90</v>
      </c>
      <c r="I17" s="59">
        <v>0</v>
      </c>
      <c r="J17" s="41">
        <v>500</v>
      </c>
      <c r="K17" s="60" t="s">
        <v>157</v>
      </c>
      <c r="L17" s="36">
        <v>40124</v>
      </c>
      <c r="M17" s="37">
        <f t="shared" si="1"/>
        <v>5</v>
      </c>
      <c r="N17" s="37" t="s">
        <v>460</v>
      </c>
      <c r="O17" s="37" t="s">
        <v>171</v>
      </c>
      <c r="P17" s="34"/>
      <c r="Q17" s="34" t="s">
        <v>180</v>
      </c>
      <c r="R17" s="34"/>
    </row>
    <row r="18" spans="1:18" ht="15" customHeight="1" x14ac:dyDescent="0.25">
      <c r="A18" s="34"/>
      <c r="B18" s="33" t="s">
        <v>505</v>
      </c>
      <c r="C18" s="33" t="s">
        <v>519</v>
      </c>
      <c r="D18" s="73" t="s">
        <v>0</v>
      </c>
      <c r="E18" s="34" t="s">
        <v>149</v>
      </c>
      <c r="F18" s="33" t="s">
        <v>394</v>
      </c>
      <c r="G18" s="33" t="s">
        <v>379</v>
      </c>
      <c r="H18" s="73" t="s">
        <v>90</v>
      </c>
      <c r="I18" s="59">
        <v>0</v>
      </c>
      <c r="J18" s="41">
        <v>450</v>
      </c>
      <c r="K18" s="60" t="s">
        <v>157</v>
      </c>
      <c r="L18" s="36">
        <v>40124</v>
      </c>
      <c r="M18" s="37">
        <f t="shared" si="1"/>
        <v>5</v>
      </c>
      <c r="N18" s="37" t="s">
        <v>461</v>
      </c>
      <c r="O18" s="37" t="s">
        <v>171</v>
      </c>
      <c r="P18" s="34"/>
      <c r="Q18" s="34" t="s">
        <v>180</v>
      </c>
      <c r="R18" s="34"/>
    </row>
    <row r="19" spans="1:18" ht="15" customHeight="1" x14ac:dyDescent="0.25">
      <c r="A19" s="34"/>
      <c r="B19" s="33" t="s">
        <v>520</v>
      </c>
      <c r="C19" s="33" t="s">
        <v>521</v>
      </c>
      <c r="D19" s="73" t="s">
        <v>0</v>
      </c>
      <c r="E19" s="34" t="s">
        <v>431</v>
      </c>
      <c r="F19" s="33" t="s">
        <v>433</v>
      </c>
      <c r="G19" s="33" t="s">
        <v>379</v>
      </c>
      <c r="H19" s="73" t="s">
        <v>493</v>
      </c>
      <c r="I19" s="22">
        <v>0</v>
      </c>
      <c r="J19" s="34">
        <v>0</v>
      </c>
      <c r="K19" s="35"/>
      <c r="L19" s="36">
        <v>40876</v>
      </c>
      <c r="M19" s="37">
        <f t="shared" si="1"/>
        <v>3</v>
      </c>
      <c r="N19" s="37"/>
      <c r="O19" s="37" t="s">
        <v>171</v>
      </c>
      <c r="P19" s="34">
        <v>732400774</v>
      </c>
      <c r="Q19" s="34" t="s">
        <v>434</v>
      </c>
      <c r="R19" s="34"/>
    </row>
    <row r="20" spans="1:18" ht="15" customHeight="1" x14ac:dyDescent="0.25">
      <c r="A20" s="34"/>
      <c r="B20" s="33" t="s">
        <v>520</v>
      </c>
      <c r="C20" s="33" t="s">
        <v>521</v>
      </c>
      <c r="D20" s="73" t="s">
        <v>0</v>
      </c>
      <c r="E20" s="34" t="s">
        <v>432</v>
      </c>
      <c r="F20" s="33" t="s">
        <v>433</v>
      </c>
      <c r="G20" s="33" t="s">
        <v>380</v>
      </c>
      <c r="H20" s="73" t="s">
        <v>493</v>
      </c>
      <c r="I20" s="22">
        <v>0</v>
      </c>
      <c r="J20" s="34">
        <v>0</v>
      </c>
      <c r="K20" s="35"/>
      <c r="L20" s="36">
        <v>40876</v>
      </c>
      <c r="M20" s="37">
        <f t="shared" si="1"/>
        <v>3</v>
      </c>
      <c r="N20" s="37"/>
      <c r="O20" s="37" t="s">
        <v>171</v>
      </c>
      <c r="P20" s="34">
        <v>732400774</v>
      </c>
      <c r="Q20" s="34" t="s">
        <v>434</v>
      </c>
      <c r="R20" s="34"/>
    </row>
    <row r="21" spans="1:18" ht="15" customHeight="1" x14ac:dyDescent="0.25">
      <c r="A21" s="34"/>
      <c r="B21" s="33" t="s">
        <v>522</v>
      </c>
      <c r="C21" s="33" t="s">
        <v>523</v>
      </c>
      <c r="D21" s="73" t="s">
        <v>0</v>
      </c>
      <c r="E21" s="34" t="s">
        <v>480</v>
      </c>
      <c r="F21" s="33" t="s">
        <v>395</v>
      </c>
      <c r="G21" s="33" t="s">
        <v>380</v>
      </c>
      <c r="H21" s="73" t="s">
        <v>493</v>
      </c>
      <c r="I21" s="22">
        <v>0</v>
      </c>
      <c r="J21" s="34">
        <v>500</v>
      </c>
      <c r="K21" s="35"/>
      <c r="L21" s="36">
        <v>40999</v>
      </c>
      <c r="M21" s="37">
        <f t="shared" si="1"/>
        <v>2</v>
      </c>
      <c r="N21" s="37"/>
      <c r="O21" s="37" t="s">
        <v>171</v>
      </c>
      <c r="P21" s="34">
        <v>724319688</v>
      </c>
      <c r="Q21" s="34" t="s">
        <v>481</v>
      </c>
      <c r="R21" s="34"/>
    </row>
    <row r="22" spans="1:18" ht="15" customHeight="1" x14ac:dyDescent="0.25">
      <c r="A22" s="34"/>
      <c r="B22" s="33" t="s">
        <v>524</v>
      </c>
      <c r="C22" s="33" t="s">
        <v>525</v>
      </c>
      <c r="D22" s="73" t="s">
        <v>0</v>
      </c>
      <c r="E22" s="34" t="s">
        <v>146</v>
      </c>
      <c r="F22" s="33" t="s">
        <v>395</v>
      </c>
      <c r="G22" s="33" t="s">
        <v>380</v>
      </c>
      <c r="H22" s="73" t="s">
        <v>493</v>
      </c>
      <c r="I22" s="22">
        <v>0</v>
      </c>
      <c r="J22" s="34">
        <v>500</v>
      </c>
      <c r="K22" s="35"/>
      <c r="L22" s="36">
        <v>41150</v>
      </c>
      <c r="M22" s="37">
        <f t="shared" si="1"/>
        <v>2</v>
      </c>
      <c r="N22" s="34" t="s">
        <v>399</v>
      </c>
      <c r="O22" s="37" t="s">
        <v>171</v>
      </c>
      <c r="P22" s="34">
        <v>774449955</v>
      </c>
      <c r="Q22" s="34" t="s">
        <v>181</v>
      </c>
      <c r="R22" s="34"/>
    </row>
    <row r="23" spans="1:18" ht="15" customHeight="1" x14ac:dyDescent="0.25">
      <c r="A23" s="34"/>
      <c r="B23" s="33" t="s">
        <v>526</v>
      </c>
      <c r="C23" s="33" t="s">
        <v>527</v>
      </c>
      <c r="D23" s="73" t="s">
        <v>0</v>
      </c>
      <c r="E23" s="34" t="s">
        <v>486</v>
      </c>
      <c r="F23" s="33" t="s">
        <v>395</v>
      </c>
      <c r="G23" s="33" t="s">
        <v>380</v>
      </c>
      <c r="H23" s="73" t="s">
        <v>493</v>
      </c>
      <c r="I23" s="22">
        <v>0</v>
      </c>
      <c r="J23" s="34">
        <v>500</v>
      </c>
      <c r="K23" s="35"/>
      <c r="L23" s="36">
        <v>40288</v>
      </c>
      <c r="M23" s="37">
        <f t="shared" si="1"/>
        <v>4</v>
      </c>
      <c r="N23" s="34" t="s">
        <v>488</v>
      </c>
      <c r="O23" s="37" t="s">
        <v>171</v>
      </c>
      <c r="P23" s="34">
        <v>602884566</v>
      </c>
      <c r="Q23" s="34" t="s">
        <v>487</v>
      </c>
      <c r="R23" s="34"/>
    </row>
    <row r="24" spans="1:18" ht="15" customHeight="1" x14ac:dyDescent="0.25">
      <c r="A24" s="34"/>
      <c r="B24" s="33" t="s">
        <v>528</v>
      </c>
      <c r="C24" s="33" t="s">
        <v>529</v>
      </c>
      <c r="D24" s="73" t="s">
        <v>0</v>
      </c>
      <c r="E24" s="33" t="s">
        <v>135</v>
      </c>
      <c r="F24" s="33" t="s">
        <v>395</v>
      </c>
      <c r="G24" s="33" t="s">
        <v>379</v>
      </c>
      <c r="H24" s="73" t="s">
        <v>493</v>
      </c>
      <c r="I24" s="22">
        <v>500</v>
      </c>
      <c r="J24" s="34">
        <v>0</v>
      </c>
      <c r="K24" s="35"/>
      <c r="L24" s="36">
        <v>41305</v>
      </c>
      <c r="M24" s="37">
        <f t="shared" si="1"/>
        <v>1</v>
      </c>
      <c r="N24" s="37" t="s">
        <v>183</v>
      </c>
      <c r="O24" s="37" t="s">
        <v>171</v>
      </c>
      <c r="P24" s="34"/>
      <c r="Q24" s="34" t="s">
        <v>182</v>
      </c>
      <c r="R24" s="34"/>
    </row>
    <row r="25" spans="1:18" ht="15" customHeight="1" x14ac:dyDescent="0.25">
      <c r="A25" s="34"/>
      <c r="B25" s="33" t="s">
        <v>524</v>
      </c>
      <c r="C25" s="33" t="s">
        <v>525</v>
      </c>
      <c r="D25" s="73" t="s">
        <v>0</v>
      </c>
      <c r="E25" s="34" t="s">
        <v>116</v>
      </c>
      <c r="F25" s="33" t="s">
        <v>395</v>
      </c>
      <c r="G25" s="33" t="s">
        <v>379</v>
      </c>
      <c r="H25" s="73" t="s">
        <v>493</v>
      </c>
      <c r="I25" s="22">
        <v>0</v>
      </c>
      <c r="J25" s="34">
        <v>450</v>
      </c>
      <c r="K25" s="35"/>
      <c r="L25" s="36">
        <v>40805</v>
      </c>
      <c r="M25" s="37">
        <f t="shared" si="1"/>
        <v>3</v>
      </c>
      <c r="N25" s="34" t="s">
        <v>398</v>
      </c>
      <c r="O25" s="37" t="s">
        <v>171</v>
      </c>
      <c r="P25" s="34">
        <v>774449955</v>
      </c>
      <c r="Q25" s="34" t="s">
        <v>181</v>
      </c>
      <c r="R25" s="34"/>
    </row>
    <row r="26" spans="1:18" ht="15" customHeight="1" x14ac:dyDescent="0.25">
      <c r="A26" s="34"/>
      <c r="B26" s="33" t="s">
        <v>530</v>
      </c>
      <c r="C26" s="33" t="s">
        <v>531</v>
      </c>
      <c r="D26" s="73" t="s">
        <v>0</v>
      </c>
      <c r="E26" s="33" t="s">
        <v>138</v>
      </c>
      <c r="F26" s="33" t="s">
        <v>395</v>
      </c>
      <c r="G26" s="33" t="s">
        <v>379</v>
      </c>
      <c r="H26" s="73" t="s">
        <v>493</v>
      </c>
      <c r="I26" s="33">
        <v>500</v>
      </c>
      <c r="J26" s="34">
        <v>0</v>
      </c>
      <c r="K26" s="35"/>
      <c r="L26" s="36">
        <v>41310</v>
      </c>
      <c r="M26" s="37">
        <f t="shared" si="1"/>
        <v>1</v>
      </c>
      <c r="N26" s="37" t="s">
        <v>224</v>
      </c>
      <c r="O26" s="37" t="s">
        <v>171</v>
      </c>
      <c r="P26" s="34">
        <v>777092224</v>
      </c>
      <c r="Q26" s="34" t="s">
        <v>184</v>
      </c>
      <c r="R26" s="34"/>
    </row>
    <row r="27" spans="1:18" ht="15" customHeight="1" x14ac:dyDescent="0.25">
      <c r="A27" s="34"/>
      <c r="B27" s="33" t="s">
        <v>532</v>
      </c>
      <c r="C27" s="33" t="s">
        <v>533</v>
      </c>
      <c r="D27" s="73" t="s">
        <v>0</v>
      </c>
      <c r="E27" s="34" t="s">
        <v>131</v>
      </c>
      <c r="F27" s="33" t="s">
        <v>600</v>
      </c>
      <c r="G27" s="33" t="s">
        <v>380</v>
      </c>
      <c r="H27" s="73" t="s">
        <v>493</v>
      </c>
      <c r="I27" s="22">
        <v>0</v>
      </c>
      <c r="J27" s="34">
        <v>0</v>
      </c>
      <c r="K27" s="35" t="s">
        <v>158</v>
      </c>
      <c r="L27" s="36">
        <v>41390</v>
      </c>
      <c r="M27" s="37">
        <f t="shared" si="1"/>
        <v>1</v>
      </c>
      <c r="N27" s="34" t="s">
        <v>252</v>
      </c>
      <c r="O27" s="37" t="s">
        <v>171</v>
      </c>
      <c r="P27" s="34">
        <v>731511687</v>
      </c>
      <c r="Q27" s="34" t="s">
        <v>185</v>
      </c>
      <c r="R27" s="34"/>
    </row>
    <row r="28" spans="1:18" ht="15" customHeight="1" x14ac:dyDescent="0.25">
      <c r="A28" s="34"/>
      <c r="B28" s="33" t="s">
        <v>534</v>
      </c>
      <c r="C28" s="33" t="s">
        <v>535</v>
      </c>
      <c r="D28" s="73" t="s">
        <v>0</v>
      </c>
      <c r="E28" s="34" t="s">
        <v>139</v>
      </c>
      <c r="F28" s="33" t="s">
        <v>600</v>
      </c>
      <c r="G28" s="33" t="s">
        <v>379</v>
      </c>
      <c r="H28" s="73" t="s">
        <v>493</v>
      </c>
      <c r="I28" s="22">
        <v>300</v>
      </c>
      <c r="J28" s="34">
        <v>0</v>
      </c>
      <c r="K28" s="35"/>
      <c r="L28" s="36">
        <v>40540</v>
      </c>
      <c r="M28" s="37">
        <f t="shared" si="1"/>
        <v>4</v>
      </c>
      <c r="N28" s="37" t="s">
        <v>459</v>
      </c>
      <c r="O28" s="37" t="s">
        <v>171</v>
      </c>
      <c r="P28" s="34"/>
      <c r="Q28" s="34" t="s">
        <v>187</v>
      </c>
      <c r="R28" s="34"/>
    </row>
    <row r="29" spans="1:18" ht="15" customHeight="1" x14ac:dyDescent="0.25">
      <c r="A29" s="34"/>
      <c r="B29" s="33" t="s">
        <v>530</v>
      </c>
      <c r="C29" s="33" t="s">
        <v>537</v>
      </c>
      <c r="D29" s="73" t="s">
        <v>0</v>
      </c>
      <c r="E29" s="33" t="s">
        <v>124</v>
      </c>
      <c r="F29" s="33" t="s">
        <v>396</v>
      </c>
      <c r="G29" s="33" t="s">
        <v>380</v>
      </c>
      <c r="H29" s="73" t="s">
        <v>493</v>
      </c>
      <c r="I29" s="22">
        <v>300</v>
      </c>
      <c r="J29" s="34">
        <v>0</v>
      </c>
      <c r="K29" s="35"/>
      <c r="L29" s="36">
        <v>40157</v>
      </c>
      <c r="M29" s="37">
        <f t="shared" si="1"/>
        <v>5</v>
      </c>
      <c r="N29" s="37" t="s">
        <v>189</v>
      </c>
      <c r="O29" s="37" t="s">
        <v>171</v>
      </c>
      <c r="P29" s="34">
        <v>777290565</v>
      </c>
      <c r="Q29" s="34" t="s">
        <v>188</v>
      </c>
      <c r="R29" s="34"/>
    </row>
    <row r="30" spans="1:18" ht="15" customHeight="1" x14ac:dyDescent="0.25">
      <c r="A30" s="34"/>
      <c r="B30" s="33" t="s">
        <v>538</v>
      </c>
      <c r="C30" s="33" t="s">
        <v>539</v>
      </c>
      <c r="D30" s="73" t="s">
        <v>0</v>
      </c>
      <c r="E30" s="34" t="s">
        <v>119</v>
      </c>
      <c r="F30" s="33" t="s">
        <v>396</v>
      </c>
      <c r="G30" s="33" t="s">
        <v>380</v>
      </c>
      <c r="H30" s="73" t="s">
        <v>493</v>
      </c>
      <c r="I30" s="22">
        <v>500</v>
      </c>
      <c r="J30" s="34">
        <v>0</v>
      </c>
      <c r="K30" s="35"/>
      <c r="L30" s="36">
        <v>41159</v>
      </c>
      <c r="M30" s="37">
        <f t="shared" si="1"/>
        <v>2</v>
      </c>
      <c r="N30" s="34" t="s">
        <v>365</v>
      </c>
      <c r="O30" s="37" t="s">
        <v>171</v>
      </c>
      <c r="P30" s="34"/>
      <c r="Q30" s="34" t="s">
        <v>191</v>
      </c>
      <c r="R30" s="34"/>
    </row>
    <row r="31" spans="1:18" ht="15" customHeight="1" x14ac:dyDescent="0.25">
      <c r="A31" s="34"/>
      <c r="B31" s="33" t="s">
        <v>540</v>
      </c>
      <c r="C31" s="33" t="s">
        <v>541</v>
      </c>
      <c r="D31" s="73" t="s">
        <v>0</v>
      </c>
      <c r="E31" s="33" t="s">
        <v>148</v>
      </c>
      <c r="F31" s="33" t="s">
        <v>396</v>
      </c>
      <c r="G31" s="33" t="s">
        <v>380</v>
      </c>
      <c r="H31" s="73" t="s">
        <v>493</v>
      </c>
      <c r="I31" s="22">
        <v>500</v>
      </c>
      <c r="J31" s="34">
        <v>0</v>
      </c>
      <c r="K31" s="35"/>
      <c r="L31" s="36">
        <v>41287</v>
      </c>
      <c r="M31" s="37">
        <f t="shared" si="1"/>
        <v>1</v>
      </c>
      <c r="N31" s="37" t="s">
        <v>193</v>
      </c>
      <c r="O31" s="37" t="s">
        <v>171</v>
      </c>
      <c r="P31" s="34">
        <v>732822929</v>
      </c>
      <c r="Q31" s="34" t="s">
        <v>192</v>
      </c>
      <c r="R31" s="34"/>
    </row>
    <row r="32" spans="1:18" ht="15" customHeight="1" x14ac:dyDescent="0.25">
      <c r="A32" s="34"/>
      <c r="B32" s="33" t="s">
        <v>542</v>
      </c>
      <c r="C32" s="33" t="s">
        <v>543</v>
      </c>
      <c r="D32" s="73" t="s">
        <v>0</v>
      </c>
      <c r="E32" s="33" t="s">
        <v>122</v>
      </c>
      <c r="F32" s="33" t="s">
        <v>396</v>
      </c>
      <c r="G32" s="33" t="s">
        <v>380</v>
      </c>
      <c r="H32" s="73" t="s">
        <v>493</v>
      </c>
      <c r="I32" s="59">
        <v>0</v>
      </c>
      <c r="J32" s="41">
        <v>500</v>
      </c>
      <c r="K32" s="74" t="s">
        <v>157</v>
      </c>
      <c r="L32" s="36">
        <v>41484</v>
      </c>
      <c r="M32" s="37">
        <f t="shared" si="1"/>
        <v>1</v>
      </c>
      <c r="N32" s="37">
        <v>875</v>
      </c>
      <c r="O32" s="37" t="s">
        <v>195</v>
      </c>
      <c r="P32" s="34"/>
      <c r="Q32" s="34" t="s">
        <v>194</v>
      </c>
      <c r="R32" s="34"/>
    </row>
    <row r="33" spans="1:18" ht="15" customHeight="1" x14ac:dyDescent="0.25">
      <c r="A33" s="34"/>
      <c r="B33" s="33" t="s">
        <v>544</v>
      </c>
      <c r="C33" s="33" t="s">
        <v>545</v>
      </c>
      <c r="D33" s="73" t="s">
        <v>0</v>
      </c>
      <c r="E33" s="33" t="s">
        <v>132</v>
      </c>
      <c r="F33" s="33" t="s">
        <v>396</v>
      </c>
      <c r="G33" s="33" t="s">
        <v>380</v>
      </c>
      <c r="H33" s="73" t="s">
        <v>493</v>
      </c>
      <c r="I33" s="22">
        <v>300</v>
      </c>
      <c r="J33" s="34">
        <v>0</v>
      </c>
      <c r="K33" s="35"/>
      <c r="L33" s="36">
        <v>39970</v>
      </c>
      <c r="M33" s="37">
        <f t="shared" si="1"/>
        <v>5</v>
      </c>
      <c r="N33" s="37" t="s">
        <v>199</v>
      </c>
      <c r="O33" s="37" t="s">
        <v>171</v>
      </c>
      <c r="P33" s="34">
        <v>603142423</v>
      </c>
      <c r="Q33" s="34" t="s">
        <v>197</v>
      </c>
      <c r="R33" s="34"/>
    </row>
    <row r="34" spans="1:18" ht="15" customHeight="1" x14ac:dyDescent="0.25">
      <c r="A34" s="34"/>
      <c r="B34" s="34" t="s">
        <v>542</v>
      </c>
      <c r="C34" s="34" t="s">
        <v>543</v>
      </c>
      <c r="D34" s="73" t="s">
        <v>0</v>
      </c>
      <c r="E34" s="33" t="s">
        <v>123</v>
      </c>
      <c r="F34" s="33" t="s">
        <v>396</v>
      </c>
      <c r="G34" s="33" t="s">
        <v>380</v>
      </c>
      <c r="H34" s="73" t="s">
        <v>493</v>
      </c>
      <c r="I34" s="59">
        <v>0</v>
      </c>
      <c r="J34" s="41">
        <v>450</v>
      </c>
      <c r="K34" s="60" t="s">
        <v>157</v>
      </c>
      <c r="L34" s="36">
        <v>41224</v>
      </c>
      <c r="M34" s="37">
        <f t="shared" si="1"/>
        <v>2</v>
      </c>
      <c r="N34" s="37">
        <v>838</v>
      </c>
      <c r="O34" s="37" t="s">
        <v>195</v>
      </c>
      <c r="P34" s="34"/>
      <c r="Q34" s="34" t="s">
        <v>194</v>
      </c>
      <c r="R34" s="34"/>
    </row>
    <row r="35" spans="1:18" ht="15" customHeight="1" x14ac:dyDescent="0.25">
      <c r="A35" s="34"/>
      <c r="B35" s="33" t="s">
        <v>540</v>
      </c>
      <c r="C35" s="33" t="s">
        <v>541</v>
      </c>
      <c r="D35" s="73" t="s">
        <v>0</v>
      </c>
      <c r="E35" s="33" t="s">
        <v>147</v>
      </c>
      <c r="F35" s="33" t="s">
        <v>396</v>
      </c>
      <c r="G35" s="33" t="s">
        <v>379</v>
      </c>
      <c r="H35" s="73" t="s">
        <v>493</v>
      </c>
      <c r="I35" s="22">
        <v>500</v>
      </c>
      <c r="J35" s="34">
        <v>0</v>
      </c>
      <c r="K35" s="35"/>
      <c r="L35" s="36">
        <v>41287</v>
      </c>
      <c r="M35" s="37">
        <f t="shared" si="1"/>
        <v>1</v>
      </c>
      <c r="N35" s="37" t="s">
        <v>196</v>
      </c>
      <c r="O35" s="37" t="s">
        <v>171</v>
      </c>
      <c r="P35" s="34">
        <v>732822929</v>
      </c>
      <c r="Q35" s="34" t="s">
        <v>192</v>
      </c>
      <c r="R35" s="34"/>
    </row>
    <row r="36" spans="1:18" ht="15" customHeight="1" x14ac:dyDescent="0.25">
      <c r="A36" s="34"/>
      <c r="B36" s="33" t="s">
        <v>546</v>
      </c>
      <c r="C36" s="33" t="s">
        <v>547</v>
      </c>
      <c r="D36" s="73" t="s">
        <v>0</v>
      </c>
      <c r="E36" s="33" t="s">
        <v>476</v>
      </c>
      <c r="F36" s="33" t="s">
        <v>396</v>
      </c>
      <c r="G36" s="33" t="s">
        <v>379</v>
      </c>
      <c r="H36" s="73" t="s">
        <v>493</v>
      </c>
      <c r="I36" s="59">
        <v>0</v>
      </c>
      <c r="J36" s="41">
        <v>500</v>
      </c>
      <c r="K36" s="60" t="s">
        <v>157</v>
      </c>
      <c r="L36" s="36">
        <v>40594</v>
      </c>
      <c r="M36" s="37">
        <f t="shared" si="1"/>
        <v>3</v>
      </c>
      <c r="N36" s="37" t="s">
        <v>477</v>
      </c>
      <c r="O36" s="37" t="s">
        <v>176</v>
      </c>
      <c r="P36" s="34"/>
      <c r="Q36" s="34" t="s">
        <v>478</v>
      </c>
      <c r="R36" s="34"/>
    </row>
    <row r="37" spans="1:18" ht="15" customHeight="1" x14ac:dyDescent="0.25">
      <c r="A37" s="34"/>
      <c r="B37" s="33" t="s">
        <v>548</v>
      </c>
      <c r="C37" s="33" t="s">
        <v>549</v>
      </c>
      <c r="D37" s="73" t="s">
        <v>0</v>
      </c>
      <c r="E37" s="33" t="s">
        <v>443</v>
      </c>
      <c r="F37" s="33" t="s">
        <v>429</v>
      </c>
      <c r="G37" s="33" t="s">
        <v>380</v>
      </c>
      <c r="H37" s="73" t="s">
        <v>493</v>
      </c>
      <c r="I37" s="22">
        <v>0</v>
      </c>
      <c r="J37" s="34">
        <v>500</v>
      </c>
      <c r="K37" s="35"/>
      <c r="L37" s="36">
        <v>40983</v>
      </c>
      <c r="M37" s="37">
        <f t="shared" si="1"/>
        <v>2</v>
      </c>
      <c r="N37" s="34" t="s">
        <v>447</v>
      </c>
      <c r="O37" s="37" t="s">
        <v>171</v>
      </c>
      <c r="P37" s="34"/>
      <c r="Q37" s="34" t="s">
        <v>442</v>
      </c>
      <c r="R37" s="34"/>
    </row>
    <row r="38" spans="1:18" ht="15" customHeight="1" x14ac:dyDescent="0.25">
      <c r="A38" s="34"/>
      <c r="B38" s="33" t="s">
        <v>550</v>
      </c>
      <c r="C38" s="33" t="s">
        <v>549</v>
      </c>
      <c r="D38" s="73" t="s">
        <v>0</v>
      </c>
      <c r="E38" s="33" t="s">
        <v>444</v>
      </c>
      <c r="F38" s="33" t="s">
        <v>429</v>
      </c>
      <c r="G38" s="33" t="s">
        <v>380</v>
      </c>
      <c r="H38" s="73" t="s">
        <v>493</v>
      </c>
      <c r="I38" s="22">
        <v>0</v>
      </c>
      <c r="J38" s="34">
        <v>450</v>
      </c>
      <c r="K38" s="35"/>
      <c r="L38" s="36">
        <v>41229</v>
      </c>
      <c r="M38" s="37">
        <f t="shared" si="1"/>
        <v>2</v>
      </c>
      <c r="N38" s="34" t="s">
        <v>448</v>
      </c>
      <c r="O38" s="37" t="s">
        <v>171</v>
      </c>
      <c r="P38" s="34"/>
      <c r="Q38" s="34" t="s">
        <v>442</v>
      </c>
      <c r="R38" s="34"/>
    </row>
    <row r="39" spans="1:18" ht="15" customHeight="1" x14ac:dyDescent="0.25">
      <c r="A39" s="34"/>
      <c r="B39" s="33" t="s">
        <v>551</v>
      </c>
      <c r="C39" s="33" t="s">
        <v>552</v>
      </c>
      <c r="D39" s="73" t="s">
        <v>0</v>
      </c>
      <c r="E39" s="33" t="s">
        <v>428</v>
      </c>
      <c r="F39" s="33" t="s">
        <v>429</v>
      </c>
      <c r="G39" s="33" t="s">
        <v>380</v>
      </c>
      <c r="H39" s="73" t="s">
        <v>493</v>
      </c>
      <c r="I39" s="59">
        <v>0</v>
      </c>
      <c r="J39" s="41">
        <v>500</v>
      </c>
      <c r="K39" s="60" t="s">
        <v>157</v>
      </c>
      <c r="L39" s="36">
        <v>41013</v>
      </c>
      <c r="M39" s="37">
        <f t="shared" si="1"/>
        <v>2</v>
      </c>
      <c r="N39" s="37">
        <v>366</v>
      </c>
      <c r="O39" s="37" t="s">
        <v>226</v>
      </c>
      <c r="P39" s="34"/>
      <c r="Q39" s="34" t="s">
        <v>430</v>
      </c>
      <c r="R39" s="34"/>
    </row>
    <row r="40" spans="1:18" s="34" customFormat="1" ht="15" customHeight="1" x14ac:dyDescent="0.25">
      <c r="B40" s="33" t="s">
        <v>505</v>
      </c>
      <c r="C40" s="33" t="s">
        <v>553</v>
      </c>
      <c r="D40" s="73" t="s">
        <v>0</v>
      </c>
      <c r="E40" s="34" t="s">
        <v>427</v>
      </c>
      <c r="F40" s="33" t="s">
        <v>599</v>
      </c>
      <c r="G40" s="33" t="s">
        <v>380</v>
      </c>
      <c r="H40" s="73" t="s">
        <v>493</v>
      </c>
      <c r="I40" s="22">
        <v>500</v>
      </c>
      <c r="J40" s="34">
        <v>0</v>
      </c>
      <c r="K40" s="35"/>
      <c r="L40" s="36">
        <v>39779</v>
      </c>
      <c r="M40" s="37">
        <f t="shared" si="1"/>
        <v>6</v>
      </c>
      <c r="N40" s="37" t="s">
        <v>426</v>
      </c>
      <c r="O40" s="37" t="s">
        <v>171</v>
      </c>
      <c r="P40" s="34">
        <v>728997295</v>
      </c>
      <c r="Q40" s="34" t="s">
        <v>425</v>
      </c>
    </row>
    <row r="41" spans="1:18" s="34" customFormat="1" ht="15" customHeight="1" x14ac:dyDescent="0.25">
      <c r="B41" s="33" t="s">
        <v>554</v>
      </c>
      <c r="C41" s="33" t="s">
        <v>555</v>
      </c>
      <c r="D41" s="73" t="s">
        <v>0</v>
      </c>
      <c r="E41" s="34" t="s">
        <v>438</v>
      </c>
      <c r="F41" s="33" t="s">
        <v>599</v>
      </c>
      <c r="G41" s="33" t="s">
        <v>380</v>
      </c>
      <c r="H41" s="73" t="s">
        <v>493</v>
      </c>
      <c r="I41" s="22">
        <v>0</v>
      </c>
      <c r="J41" s="34">
        <v>250</v>
      </c>
      <c r="K41" s="66"/>
      <c r="L41" s="36">
        <v>40192</v>
      </c>
      <c r="M41" s="37">
        <f t="shared" si="1"/>
        <v>4</v>
      </c>
      <c r="N41" s="37" t="s">
        <v>439</v>
      </c>
      <c r="O41" s="37" t="s">
        <v>171</v>
      </c>
      <c r="P41" s="34">
        <v>603507363</v>
      </c>
      <c r="Q41" s="34" t="s">
        <v>227</v>
      </c>
    </row>
    <row r="42" spans="1:18" ht="15" customHeight="1" x14ac:dyDescent="0.25">
      <c r="A42" s="34"/>
      <c r="B42" s="33" t="s">
        <v>554</v>
      </c>
      <c r="C42" s="33" t="s">
        <v>555</v>
      </c>
      <c r="D42" s="73" t="s">
        <v>0</v>
      </c>
      <c r="E42" s="34" t="s">
        <v>214</v>
      </c>
      <c r="F42" s="33" t="s">
        <v>599</v>
      </c>
      <c r="G42" s="33" t="s">
        <v>380</v>
      </c>
      <c r="H42" s="73" t="s">
        <v>493</v>
      </c>
      <c r="I42" s="35">
        <v>0</v>
      </c>
      <c r="J42" s="34">
        <v>0</v>
      </c>
      <c r="K42" s="35" t="s">
        <v>604</v>
      </c>
      <c r="L42" s="36">
        <v>38944</v>
      </c>
      <c r="M42" s="37">
        <f t="shared" si="1"/>
        <v>8</v>
      </c>
      <c r="N42" s="37" t="s">
        <v>229</v>
      </c>
      <c r="O42" s="37" t="s">
        <v>171</v>
      </c>
      <c r="P42" s="34">
        <v>603507363</v>
      </c>
      <c r="Q42" s="34" t="s">
        <v>227</v>
      </c>
      <c r="R42" s="34"/>
    </row>
    <row r="43" spans="1:18" ht="15" customHeight="1" x14ac:dyDescent="0.25">
      <c r="A43" s="34"/>
      <c r="B43" s="33" t="s">
        <v>556</v>
      </c>
      <c r="C43" s="33" t="s">
        <v>557</v>
      </c>
      <c r="D43" s="73" t="s">
        <v>0</v>
      </c>
      <c r="E43" s="34" t="s">
        <v>435</v>
      </c>
      <c r="F43" s="33" t="s">
        <v>599</v>
      </c>
      <c r="G43" s="33" t="s">
        <v>380</v>
      </c>
      <c r="H43" s="73" t="s">
        <v>493</v>
      </c>
      <c r="I43" s="22">
        <v>0</v>
      </c>
      <c r="J43" s="34">
        <v>500</v>
      </c>
      <c r="K43" s="35"/>
      <c r="L43" s="36">
        <v>40302</v>
      </c>
      <c r="M43" s="37">
        <f t="shared" si="1"/>
        <v>4</v>
      </c>
      <c r="N43" s="37">
        <v>694</v>
      </c>
      <c r="O43" s="37" t="s">
        <v>195</v>
      </c>
      <c r="P43" s="34"/>
      <c r="Q43" s="34" t="s">
        <v>437</v>
      </c>
      <c r="R43" s="34"/>
    </row>
    <row r="44" spans="1:18" ht="15" customHeight="1" x14ac:dyDescent="0.25">
      <c r="A44" s="34"/>
      <c r="B44" s="33" t="s">
        <v>556</v>
      </c>
      <c r="C44" s="33" t="s">
        <v>557</v>
      </c>
      <c r="D44" s="73" t="s">
        <v>0</v>
      </c>
      <c r="E44" s="34" t="s">
        <v>436</v>
      </c>
      <c r="F44" s="33" t="s">
        <v>599</v>
      </c>
      <c r="G44" s="33" t="s">
        <v>380</v>
      </c>
      <c r="H44" s="73" t="s">
        <v>493</v>
      </c>
      <c r="I44" s="22">
        <v>0</v>
      </c>
      <c r="J44" s="34">
        <v>450</v>
      </c>
      <c r="K44" s="35"/>
      <c r="L44" s="36">
        <v>41340</v>
      </c>
      <c r="M44" s="37">
        <f t="shared" si="1"/>
        <v>1</v>
      </c>
      <c r="N44" s="37">
        <v>892</v>
      </c>
      <c r="O44" s="37" t="s">
        <v>195</v>
      </c>
      <c r="P44" s="34"/>
      <c r="Q44" s="34" t="s">
        <v>437</v>
      </c>
      <c r="R44" s="34"/>
    </row>
    <row r="45" spans="1:18" ht="15" customHeight="1" x14ac:dyDescent="0.25">
      <c r="A45" s="34"/>
      <c r="B45" s="33" t="s">
        <v>276</v>
      </c>
      <c r="C45" s="33" t="s">
        <v>558</v>
      </c>
      <c r="D45" s="73" t="s">
        <v>0</v>
      </c>
      <c r="E45" s="34" t="s">
        <v>127</v>
      </c>
      <c r="F45" s="33" t="s">
        <v>599</v>
      </c>
      <c r="G45" s="33" t="s">
        <v>379</v>
      </c>
      <c r="H45" s="73" t="s">
        <v>493</v>
      </c>
      <c r="I45" s="22">
        <v>0</v>
      </c>
      <c r="J45" s="34">
        <v>0</v>
      </c>
      <c r="K45" s="35"/>
      <c r="L45" s="36">
        <v>39950</v>
      </c>
      <c r="M45" s="37">
        <f t="shared" si="1"/>
        <v>5</v>
      </c>
      <c r="N45" s="34" t="s">
        <v>323</v>
      </c>
      <c r="O45" s="37" t="s">
        <v>171</v>
      </c>
      <c r="P45" s="34"/>
      <c r="Q45" s="34" t="s">
        <v>198</v>
      </c>
      <c r="R45" s="34"/>
    </row>
    <row r="46" spans="1:18" ht="15" customHeight="1" x14ac:dyDescent="0.25">
      <c r="A46" s="34"/>
      <c r="B46" s="33" t="s">
        <v>554</v>
      </c>
      <c r="C46" s="33" t="s">
        <v>555</v>
      </c>
      <c r="D46" s="73" t="s">
        <v>0</v>
      </c>
      <c r="E46" s="34" t="s">
        <v>213</v>
      </c>
      <c r="F46" s="33" t="s">
        <v>599</v>
      </c>
      <c r="G46" s="33" t="s">
        <v>379</v>
      </c>
      <c r="H46" s="73" t="s">
        <v>493</v>
      </c>
      <c r="I46" s="22">
        <v>0</v>
      </c>
      <c r="J46" s="34">
        <v>250</v>
      </c>
      <c r="K46" s="35"/>
      <c r="L46" s="36">
        <v>40644</v>
      </c>
      <c r="M46" s="37">
        <f t="shared" si="1"/>
        <v>3</v>
      </c>
      <c r="N46" s="37" t="s">
        <v>230</v>
      </c>
      <c r="O46" s="37" t="s">
        <v>171</v>
      </c>
      <c r="P46" s="34">
        <v>603507363</v>
      </c>
      <c r="Q46" s="34" t="s">
        <v>227</v>
      </c>
      <c r="R46" s="34"/>
    </row>
    <row r="47" spans="1:18" ht="15" customHeight="1" x14ac:dyDescent="0.25">
      <c r="A47" s="34"/>
      <c r="B47" s="33" t="s">
        <v>559</v>
      </c>
      <c r="C47" s="33" t="s">
        <v>560</v>
      </c>
      <c r="D47" s="73" t="s">
        <v>0</v>
      </c>
      <c r="E47" s="34" t="s">
        <v>126</v>
      </c>
      <c r="F47" s="33" t="s">
        <v>599</v>
      </c>
      <c r="G47" s="33" t="s">
        <v>379</v>
      </c>
      <c r="H47" s="73" t="s">
        <v>493</v>
      </c>
      <c r="I47" s="69">
        <v>500</v>
      </c>
      <c r="J47" s="68">
        <v>0</v>
      </c>
      <c r="K47" s="71" t="s">
        <v>605</v>
      </c>
      <c r="L47" s="36">
        <v>41315</v>
      </c>
      <c r="M47" s="37">
        <f t="shared" ref="M47" si="2">DATEDIF(L47,$T$1,"Y")</f>
        <v>1</v>
      </c>
      <c r="N47" s="34" t="s">
        <v>419</v>
      </c>
      <c r="O47" s="37" t="s">
        <v>171</v>
      </c>
      <c r="P47" s="34">
        <v>777820112</v>
      </c>
      <c r="Q47" s="67" t="s">
        <v>231</v>
      </c>
      <c r="R47" s="34"/>
    </row>
    <row r="48" spans="1:18" ht="15" customHeight="1" x14ac:dyDescent="0.25">
      <c r="A48" s="34"/>
      <c r="B48" s="33" t="s">
        <v>536</v>
      </c>
      <c r="C48" s="33" t="s">
        <v>561</v>
      </c>
      <c r="D48" s="73" t="s">
        <v>0</v>
      </c>
      <c r="E48" s="33" t="s">
        <v>142</v>
      </c>
      <c r="F48" s="33" t="s">
        <v>599</v>
      </c>
      <c r="G48" s="33" t="s">
        <v>379</v>
      </c>
      <c r="H48" s="73" t="s">
        <v>493</v>
      </c>
      <c r="I48" s="22">
        <v>500</v>
      </c>
      <c r="J48" s="34">
        <v>0</v>
      </c>
      <c r="K48" s="35"/>
      <c r="L48" s="36">
        <v>41346</v>
      </c>
      <c r="M48" s="37">
        <f>DATEDIF(L48,$T$1,"Y")</f>
        <v>1</v>
      </c>
      <c r="N48" s="37" t="s">
        <v>201</v>
      </c>
      <c r="O48" s="37" t="s">
        <v>171</v>
      </c>
      <c r="P48" s="34">
        <v>721772640</v>
      </c>
      <c r="Q48" s="34" t="s">
        <v>200</v>
      </c>
      <c r="R48" s="34"/>
    </row>
    <row r="49" spans="1:19" ht="15" customHeight="1" x14ac:dyDescent="0.25">
      <c r="A49" s="34"/>
      <c r="B49" s="33" t="s">
        <v>562</v>
      </c>
      <c r="C49" s="33" t="s">
        <v>563</v>
      </c>
      <c r="D49" s="73" t="s">
        <v>0</v>
      </c>
      <c r="E49" s="33" t="s">
        <v>141</v>
      </c>
      <c r="F49" s="33" t="s">
        <v>599</v>
      </c>
      <c r="G49" s="33" t="s">
        <v>379</v>
      </c>
      <c r="H49" s="73" t="s">
        <v>493</v>
      </c>
      <c r="I49" s="22">
        <v>500</v>
      </c>
      <c r="J49" s="34">
        <v>0</v>
      </c>
      <c r="K49" s="35"/>
      <c r="L49" s="36">
        <v>39133</v>
      </c>
      <c r="M49" s="37">
        <f t="shared" ref="M49:M50" si="3">DATEDIF(L49,$T$1,"Y")</f>
        <v>7</v>
      </c>
      <c r="N49" s="37" t="s">
        <v>233</v>
      </c>
      <c r="O49" s="37" t="s">
        <v>171</v>
      </c>
      <c r="P49" s="34">
        <v>604666354</v>
      </c>
      <c r="Q49" s="67" t="s">
        <v>232</v>
      </c>
      <c r="R49" s="34"/>
    </row>
    <row r="50" spans="1:19" ht="15" customHeight="1" x14ac:dyDescent="0.25">
      <c r="A50" s="34"/>
      <c r="B50" s="33" t="s">
        <v>564</v>
      </c>
      <c r="C50" s="33" t="s">
        <v>565</v>
      </c>
      <c r="D50" s="73" t="s">
        <v>0</v>
      </c>
      <c r="E50" s="33" t="s">
        <v>457</v>
      </c>
      <c r="F50" s="33" t="s">
        <v>599</v>
      </c>
      <c r="G50" s="33" t="s">
        <v>379</v>
      </c>
      <c r="H50" s="73" t="s">
        <v>493</v>
      </c>
      <c r="I50" s="22">
        <v>500</v>
      </c>
      <c r="J50" s="34">
        <v>0</v>
      </c>
      <c r="K50" s="35"/>
      <c r="L50" s="36">
        <v>40574</v>
      </c>
      <c r="M50" s="37">
        <f t="shared" si="3"/>
        <v>3</v>
      </c>
      <c r="N50" s="37" t="s">
        <v>458</v>
      </c>
      <c r="O50" s="37" t="s">
        <v>171</v>
      </c>
      <c r="P50" s="34"/>
      <c r="Q50" s="67" t="s">
        <v>234</v>
      </c>
      <c r="R50" s="34"/>
    </row>
    <row r="51" spans="1:19" ht="15" customHeight="1" x14ac:dyDescent="0.25">
      <c r="A51" s="34"/>
      <c r="B51" s="33" t="s">
        <v>276</v>
      </c>
      <c r="C51" s="33" t="s">
        <v>558</v>
      </c>
      <c r="D51" s="73" t="s">
        <v>0</v>
      </c>
      <c r="E51" s="33" t="s">
        <v>324</v>
      </c>
      <c r="F51" s="33" t="s">
        <v>599</v>
      </c>
      <c r="G51" s="33" t="s">
        <v>379</v>
      </c>
      <c r="H51" s="73" t="s">
        <v>493</v>
      </c>
      <c r="I51" s="35">
        <v>0</v>
      </c>
      <c r="J51" s="34">
        <v>0</v>
      </c>
      <c r="K51" s="35" t="s">
        <v>604</v>
      </c>
      <c r="L51" s="36">
        <v>38944</v>
      </c>
      <c r="M51" s="37">
        <f t="shared" ref="M51:M71" si="4">DATEDIF(L51,$T$1,"Y")</f>
        <v>8</v>
      </c>
      <c r="N51" s="34" t="s">
        <v>325</v>
      </c>
      <c r="O51" s="37" t="s">
        <v>171</v>
      </c>
      <c r="P51" s="34"/>
      <c r="Q51" s="34" t="s">
        <v>198</v>
      </c>
      <c r="R51" s="34"/>
    </row>
    <row r="52" spans="1:19" ht="15" customHeight="1" x14ac:dyDescent="0.25">
      <c r="A52" s="34"/>
      <c r="B52" s="33" t="s">
        <v>566</v>
      </c>
      <c r="C52" s="33" t="s">
        <v>567</v>
      </c>
      <c r="D52" s="73" t="s">
        <v>0</v>
      </c>
      <c r="E52" s="34" t="s">
        <v>422</v>
      </c>
      <c r="F52" s="33" t="s">
        <v>599</v>
      </c>
      <c r="G52" s="33" t="s">
        <v>379</v>
      </c>
      <c r="H52" s="73" t="s">
        <v>493</v>
      </c>
      <c r="I52" s="35">
        <v>0</v>
      </c>
      <c r="J52" s="34">
        <v>0</v>
      </c>
      <c r="K52" s="35" t="s">
        <v>604</v>
      </c>
      <c r="L52" s="36">
        <v>40097</v>
      </c>
      <c r="M52" s="37">
        <f t="shared" si="4"/>
        <v>5</v>
      </c>
      <c r="N52" s="34" t="s">
        <v>423</v>
      </c>
      <c r="O52" s="37" t="s">
        <v>171</v>
      </c>
      <c r="P52" s="34">
        <v>602600173</v>
      </c>
      <c r="Q52" s="67" t="s">
        <v>421</v>
      </c>
      <c r="R52" s="34"/>
    </row>
    <row r="53" spans="1:19" ht="15" customHeight="1" x14ac:dyDescent="0.25">
      <c r="A53" s="34"/>
      <c r="B53" s="33" t="s">
        <v>568</v>
      </c>
      <c r="C53" s="33" t="s">
        <v>569</v>
      </c>
      <c r="D53" s="73" t="s">
        <v>0</v>
      </c>
      <c r="E53" s="33" t="s">
        <v>482</v>
      </c>
      <c r="F53" s="33" t="s">
        <v>397</v>
      </c>
      <c r="G53" s="33" t="s">
        <v>380</v>
      </c>
      <c r="H53" s="73" t="s">
        <v>493</v>
      </c>
      <c r="I53" s="22">
        <v>0</v>
      </c>
      <c r="J53" s="34">
        <v>500</v>
      </c>
      <c r="K53" s="35"/>
      <c r="L53" s="36">
        <v>40773</v>
      </c>
      <c r="M53" s="37">
        <f t="shared" si="4"/>
        <v>3</v>
      </c>
      <c r="N53" s="37" t="s">
        <v>484</v>
      </c>
      <c r="O53" s="37" t="s">
        <v>171</v>
      </c>
      <c r="P53" s="34"/>
      <c r="Q53" s="67" t="s">
        <v>483</v>
      </c>
      <c r="R53" s="34"/>
    </row>
    <row r="54" spans="1:19" ht="15" customHeight="1" x14ac:dyDescent="0.25">
      <c r="A54" s="34"/>
      <c r="B54" s="33" t="s">
        <v>570</v>
      </c>
      <c r="C54" s="33" t="s">
        <v>571</v>
      </c>
      <c r="D54" s="73" t="s">
        <v>0</v>
      </c>
      <c r="E54" s="34" t="s">
        <v>164</v>
      </c>
      <c r="F54" s="33" t="s">
        <v>397</v>
      </c>
      <c r="G54" s="33" t="s">
        <v>380</v>
      </c>
      <c r="H54" s="73" t="s">
        <v>493</v>
      </c>
      <c r="I54" s="22">
        <v>500</v>
      </c>
      <c r="J54" s="34">
        <v>0</v>
      </c>
      <c r="K54" s="35"/>
      <c r="L54" s="36">
        <v>41014</v>
      </c>
      <c r="M54" s="37">
        <f t="shared" si="4"/>
        <v>2</v>
      </c>
      <c r="N54" s="37" t="s">
        <v>451</v>
      </c>
      <c r="O54" s="37" t="s">
        <v>171</v>
      </c>
      <c r="P54" s="34"/>
      <c r="Q54" s="34" t="s">
        <v>202</v>
      </c>
      <c r="R54" s="34"/>
    </row>
    <row r="55" spans="1:19" ht="15" customHeight="1" x14ac:dyDescent="0.25">
      <c r="A55" s="34"/>
      <c r="B55" s="33" t="s">
        <v>572</v>
      </c>
      <c r="C55" s="33" t="s">
        <v>573</v>
      </c>
      <c r="D55" s="73" t="s">
        <v>0</v>
      </c>
      <c r="E55" s="34" t="s">
        <v>128</v>
      </c>
      <c r="F55" s="33" t="s">
        <v>397</v>
      </c>
      <c r="G55" s="33" t="s">
        <v>380</v>
      </c>
      <c r="H55" s="73" t="s">
        <v>493</v>
      </c>
      <c r="I55" s="22">
        <v>0</v>
      </c>
      <c r="J55" s="34">
        <v>500</v>
      </c>
      <c r="K55" s="35"/>
      <c r="L55" s="36">
        <v>41204</v>
      </c>
      <c r="M55" s="37">
        <f t="shared" si="4"/>
        <v>2</v>
      </c>
      <c r="N55" s="37" t="s">
        <v>479</v>
      </c>
      <c r="O55" s="37" t="s">
        <v>171</v>
      </c>
      <c r="P55" s="34">
        <v>739437743</v>
      </c>
      <c r="Q55" s="34" t="s">
        <v>109</v>
      </c>
      <c r="R55" s="34"/>
    </row>
    <row r="56" spans="1:19" ht="15" customHeight="1" x14ac:dyDescent="0.25">
      <c r="A56" s="34"/>
      <c r="B56" s="33" t="s">
        <v>574</v>
      </c>
      <c r="C56" s="33" t="s">
        <v>575</v>
      </c>
      <c r="D56" s="73" t="s">
        <v>0</v>
      </c>
      <c r="E56" s="34" t="s">
        <v>473</v>
      </c>
      <c r="F56" s="33" t="s">
        <v>397</v>
      </c>
      <c r="G56" s="33" t="s">
        <v>380</v>
      </c>
      <c r="H56" s="73" t="s">
        <v>493</v>
      </c>
      <c r="I56" s="22">
        <v>0</v>
      </c>
      <c r="J56" s="34">
        <v>300</v>
      </c>
      <c r="K56" s="35"/>
      <c r="L56" s="36">
        <v>41204</v>
      </c>
      <c r="M56" s="37">
        <f t="shared" si="4"/>
        <v>2</v>
      </c>
      <c r="N56" s="37" t="s">
        <v>475</v>
      </c>
      <c r="O56" s="37" t="s">
        <v>171</v>
      </c>
      <c r="P56" s="34">
        <v>721914455</v>
      </c>
      <c r="Q56" s="34" t="s">
        <v>474</v>
      </c>
      <c r="R56" s="34"/>
    </row>
    <row r="57" spans="1:19" ht="15" customHeight="1" x14ac:dyDescent="0.25">
      <c r="A57" s="34"/>
      <c r="B57" s="33" t="s">
        <v>576</v>
      </c>
      <c r="C57" s="33" t="s">
        <v>577</v>
      </c>
      <c r="D57" s="73" t="s">
        <v>0</v>
      </c>
      <c r="E57" s="34" t="s">
        <v>462</v>
      </c>
      <c r="F57" s="33" t="s">
        <v>397</v>
      </c>
      <c r="G57" s="33" t="s">
        <v>380</v>
      </c>
      <c r="H57" s="73" t="s">
        <v>493</v>
      </c>
      <c r="I57" s="22">
        <v>0</v>
      </c>
      <c r="J57" s="34">
        <v>500</v>
      </c>
      <c r="K57" s="35"/>
      <c r="L57" s="36">
        <v>40727</v>
      </c>
      <c r="M57" s="37">
        <f t="shared" si="4"/>
        <v>3</v>
      </c>
      <c r="N57" s="37">
        <v>765</v>
      </c>
      <c r="O57" s="37" t="s">
        <v>195</v>
      </c>
      <c r="P57" s="34"/>
      <c r="Q57" s="34" t="s">
        <v>463</v>
      </c>
      <c r="R57" s="34"/>
    </row>
    <row r="58" spans="1:19" ht="15" customHeight="1" x14ac:dyDescent="0.25">
      <c r="A58" s="34"/>
      <c r="B58" s="33" t="s">
        <v>578</v>
      </c>
      <c r="C58" s="33" t="s">
        <v>579</v>
      </c>
      <c r="D58" s="73" t="s">
        <v>0</v>
      </c>
      <c r="E58" s="34" t="s">
        <v>151</v>
      </c>
      <c r="F58" s="33" t="s">
        <v>397</v>
      </c>
      <c r="G58" s="33" t="s">
        <v>380</v>
      </c>
      <c r="H58" s="73" t="s">
        <v>493</v>
      </c>
      <c r="I58" s="59">
        <v>0</v>
      </c>
      <c r="J58" s="41">
        <v>500</v>
      </c>
      <c r="K58" s="60" t="s">
        <v>157</v>
      </c>
      <c r="L58" s="36">
        <v>40760</v>
      </c>
      <c r="M58" s="37">
        <f t="shared" si="4"/>
        <v>3</v>
      </c>
      <c r="N58" s="37">
        <v>374</v>
      </c>
      <c r="O58" s="37" t="s">
        <v>176</v>
      </c>
      <c r="P58" s="34"/>
      <c r="Q58" s="67" t="s">
        <v>203</v>
      </c>
      <c r="R58" s="34"/>
    </row>
    <row r="59" spans="1:19" ht="15" customHeight="1" x14ac:dyDescent="0.25">
      <c r="A59" s="34"/>
      <c r="B59" s="33" t="s">
        <v>580</v>
      </c>
      <c r="C59" s="33" t="s">
        <v>581</v>
      </c>
      <c r="D59" s="73" t="s">
        <v>0</v>
      </c>
      <c r="E59" s="33" t="s">
        <v>121</v>
      </c>
      <c r="F59" s="33" t="s">
        <v>397</v>
      </c>
      <c r="G59" s="33" t="s">
        <v>379</v>
      </c>
      <c r="H59" s="73" t="s">
        <v>493</v>
      </c>
      <c r="I59" s="22">
        <v>500</v>
      </c>
      <c r="J59" s="34">
        <v>0</v>
      </c>
      <c r="K59" s="35"/>
      <c r="L59" s="36">
        <v>41014</v>
      </c>
      <c r="M59" s="37">
        <f t="shared" si="4"/>
        <v>2</v>
      </c>
      <c r="N59" s="37" t="s">
        <v>206</v>
      </c>
      <c r="O59" s="37" t="s">
        <v>176</v>
      </c>
      <c r="P59" s="34">
        <v>910933333</v>
      </c>
      <c r="Q59" s="67" t="s">
        <v>204</v>
      </c>
      <c r="R59" s="34"/>
    </row>
    <row r="60" spans="1:19" ht="15" customHeight="1" x14ac:dyDescent="0.25">
      <c r="A60" s="34"/>
      <c r="B60" s="33" t="s">
        <v>582</v>
      </c>
      <c r="C60" s="33" t="s">
        <v>583</v>
      </c>
      <c r="D60" s="73" t="s">
        <v>0</v>
      </c>
      <c r="E60" s="33" t="s">
        <v>464</v>
      </c>
      <c r="F60" s="33" t="s">
        <v>397</v>
      </c>
      <c r="G60" s="33" t="s">
        <v>379</v>
      </c>
      <c r="H60" s="73" t="s">
        <v>493</v>
      </c>
      <c r="I60" s="59">
        <v>0</v>
      </c>
      <c r="J60" s="41">
        <v>500</v>
      </c>
      <c r="K60" s="60" t="s">
        <v>157</v>
      </c>
      <c r="L60" s="36">
        <v>40323</v>
      </c>
      <c r="M60" s="37">
        <f t="shared" si="4"/>
        <v>4</v>
      </c>
      <c r="N60" s="37">
        <v>775</v>
      </c>
      <c r="O60" s="37" t="s">
        <v>195</v>
      </c>
      <c r="P60" s="34">
        <v>608077722</v>
      </c>
      <c r="Q60" s="67" t="s">
        <v>465</v>
      </c>
      <c r="R60" s="34"/>
    </row>
    <row r="61" spans="1:19" ht="15" customHeight="1" x14ac:dyDescent="0.25">
      <c r="A61" s="34"/>
      <c r="B61" s="33" t="s">
        <v>584</v>
      </c>
      <c r="C61" s="33" t="s">
        <v>585</v>
      </c>
      <c r="D61" s="73" t="s">
        <v>0</v>
      </c>
      <c r="E61" s="33" t="s">
        <v>162</v>
      </c>
      <c r="F61" s="33" t="s">
        <v>397</v>
      </c>
      <c r="G61" s="33" t="s">
        <v>379</v>
      </c>
      <c r="H61" s="73" t="s">
        <v>493</v>
      </c>
      <c r="I61" s="22">
        <v>0</v>
      </c>
      <c r="J61" s="34">
        <v>450</v>
      </c>
      <c r="K61" s="35"/>
      <c r="L61" s="36">
        <v>38887</v>
      </c>
      <c r="M61" s="37">
        <f t="shared" si="4"/>
        <v>8</v>
      </c>
      <c r="N61" s="37">
        <v>233</v>
      </c>
      <c r="O61" s="37" t="s">
        <v>176</v>
      </c>
      <c r="P61" s="34"/>
      <c r="Q61" s="67" t="s">
        <v>205</v>
      </c>
      <c r="R61" s="34"/>
    </row>
    <row r="62" spans="1:19" ht="15" customHeight="1" x14ac:dyDescent="0.25">
      <c r="A62" s="34"/>
      <c r="B62" s="33" t="s">
        <v>554</v>
      </c>
      <c r="C62" s="33" t="s">
        <v>555</v>
      </c>
      <c r="D62" s="73" t="s">
        <v>210</v>
      </c>
      <c r="E62" s="34" t="s">
        <v>215</v>
      </c>
      <c r="F62" s="33" t="s">
        <v>397</v>
      </c>
      <c r="G62" s="33" t="s">
        <v>379</v>
      </c>
      <c r="H62" s="73" t="s">
        <v>493</v>
      </c>
      <c r="I62" s="22">
        <v>0</v>
      </c>
      <c r="J62" s="34">
        <v>250</v>
      </c>
      <c r="K62" s="35"/>
      <c r="L62" s="36">
        <v>41315</v>
      </c>
      <c r="M62" s="37">
        <f t="shared" si="4"/>
        <v>1</v>
      </c>
      <c r="N62" s="37" t="s">
        <v>228</v>
      </c>
      <c r="O62" s="37" t="s">
        <v>171</v>
      </c>
      <c r="P62" s="34">
        <v>603507363</v>
      </c>
      <c r="Q62" s="63" t="s">
        <v>227</v>
      </c>
      <c r="R62" s="34"/>
    </row>
    <row r="63" spans="1:19" ht="15" customHeight="1" x14ac:dyDescent="0.25">
      <c r="A63" s="34"/>
      <c r="B63" s="33" t="s">
        <v>566</v>
      </c>
      <c r="C63" s="33" t="s">
        <v>567</v>
      </c>
      <c r="D63" s="73" t="s">
        <v>0</v>
      </c>
      <c r="E63" s="34" t="s">
        <v>420</v>
      </c>
      <c r="F63" s="33" t="s">
        <v>397</v>
      </c>
      <c r="G63" s="33" t="s">
        <v>379</v>
      </c>
      <c r="H63" s="73" t="s">
        <v>493</v>
      </c>
      <c r="I63" s="35">
        <v>0</v>
      </c>
      <c r="J63" s="34">
        <v>0</v>
      </c>
      <c r="K63" s="35" t="s">
        <v>604</v>
      </c>
      <c r="L63" s="36">
        <v>40854</v>
      </c>
      <c r="M63" s="37">
        <f t="shared" si="4"/>
        <v>3</v>
      </c>
      <c r="N63" s="34" t="s">
        <v>424</v>
      </c>
      <c r="O63" s="37" t="s">
        <v>171</v>
      </c>
      <c r="P63" s="34">
        <v>602600173</v>
      </c>
      <c r="Q63" s="67" t="s">
        <v>421</v>
      </c>
      <c r="R63" s="34"/>
    </row>
    <row r="64" spans="1:19" ht="15" customHeight="1" x14ac:dyDescent="0.25">
      <c r="A64" s="34"/>
      <c r="B64" s="33" t="s">
        <v>584</v>
      </c>
      <c r="C64" s="33" t="s">
        <v>585</v>
      </c>
      <c r="D64" s="73" t="s">
        <v>0</v>
      </c>
      <c r="E64" s="34" t="s">
        <v>112</v>
      </c>
      <c r="F64" s="33" t="s">
        <v>397</v>
      </c>
      <c r="G64" s="33" t="s">
        <v>379</v>
      </c>
      <c r="H64" s="73" t="s">
        <v>493</v>
      </c>
      <c r="I64" s="22">
        <v>0</v>
      </c>
      <c r="J64" s="34">
        <v>500</v>
      </c>
      <c r="K64" s="35"/>
      <c r="L64" s="36">
        <v>41470</v>
      </c>
      <c r="M64" s="37">
        <f t="shared" si="4"/>
        <v>1</v>
      </c>
      <c r="N64" s="37"/>
      <c r="O64" s="37" t="s">
        <v>176</v>
      </c>
      <c r="P64" s="34"/>
      <c r="Q64" s="67" t="s">
        <v>205</v>
      </c>
      <c r="R64" s="34"/>
      <c r="S64" s="28"/>
    </row>
    <row r="65" spans="1:19" ht="15" customHeight="1" x14ac:dyDescent="0.25">
      <c r="A65" s="34"/>
      <c r="B65" s="33" t="s">
        <v>584</v>
      </c>
      <c r="C65" s="33" t="s">
        <v>585</v>
      </c>
      <c r="D65" s="73" t="s">
        <v>0</v>
      </c>
      <c r="E65" s="33" t="s">
        <v>114</v>
      </c>
      <c r="F65" s="33" t="s">
        <v>397</v>
      </c>
      <c r="G65" s="33" t="s">
        <v>379</v>
      </c>
      <c r="H65" s="73" t="s">
        <v>493</v>
      </c>
      <c r="I65" s="22">
        <v>0</v>
      </c>
      <c r="J65" s="34">
        <v>450</v>
      </c>
      <c r="K65" s="35"/>
      <c r="L65" s="36">
        <v>39264</v>
      </c>
      <c r="M65" s="37">
        <f t="shared" si="4"/>
        <v>7</v>
      </c>
      <c r="N65" s="37">
        <v>251</v>
      </c>
      <c r="O65" s="37" t="s">
        <v>176</v>
      </c>
      <c r="P65" s="34"/>
      <c r="Q65" s="67" t="s">
        <v>205</v>
      </c>
      <c r="R65" s="34"/>
    </row>
    <row r="66" spans="1:19" ht="15" customHeight="1" x14ac:dyDescent="0.25">
      <c r="A66" s="34"/>
      <c r="B66" s="33" t="s">
        <v>505</v>
      </c>
      <c r="C66" s="33" t="s">
        <v>586</v>
      </c>
      <c r="D66" s="73" t="s">
        <v>0</v>
      </c>
      <c r="E66" s="33" t="s">
        <v>163</v>
      </c>
      <c r="F66" s="33" t="s">
        <v>397</v>
      </c>
      <c r="G66" s="33" t="s">
        <v>379</v>
      </c>
      <c r="H66" s="73" t="s">
        <v>493</v>
      </c>
      <c r="I66" s="22">
        <v>500</v>
      </c>
      <c r="J66" s="34">
        <v>0</v>
      </c>
      <c r="K66" s="35"/>
      <c r="L66" s="36">
        <v>40259</v>
      </c>
      <c r="M66" s="37">
        <f t="shared" si="4"/>
        <v>4</v>
      </c>
      <c r="N66" s="37" t="s">
        <v>235</v>
      </c>
      <c r="O66" s="37" t="s">
        <v>171</v>
      </c>
      <c r="P66" s="34"/>
      <c r="Q66" s="67" t="s">
        <v>234</v>
      </c>
      <c r="R66" s="34"/>
    </row>
    <row r="67" spans="1:19" ht="15" customHeight="1" x14ac:dyDescent="0.25">
      <c r="A67" s="34"/>
      <c r="B67" s="33" t="s">
        <v>584</v>
      </c>
      <c r="C67" s="33" t="s">
        <v>585</v>
      </c>
      <c r="D67" s="73" t="s">
        <v>0</v>
      </c>
      <c r="E67" s="33" t="s">
        <v>113</v>
      </c>
      <c r="F67" s="33" t="s">
        <v>397</v>
      </c>
      <c r="G67" s="33" t="s">
        <v>379</v>
      </c>
      <c r="H67" s="73" t="s">
        <v>493</v>
      </c>
      <c r="I67" s="22">
        <v>0</v>
      </c>
      <c r="J67" s="34">
        <v>450</v>
      </c>
      <c r="K67" s="35"/>
      <c r="L67" s="36">
        <v>41206</v>
      </c>
      <c r="M67" s="37">
        <f t="shared" si="4"/>
        <v>2</v>
      </c>
      <c r="N67" s="37">
        <v>368</v>
      </c>
      <c r="O67" s="37" t="s">
        <v>176</v>
      </c>
      <c r="P67" s="34"/>
      <c r="Q67" s="34" t="s">
        <v>205</v>
      </c>
      <c r="R67" s="34"/>
    </row>
    <row r="68" spans="1:19" ht="15" customHeight="1" x14ac:dyDescent="0.25">
      <c r="A68" s="34"/>
      <c r="B68" s="33" t="s">
        <v>276</v>
      </c>
      <c r="C68" s="33" t="s">
        <v>558</v>
      </c>
      <c r="D68" s="73" t="s">
        <v>0</v>
      </c>
      <c r="E68" s="33" t="s">
        <v>110</v>
      </c>
      <c r="F68" s="33" t="s">
        <v>397</v>
      </c>
      <c r="G68" s="33" t="s">
        <v>379</v>
      </c>
      <c r="H68" s="73" t="s">
        <v>493</v>
      </c>
      <c r="I68" s="35">
        <v>0</v>
      </c>
      <c r="J68" s="34">
        <v>0</v>
      </c>
      <c r="K68" s="35" t="s">
        <v>604</v>
      </c>
      <c r="L68" s="36">
        <v>41206</v>
      </c>
      <c r="M68" s="37">
        <f t="shared" si="4"/>
        <v>2</v>
      </c>
      <c r="N68" s="37">
        <v>379</v>
      </c>
      <c r="O68" s="37" t="s">
        <v>171</v>
      </c>
      <c r="P68" s="34"/>
      <c r="Q68" s="34" t="s">
        <v>198</v>
      </c>
      <c r="R68" s="34"/>
    </row>
    <row r="69" spans="1:19" ht="15" customHeight="1" x14ac:dyDescent="0.25">
      <c r="A69" s="34"/>
      <c r="B69" s="33" t="s">
        <v>530</v>
      </c>
      <c r="C69" s="33" t="s">
        <v>587</v>
      </c>
      <c r="D69" s="73" t="s">
        <v>0</v>
      </c>
      <c r="E69" s="33" t="s">
        <v>160</v>
      </c>
      <c r="F69" s="33" t="s">
        <v>390</v>
      </c>
      <c r="G69" s="33" t="s">
        <v>380</v>
      </c>
      <c r="H69" s="73" t="s">
        <v>216</v>
      </c>
      <c r="I69" s="22">
        <v>300</v>
      </c>
      <c r="J69" s="34">
        <v>0</v>
      </c>
      <c r="K69" s="35"/>
      <c r="L69" s="36">
        <v>39535</v>
      </c>
      <c r="M69" s="37">
        <f t="shared" si="4"/>
        <v>6</v>
      </c>
      <c r="N69" s="37" t="s">
        <v>237</v>
      </c>
      <c r="O69" s="37" t="s">
        <v>171</v>
      </c>
      <c r="P69" s="34">
        <v>736278566</v>
      </c>
      <c r="Q69" s="67" t="s">
        <v>236</v>
      </c>
      <c r="R69" s="34"/>
    </row>
    <row r="70" spans="1:19" ht="15" customHeight="1" x14ac:dyDescent="0.25">
      <c r="A70" s="34"/>
      <c r="B70" s="33" t="s">
        <v>588</v>
      </c>
      <c r="C70" s="33" t="s">
        <v>589</v>
      </c>
      <c r="D70" s="73" t="s">
        <v>210</v>
      </c>
      <c r="E70" s="34" t="s">
        <v>211</v>
      </c>
      <c r="F70" s="33" t="s">
        <v>390</v>
      </c>
      <c r="G70" s="33" t="s">
        <v>379</v>
      </c>
      <c r="H70" s="73" t="s">
        <v>216</v>
      </c>
      <c r="I70" s="22">
        <v>0</v>
      </c>
      <c r="J70" s="34">
        <v>300</v>
      </c>
      <c r="K70" s="35"/>
      <c r="L70" s="36">
        <v>41126</v>
      </c>
      <c r="M70" s="37">
        <f t="shared" si="4"/>
        <v>2</v>
      </c>
      <c r="N70" s="37" t="s">
        <v>239</v>
      </c>
      <c r="O70" s="37" t="s">
        <v>171</v>
      </c>
      <c r="P70" s="34"/>
      <c r="Q70" s="34" t="s">
        <v>223</v>
      </c>
      <c r="R70" s="34"/>
    </row>
    <row r="71" spans="1:19" ht="15" customHeight="1" x14ac:dyDescent="0.25">
      <c r="A71" s="34"/>
      <c r="B71" s="33" t="s">
        <v>588</v>
      </c>
      <c r="C71" s="33" t="s">
        <v>589</v>
      </c>
      <c r="D71" s="73" t="s">
        <v>210</v>
      </c>
      <c r="E71" s="34" t="s">
        <v>212</v>
      </c>
      <c r="F71" s="33" t="s">
        <v>390</v>
      </c>
      <c r="G71" s="33" t="s">
        <v>379</v>
      </c>
      <c r="H71" s="73" t="s">
        <v>216</v>
      </c>
      <c r="I71" s="22">
        <v>0</v>
      </c>
      <c r="J71" s="34">
        <v>250</v>
      </c>
      <c r="K71" s="35"/>
      <c r="L71" s="36">
        <v>40060</v>
      </c>
      <c r="M71" s="37">
        <f t="shared" si="4"/>
        <v>5</v>
      </c>
      <c r="N71" s="37" t="s">
        <v>238</v>
      </c>
      <c r="O71" s="37" t="s">
        <v>171</v>
      </c>
      <c r="P71" s="34"/>
      <c r="Q71" s="67" t="s">
        <v>223</v>
      </c>
      <c r="R71" s="34"/>
    </row>
    <row r="72" spans="1:19" ht="15" customHeight="1" x14ac:dyDescent="0.25">
      <c r="B72" s="1"/>
      <c r="C72" s="1"/>
      <c r="D72" s="2"/>
      <c r="E72" s="1"/>
      <c r="F72" s="1"/>
      <c r="G72" s="1"/>
      <c r="H72" s="2"/>
      <c r="I72" s="5"/>
    </row>
    <row r="73" spans="1:19" ht="15" customHeight="1" x14ac:dyDescent="0.25">
      <c r="A73" s="9" t="s">
        <v>102</v>
      </c>
      <c r="B73" s="11"/>
      <c r="C73" s="11"/>
      <c r="D73" s="12"/>
      <c r="E73" s="11"/>
      <c r="F73" s="11"/>
      <c r="G73" s="11"/>
      <c r="H73" s="12"/>
      <c r="I73" s="11"/>
      <c r="J73" s="11"/>
      <c r="K73" s="10"/>
      <c r="L73" s="13"/>
      <c r="M73" s="14"/>
      <c r="N73" s="14"/>
      <c r="O73" s="14"/>
      <c r="P73" s="13"/>
      <c r="Q73" s="27"/>
      <c r="R73" s="13" t="s">
        <v>601</v>
      </c>
      <c r="S73" s="13" t="s">
        <v>602</v>
      </c>
    </row>
    <row r="74" spans="1:19" ht="15" customHeight="1" x14ac:dyDescent="0.25">
      <c r="B74" s="1" t="s">
        <v>544</v>
      </c>
      <c r="C74" s="1" t="s">
        <v>545</v>
      </c>
      <c r="D74" s="2" t="s">
        <v>2</v>
      </c>
      <c r="E74" s="1" t="s">
        <v>133</v>
      </c>
      <c r="F74" s="1" t="s">
        <v>120</v>
      </c>
      <c r="G74" s="1" t="s">
        <v>380</v>
      </c>
      <c r="H74" s="2" t="s">
        <v>493</v>
      </c>
      <c r="I74" s="5">
        <v>100</v>
      </c>
      <c r="J74">
        <v>0</v>
      </c>
      <c r="L74" s="25">
        <v>41546</v>
      </c>
      <c r="M74" s="3">
        <f t="shared" ref="M74:M81" si="5">DATEDIF(L74,$T$1,"Y")</f>
        <v>1</v>
      </c>
      <c r="N74" s="3" t="s">
        <v>186</v>
      </c>
      <c r="O74" s="3" t="s">
        <v>171</v>
      </c>
      <c r="P74">
        <v>603142423</v>
      </c>
      <c r="Q74" t="s">
        <v>197</v>
      </c>
      <c r="R74" t="s">
        <v>240</v>
      </c>
    </row>
    <row r="75" spans="1:19" ht="15" customHeight="1" x14ac:dyDescent="0.25">
      <c r="B75" s="1" t="s">
        <v>590</v>
      </c>
      <c r="C75" s="1" t="s">
        <v>591</v>
      </c>
      <c r="D75" s="2" t="s">
        <v>2</v>
      </c>
      <c r="E75" s="1" t="s">
        <v>134</v>
      </c>
      <c r="F75" s="1" t="s">
        <v>120</v>
      </c>
      <c r="G75" s="1" t="s">
        <v>379</v>
      </c>
      <c r="H75" s="2" t="s">
        <v>493</v>
      </c>
      <c r="I75" s="5">
        <v>0</v>
      </c>
      <c r="J75">
        <v>300</v>
      </c>
      <c r="L75" s="25">
        <v>41546</v>
      </c>
      <c r="M75" s="3">
        <f t="shared" si="5"/>
        <v>1</v>
      </c>
      <c r="N75" s="3" t="s">
        <v>186</v>
      </c>
      <c r="Q75" t="s">
        <v>222</v>
      </c>
      <c r="R75" t="s">
        <v>240</v>
      </c>
      <c r="S75" t="s">
        <v>603</v>
      </c>
    </row>
    <row r="76" spans="1:19" ht="15" customHeight="1" x14ac:dyDescent="0.25">
      <c r="B76" s="1" t="s">
        <v>532</v>
      </c>
      <c r="C76" s="1" t="s">
        <v>533</v>
      </c>
      <c r="D76" s="2" t="s">
        <v>2</v>
      </c>
      <c r="E76" s="1" t="s">
        <v>129</v>
      </c>
      <c r="F76" s="1" t="s">
        <v>130</v>
      </c>
      <c r="G76" s="1" t="s">
        <v>380</v>
      </c>
      <c r="H76" s="2" t="s">
        <v>493</v>
      </c>
      <c r="I76" s="5">
        <v>0</v>
      </c>
      <c r="J76">
        <v>0</v>
      </c>
      <c r="L76" s="25">
        <v>41472</v>
      </c>
      <c r="M76" s="3">
        <f t="shared" si="5"/>
        <v>1</v>
      </c>
      <c r="N76" s="3" t="s">
        <v>186</v>
      </c>
      <c r="O76" s="3" t="s">
        <v>171</v>
      </c>
      <c r="P76">
        <v>731511687</v>
      </c>
      <c r="Q76" s="28" t="s">
        <v>185</v>
      </c>
      <c r="R76" t="s">
        <v>240</v>
      </c>
      <c r="S76" t="s">
        <v>603</v>
      </c>
    </row>
    <row r="77" spans="1:19" ht="15" customHeight="1" x14ac:dyDescent="0.25">
      <c r="B77" s="1" t="s">
        <v>593</v>
      </c>
      <c r="C77" s="1" t="s">
        <v>592</v>
      </c>
      <c r="D77" s="2" t="s">
        <v>2</v>
      </c>
      <c r="E77" s="1" t="s">
        <v>117</v>
      </c>
      <c r="F77" s="1" t="s">
        <v>111</v>
      </c>
      <c r="G77" s="1" t="s">
        <v>380</v>
      </c>
      <c r="H77" s="2" t="s">
        <v>493</v>
      </c>
      <c r="I77" s="5">
        <v>300</v>
      </c>
      <c r="J77">
        <v>0</v>
      </c>
      <c r="L77" s="25">
        <v>41253</v>
      </c>
      <c r="M77" s="3">
        <f t="shared" si="5"/>
        <v>2</v>
      </c>
      <c r="N77" s="3" t="s">
        <v>186</v>
      </c>
      <c r="O77" s="3" t="s">
        <v>171</v>
      </c>
      <c r="Q77" t="s">
        <v>221</v>
      </c>
      <c r="R77" t="s">
        <v>240</v>
      </c>
      <c r="S77" t="s">
        <v>603</v>
      </c>
    </row>
    <row r="78" spans="1:19" ht="15" customHeight="1" x14ac:dyDescent="0.25">
      <c r="A78" s="34"/>
      <c r="B78" s="33" t="s">
        <v>594</v>
      </c>
      <c r="C78" s="33" t="s">
        <v>595</v>
      </c>
      <c r="D78" s="73" t="s">
        <v>2</v>
      </c>
      <c r="E78" s="33" t="s">
        <v>107</v>
      </c>
      <c r="F78" s="33" t="s">
        <v>111</v>
      </c>
      <c r="G78" s="33" t="s">
        <v>380</v>
      </c>
      <c r="H78" s="73" t="s">
        <v>493</v>
      </c>
      <c r="I78" s="22">
        <v>100</v>
      </c>
      <c r="J78" s="34">
        <v>0</v>
      </c>
      <c r="K78" s="35"/>
      <c r="L78" s="36">
        <v>41317</v>
      </c>
      <c r="M78" s="3">
        <f t="shared" si="5"/>
        <v>1</v>
      </c>
      <c r="N78" s="3" t="s">
        <v>186</v>
      </c>
      <c r="O78" s="3" t="s">
        <v>171</v>
      </c>
      <c r="P78">
        <v>725312969</v>
      </c>
      <c r="Q78" t="s">
        <v>220</v>
      </c>
      <c r="R78" t="s">
        <v>603</v>
      </c>
      <c r="S78" t="s">
        <v>603</v>
      </c>
    </row>
    <row r="79" spans="1:19" ht="15" customHeight="1" x14ac:dyDescent="0.25">
      <c r="B79" s="1" t="s">
        <v>596</v>
      </c>
      <c r="C79" s="1" t="s">
        <v>597</v>
      </c>
      <c r="D79" s="2" t="s">
        <v>2</v>
      </c>
      <c r="E79" t="s">
        <v>207</v>
      </c>
      <c r="F79" s="33" t="s">
        <v>111</v>
      </c>
      <c r="G79" s="1" t="s">
        <v>379</v>
      </c>
      <c r="H79" s="2" t="s">
        <v>493</v>
      </c>
      <c r="I79" s="5">
        <v>200</v>
      </c>
      <c r="J79">
        <v>0</v>
      </c>
      <c r="L79" s="25">
        <v>41253</v>
      </c>
      <c r="M79" s="3">
        <f t="shared" si="5"/>
        <v>2</v>
      </c>
      <c r="N79" s="3" t="s">
        <v>186</v>
      </c>
      <c r="O79" s="3" t="s">
        <v>171</v>
      </c>
      <c r="P79">
        <v>604174162</v>
      </c>
      <c r="Q79" s="28" t="s">
        <v>219</v>
      </c>
      <c r="R79" t="s">
        <v>603</v>
      </c>
      <c r="S79" t="s">
        <v>603</v>
      </c>
    </row>
    <row r="80" spans="1:19" ht="15" customHeight="1" x14ac:dyDescent="0.25">
      <c r="B80" s="5" t="s">
        <v>282</v>
      </c>
      <c r="C80" s="5" t="s">
        <v>598</v>
      </c>
      <c r="D80" s="6" t="s">
        <v>2</v>
      </c>
      <c r="E80" s="22" t="s">
        <v>15</v>
      </c>
      <c r="F80" s="5" t="s">
        <v>14</v>
      </c>
      <c r="G80" s="5" t="s">
        <v>380</v>
      </c>
      <c r="H80" s="6" t="s">
        <v>89</v>
      </c>
      <c r="I80" s="59">
        <v>0</v>
      </c>
      <c r="J80" s="75">
        <v>300</v>
      </c>
      <c r="K80" s="60" t="s">
        <v>606</v>
      </c>
      <c r="L80" s="36">
        <v>41259</v>
      </c>
      <c r="M80" s="3">
        <f t="shared" si="5"/>
        <v>2</v>
      </c>
      <c r="N80" s="3" t="s">
        <v>186</v>
      </c>
      <c r="O80" s="37" t="s">
        <v>171</v>
      </c>
      <c r="P80">
        <v>608866564</v>
      </c>
      <c r="Q80" t="s">
        <v>344</v>
      </c>
      <c r="R80" t="s">
        <v>240</v>
      </c>
      <c r="S80" t="s">
        <v>240</v>
      </c>
    </row>
    <row r="81" spans="1:19" ht="15" customHeight="1" x14ac:dyDescent="0.25">
      <c r="A81" s="7"/>
      <c r="B81" s="5" t="s">
        <v>676</v>
      </c>
      <c r="C81" s="5" t="s">
        <v>675</v>
      </c>
      <c r="D81" s="6" t="s">
        <v>2</v>
      </c>
      <c r="E81" s="22" t="s">
        <v>47</v>
      </c>
      <c r="F81" s="5" t="s">
        <v>14</v>
      </c>
      <c r="G81" s="5" t="s">
        <v>379</v>
      </c>
      <c r="H81" s="6" t="s">
        <v>89</v>
      </c>
      <c r="I81" s="22">
        <v>0</v>
      </c>
      <c r="J81" s="5">
        <v>100</v>
      </c>
      <c r="K81" s="35"/>
      <c r="L81" s="36">
        <v>41278</v>
      </c>
      <c r="M81" s="3">
        <f t="shared" si="5"/>
        <v>1</v>
      </c>
      <c r="N81" s="3" t="s">
        <v>186</v>
      </c>
      <c r="O81" s="37" t="s">
        <v>171</v>
      </c>
      <c r="Q81" t="s">
        <v>345</v>
      </c>
      <c r="R81" t="s">
        <v>240</v>
      </c>
      <c r="S81" t="s">
        <v>240</v>
      </c>
    </row>
    <row r="82" spans="1:19" ht="15" customHeight="1" x14ac:dyDescent="0.25">
      <c r="A82" s="68" t="s">
        <v>491</v>
      </c>
      <c r="B82" s="68"/>
      <c r="C82" s="68"/>
      <c r="D82" s="72"/>
      <c r="E82" s="68"/>
      <c r="F82" s="68"/>
      <c r="G82" s="68"/>
      <c r="H82" s="72"/>
      <c r="I82" s="69"/>
      <c r="J82" s="68"/>
      <c r="K82" s="71"/>
      <c r="L82" s="68"/>
      <c r="M82" s="72"/>
      <c r="N82" s="72"/>
      <c r="O82" s="72"/>
      <c r="P82" s="68"/>
      <c r="Q82" s="68"/>
      <c r="R82" s="68"/>
      <c r="S82" s="68"/>
    </row>
    <row r="83" spans="1:19" ht="15" customHeight="1" x14ac:dyDescent="0.25">
      <c r="B83" s="1" t="s">
        <v>517</v>
      </c>
      <c r="C83" s="1" t="s">
        <v>518</v>
      </c>
      <c r="D83" s="2" t="s">
        <v>108</v>
      </c>
      <c r="E83" s="1" t="s">
        <v>137</v>
      </c>
      <c r="F83" s="1" t="s">
        <v>118</v>
      </c>
      <c r="G83" s="1" t="s">
        <v>5</v>
      </c>
      <c r="H83" s="2" t="s">
        <v>90</v>
      </c>
      <c r="I83" s="5"/>
      <c r="N83" s="3" t="s">
        <v>680</v>
      </c>
      <c r="O83" s="3" t="s">
        <v>171</v>
      </c>
      <c r="Q83" s="34" t="s">
        <v>418</v>
      </c>
    </row>
    <row r="84" spans="1:19" ht="15" customHeight="1" x14ac:dyDescent="0.25">
      <c r="B84" s="1" t="s">
        <v>530</v>
      </c>
      <c r="C84" s="1" t="s">
        <v>591</v>
      </c>
      <c r="D84" s="2" t="s">
        <v>108</v>
      </c>
      <c r="E84" s="1" t="s">
        <v>125</v>
      </c>
      <c r="F84" s="1" t="s">
        <v>120</v>
      </c>
      <c r="G84" s="1" t="s">
        <v>5</v>
      </c>
      <c r="H84" s="2" t="s">
        <v>493</v>
      </c>
      <c r="I84" s="5"/>
      <c r="L84" s="19" t="s">
        <v>190</v>
      </c>
      <c r="M84" s="3">
        <v>1</v>
      </c>
      <c r="N84" s="3" t="s">
        <v>680</v>
      </c>
      <c r="O84" s="3" t="s">
        <v>171</v>
      </c>
      <c r="P84">
        <v>777290565</v>
      </c>
      <c r="Q84" t="s">
        <v>188</v>
      </c>
      <c r="R84" t="s">
        <v>156</v>
      </c>
    </row>
    <row r="85" spans="1:19" ht="15" customHeight="1" x14ac:dyDescent="0.25">
      <c r="I85" s="5"/>
    </row>
    <row r="86" spans="1:19" ht="15" customHeight="1" x14ac:dyDescent="0.25">
      <c r="I86" s="5"/>
    </row>
    <row r="87" spans="1:19" ht="15" customHeight="1" x14ac:dyDescent="0.25">
      <c r="I87" s="5"/>
    </row>
    <row r="91" spans="1:19" ht="15" customHeight="1" x14ac:dyDescent="0.25">
      <c r="I91" s="20" t="s">
        <v>106</v>
      </c>
      <c r="J91" s="16" t="s">
        <v>105</v>
      </c>
    </row>
    <row r="92" spans="1:19" ht="15" customHeight="1" x14ac:dyDescent="0.25">
      <c r="I92" s="21">
        <f>SUM(I1:I91)</f>
        <v>11800</v>
      </c>
      <c r="J92" s="18">
        <f>SUM(J1:J91)</f>
        <v>15450</v>
      </c>
    </row>
    <row r="94" spans="1:19" ht="15" customHeight="1" x14ac:dyDescent="0.3">
      <c r="I94" s="24">
        <f>I92+J92</f>
        <v>27250</v>
      </c>
    </row>
  </sheetData>
  <sortState ref="A2:Q4">
    <sortCondition ref="G2:G4"/>
    <sortCondition ref="E2:E4"/>
  </sortState>
  <conditionalFormatting sqref="N4:N5 M2:M85">
    <cfRule type="cellIs" dxfId="0" priority="11" operator="equal">
      <formula>8</formula>
    </cfRule>
  </conditionalFormatting>
  <conditionalFormatting sqref="I70">
    <cfRule type="iconSet" priority="10">
      <iconSet>
        <cfvo type="percent" val="0"/>
        <cfvo type="num" val="99"/>
        <cfvo type="num" val="300"/>
      </iconSet>
    </cfRule>
  </conditionalFormatting>
  <conditionalFormatting sqref="J73">
    <cfRule type="iconSet" priority="8">
      <iconSet>
        <cfvo type="percent" val="0"/>
        <cfvo type="percent" val="33"/>
        <cfvo type="percent" val="67"/>
      </iconSet>
    </cfRule>
  </conditionalFormatting>
  <conditionalFormatting sqref="I25">
    <cfRule type="iconSet" priority="6">
      <iconSet>
        <cfvo type="percent" val="0"/>
        <cfvo type="num" val="99"/>
        <cfvo type="num" val="300"/>
      </iconSet>
    </cfRule>
  </conditionalFormatting>
  <conditionalFormatting sqref="I53">
    <cfRule type="iconSet" priority="5">
      <iconSet>
        <cfvo type="percent" val="0"/>
        <cfvo type="num" val="99"/>
        <cfvo type="num" val="300"/>
      </iconSet>
    </cfRule>
  </conditionalFormatting>
  <conditionalFormatting sqref="I82:I87 I2:I9 I11:I24 I43:I50 I54:I62 I64:I67 I69 I71:I79 I26 I28:I41">
    <cfRule type="iconSet" priority="13">
      <iconSet>
        <cfvo type="percent" val="0"/>
        <cfvo type="num" val="99"/>
        <cfvo type="num" val="300"/>
      </iconSet>
    </cfRule>
  </conditionalFormatting>
  <conditionalFormatting sqref="I80">
    <cfRule type="iconSet" priority="2">
      <iconSet>
        <cfvo type="percent" val="0"/>
        <cfvo type="num" val="99"/>
        <cfvo type="num" val="300"/>
      </iconSet>
    </cfRule>
  </conditionalFormatting>
  <conditionalFormatting sqref="I81">
    <cfRule type="iconSet" priority="1">
      <iconSet>
        <cfvo type="percent" val="0"/>
        <cfvo type="num" val="99"/>
        <cfvo type="num" val="300"/>
      </iconSet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K8" sqref="K8"/>
    </sheetView>
  </sheetViews>
  <sheetFormatPr defaultRowHeight="15" x14ac:dyDescent="0.25"/>
  <cols>
    <col min="1" max="1" width="15.5703125" customWidth="1"/>
  </cols>
  <sheetData>
    <row r="1" spans="1:13" ht="15.75" thickBot="1" x14ac:dyDescent="0.3">
      <c r="A1" s="39"/>
      <c r="B1" s="39" t="s">
        <v>256</v>
      </c>
      <c r="C1" s="39" t="s">
        <v>257</v>
      </c>
      <c r="D1" s="39" t="s">
        <v>258</v>
      </c>
      <c r="L1" s="46" t="s">
        <v>296</v>
      </c>
      <c r="M1" s="46"/>
    </row>
    <row r="2" spans="1:13" ht="15.75" thickBot="1" x14ac:dyDescent="0.3">
      <c r="A2" s="43" t="s">
        <v>253</v>
      </c>
      <c r="B2" s="43"/>
      <c r="C2" s="43"/>
      <c r="D2" s="43"/>
      <c r="L2" s="30" t="s">
        <v>297</v>
      </c>
      <c r="M2" s="30">
        <f>D5</f>
        <v>51250</v>
      </c>
    </row>
    <row r="3" spans="1:13" x14ac:dyDescent="0.25">
      <c r="A3" s="29" t="s">
        <v>254</v>
      </c>
      <c r="B3" s="29">
        <f>'nechrti seznam'!I68</f>
        <v>13350</v>
      </c>
      <c r="C3" s="29">
        <f>'nechrti seznam'!J68</f>
        <v>10650</v>
      </c>
      <c r="D3" s="29">
        <f>B3+C3</f>
        <v>24000</v>
      </c>
      <c r="L3" s="40" t="s">
        <v>298</v>
      </c>
      <c r="M3" s="40">
        <f>D47</f>
        <v>43900</v>
      </c>
    </row>
    <row r="4" spans="1:13" ht="15.75" thickBot="1" x14ac:dyDescent="0.3">
      <c r="A4" s="42" t="s">
        <v>255</v>
      </c>
      <c r="B4" s="42">
        <f>'chrti seznam'!I92</f>
        <v>11800</v>
      </c>
      <c r="C4" s="42">
        <f>'chrti seznam'!J92</f>
        <v>15450</v>
      </c>
      <c r="D4" s="42">
        <f>B4+C4</f>
        <v>27250</v>
      </c>
    </row>
    <row r="5" spans="1:13" ht="19.5" thickBot="1" x14ac:dyDescent="0.35">
      <c r="B5">
        <f>B3+B4</f>
        <v>25150</v>
      </c>
      <c r="C5">
        <f>C3+C4</f>
        <v>26100</v>
      </c>
      <c r="D5" s="30">
        <f>D3+D4</f>
        <v>51250</v>
      </c>
      <c r="L5" s="38" t="s">
        <v>300</v>
      </c>
      <c r="M5" s="47">
        <f>M2-M3</f>
        <v>7350</v>
      </c>
    </row>
    <row r="8" spans="1:13" x14ac:dyDescent="0.25">
      <c r="A8" s="40"/>
      <c r="B8" s="40" t="s">
        <v>256</v>
      </c>
      <c r="C8" s="40" t="s">
        <v>257</v>
      </c>
      <c r="D8" s="40" t="s">
        <v>258</v>
      </c>
      <c r="F8" t="s">
        <v>267</v>
      </c>
    </row>
    <row r="9" spans="1:13" ht="15.75" thickBot="1" x14ac:dyDescent="0.3">
      <c r="A9" s="44" t="s">
        <v>259</v>
      </c>
      <c r="B9" s="44"/>
      <c r="C9" s="44"/>
      <c r="D9" s="44"/>
    </row>
    <row r="10" spans="1:13" x14ac:dyDescent="0.25">
      <c r="A10" s="29" t="s">
        <v>260</v>
      </c>
      <c r="B10" s="29"/>
      <c r="C10" s="29"/>
      <c r="D10" s="29"/>
    </row>
    <row r="11" spans="1:13" x14ac:dyDescent="0.25">
      <c r="A11" t="s">
        <v>261</v>
      </c>
      <c r="C11">
        <v>1500</v>
      </c>
    </row>
    <row r="12" spans="1:13" x14ac:dyDescent="0.25">
      <c r="A12" t="s">
        <v>262</v>
      </c>
      <c r="C12">
        <v>12000</v>
      </c>
      <c r="F12" t="s">
        <v>280</v>
      </c>
    </row>
    <row r="13" spans="1:13" x14ac:dyDescent="0.25">
      <c r="D13" s="41">
        <f>C11+C12</f>
        <v>13500</v>
      </c>
    </row>
    <row r="14" spans="1:13" x14ac:dyDescent="0.25">
      <c r="A14" s="29" t="s">
        <v>263</v>
      </c>
      <c r="B14" s="29"/>
      <c r="C14" s="29"/>
      <c r="D14" s="29"/>
      <c r="F14" t="s">
        <v>268</v>
      </c>
    </row>
    <row r="15" spans="1:13" x14ac:dyDescent="0.25">
      <c r="D15" s="41">
        <v>6000</v>
      </c>
      <c r="F15" t="s">
        <v>301</v>
      </c>
    </row>
    <row r="16" spans="1:13" x14ac:dyDescent="0.25">
      <c r="A16" s="29" t="s">
        <v>264</v>
      </c>
      <c r="B16" s="29"/>
      <c r="C16" s="29"/>
      <c r="D16" s="29"/>
    </row>
    <row r="17" spans="1:6" x14ac:dyDescent="0.25">
      <c r="A17" t="s">
        <v>265</v>
      </c>
      <c r="C17">
        <v>300</v>
      </c>
      <c r="F17" t="s">
        <v>269</v>
      </c>
    </row>
    <row r="18" spans="1:6" x14ac:dyDescent="0.25">
      <c r="A18" t="s">
        <v>266</v>
      </c>
      <c r="C18">
        <v>300</v>
      </c>
      <c r="F18" t="s">
        <v>271</v>
      </c>
    </row>
    <row r="19" spans="1:6" x14ac:dyDescent="0.25">
      <c r="A19" t="s">
        <v>270</v>
      </c>
      <c r="C19">
        <v>300</v>
      </c>
      <c r="F19" t="s">
        <v>271</v>
      </c>
    </row>
    <row r="20" spans="1:6" x14ac:dyDescent="0.25">
      <c r="C20">
        <v>1200</v>
      </c>
      <c r="F20" t="s">
        <v>272</v>
      </c>
    </row>
    <row r="21" spans="1:6" x14ac:dyDescent="0.25">
      <c r="A21" t="s">
        <v>274</v>
      </c>
      <c r="C21">
        <v>3000</v>
      </c>
      <c r="F21" t="s">
        <v>273</v>
      </c>
    </row>
    <row r="22" spans="1:6" x14ac:dyDescent="0.25">
      <c r="D22" s="41">
        <f>C17+C18+C19+C20+C21</f>
        <v>5100</v>
      </c>
    </row>
    <row r="23" spans="1:6" x14ac:dyDescent="0.25">
      <c r="A23" s="29" t="s">
        <v>275</v>
      </c>
      <c r="B23" s="29"/>
      <c r="C23" s="29"/>
      <c r="D23" s="29"/>
      <c r="F23" t="s">
        <v>279</v>
      </c>
    </row>
    <row r="24" spans="1:6" x14ac:dyDescent="0.25">
      <c r="A24" t="s">
        <v>276</v>
      </c>
    </row>
    <row r="25" spans="1:6" x14ac:dyDescent="0.25">
      <c r="A25" t="s">
        <v>277</v>
      </c>
    </row>
    <row r="26" spans="1:6" x14ac:dyDescent="0.25">
      <c r="A26" t="s">
        <v>278</v>
      </c>
      <c r="C26">
        <v>2000</v>
      </c>
      <c r="D26" t="s">
        <v>299</v>
      </c>
    </row>
    <row r="27" spans="1:6" x14ac:dyDescent="0.25">
      <c r="D27" s="41">
        <f>SUM(C24+C25+C26)</f>
        <v>2000</v>
      </c>
      <c r="F27" t="s">
        <v>301</v>
      </c>
    </row>
    <row r="28" spans="1:6" x14ac:dyDescent="0.25">
      <c r="A28" s="29" t="s">
        <v>281</v>
      </c>
      <c r="B28" s="29"/>
      <c r="C28" s="29"/>
      <c r="D28" s="29"/>
    </row>
    <row r="29" spans="1:6" x14ac:dyDescent="0.25">
      <c r="A29" t="s">
        <v>282</v>
      </c>
      <c r="C29">
        <v>300</v>
      </c>
      <c r="F29" t="s">
        <v>271</v>
      </c>
    </row>
    <row r="30" spans="1:6" x14ac:dyDescent="0.25">
      <c r="C30">
        <v>2000</v>
      </c>
      <c r="F30" t="s">
        <v>283</v>
      </c>
    </row>
    <row r="31" spans="1:6" x14ac:dyDescent="0.25">
      <c r="D31" s="41">
        <f>C29+C30</f>
        <v>2300</v>
      </c>
    </row>
    <row r="33" spans="1:6" x14ac:dyDescent="0.25">
      <c r="A33" s="29" t="s">
        <v>284</v>
      </c>
      <c r="B33" s="29"/>
      <c r="C33" s="29"/>
      <c r="D33" s="29"/>
    </row>
    <row r="34" spans="1:6" x14ac:dyDescent="0.25">
      <c r="A34" t="s">
        <v>285</v>
      </c>
    </row>
    <row r="35" spans="1:6" x14ac:dyDescent="0.25">
      <c r="A35" t="s">
        <v>286</v>
      </c>
      <c r="C35">
        <v>0</v>
      </c>
    </row>
    <row r="36" spans="1:6" x14ac:dyDescent="0.25">
      <c r="A36" t="s">
        <v>287</v>
      </c>
      <c r="F36" t="s">
        <v>294</v>
      </c>
    </row>
    <row r="37" spans="1:6" x14ac:dyDescent="0.25">
      <c r="A37" t="s">
        <v>288</v>
      </c>
    </row>
    <row r="38" spans="1:6" x14ac:dyDescent="0.25">
      <c r="A38" t="s">
        <v>289</v>
      </c>
    </row>
    <row r="39" spans="1:6" x14ac:dyDescent="0.25">
      <c r="A39" t="s">
        <v>290</v>
      </c>
    </row>
    <row r="40" spans="1:6" x14ac:dyDescent="0.25">
      <c r="A40" t="s">
        <v>291</v>
      </c>
    </row>
    <row r="41" spans="1:6" x14ac:dyDescent="0.25">
      <c r="A41" t="s">
        <v>292</v>
      </c>
    </row>
    <row r="42" spans="1:6" x14ac:dyDescent="0.25">
      <c r="A42" t="s">
        <v>293</v>
      </c>
      <c r="C42">
        <v>15000</v>
      </c>
      <c r="D42" t="s">
        <v>299</v>
      </c>
    </row>
    <row r="43" spans="1:6" x14ac:dyDescent="0.25">
      <c r="D43" s="41">
        <f>C35+C36+C37+C38+C39+C40+C41+C42</f>
        <v>15000</v>
      </c>
      <c r="F43" t="s">
        <v>301</v>
      </c>
    </row>
    <row r="45" spans="1:6" ht="15.75" thickBot="1" x14ac:dyDescent="0.3">
      <c r="A45" s="38"/>
      <c r="B45" s="38"/>
      <c r="C45" s="38"/>
      <c r="D45" s="38"/>
    </row>
    <row r="46" spans="1:6" ht="5.25" customHeight="1" x14ac:dyDescent="0.25"/>
    <row r="47" spans="1:6" x14ac:dyDescent="0.25">
      <c r="A47" s="45" t="s">
        <v>295</v>
      </c>
      <c r="B47" s="40"/>
      <c r="C47" s="40"/>
      <c r="D47" s="45">
        <f>D13+D15+D22+D27+D31+D43</f>
        <v>43900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H34" sqref="H34"/>
    </sheetView>
  </sheetViews>
  <sheetFormatPr defaultRowHeight="15" x14ac:dyDescent="0.25"/>
  <cols>
    <col min="1" max="1" width="20.5703125" customWidth="1"/>
    <col min="2" max="2" width="7.140625" style="3" customWidth="1"/>
    <col min="3" max="3" width="8.7109375" customWidth="1"/>
    <col min="4" max="4" width="8.28515625" customWidth="1"/>
    <col min="5" max="5" width="13.42578125" style="3" customWidth="1"/>
    <col min="7" max="7" width="13.85546875" customWidth="1"/>
    <col min="8" max="8" width="12.5703125" customWidth="1"/>
    <col min="9" max="9" width="11.28515625" customWidth="1"/>
    <col min="10" max="10" width="13.28515625" customWidth="1"/>
    <col min="11" max="11" width="11.85546875" customWidth="1"/>
  </cols>
  <sheetData>
    <row r="1" spans="1:11" x14ac:dyDescent="0.25">
      <c r="A1" s="52">
        <v>41951</v>
      </c>
      <c r="B1" s="49"/>
      <c r="C1" s="30" t="s">
        <v>254</v>
      </c>
      <c r="D1" s="30"/>
      <c r="E1" s="32"/>
      <c r="F1" s="30"/>
    </row>
    <row r="2" spans="1:11" ht="15.75" thickBot="1" x14ac:dyDescent="0.3">
      <c r="A2" s="50"/>
      <c r="B2" s="51" t="s">
        <v>378</v>
      </c>
      <c r="C2" s="51" t="s">
        <v>376</v>
      </c>
      <c r="D2" s="51" t="s">
        <v>377</v>
      </c>
      <c r="E2" s="51" t="s">
        <v>417</v>
      </c>
      <c r="F2" s="53">
        <f>SUM(E3:E16)</f>
        <v>18</v>
      </c>
    </row>
    <row r="3" spans="1:11" x14ac:dyDescent="0.25">
      <c r="A3" s="30" t="s">
        <v>366</v>
      </c>
      <c r="B3" s="3">
        <f>COUNTIF('nechrti seznam'!$H$2:$H$58,"I")</f>
        <v>7</v>
      </c>
      <c r="C3" s="3">
        <f>COUNTIFS('nechrti seznam'!$H$2:$H$58,"I",'nechrti seznam'!$G$2:$G$58,"Pes")</f>
        <v>3</v>
      </c>
      <c r="D3" s="3">
        <f>COUNTIFS('nechrti seznam'!$H$2:$H$58,"I",'nechrti seznam'!$G$2:$G$58,"Fena")</f>
        <v>4</v>
      </c>
      <c r="E3" s="3">
        <f>COUNTA(G3:Q3)</f>
        <v>2</v>
      </c>
      <c r="G3" s="61" t="s">
        <v>401</v>
      </c>
      <c r="H3" s="61" t="s">
        <v>400</v>
      </c>
      <c r="I3" s="61"/>
      <c r="J3" s="61"/>
      <c r="K3" s="61"/>
    </row>
    <row r="4" spans="1:11" x14ac:dyDescent="0.25">
      <c r="A4" s="30" t="s">
        <v>367</v>
      </c>
      <c r="B4" s="3">
        <f>COUNTIF('nechrti seznam'!$H$2:$H$58,"II")</f>
        <v>3</v>
      </c>
      <c r="C4" s="3">
        <f>COUNTIFS('nechrti seznam'!$H$2:$H$58,"II",'nechrti seznam'!$G$2:$G$58,"Pes")</f>
        <v>2</v>
      </c>
      <c r="D4" s="3">
        <f>COUNTIFS('nechrti seznam'!$H$2:$H$58,"II",'nechrti seznam'!$G$2:$G$58,"Fena")</f>
        <v>1</v>
      </c>
      <c r="E4" s="3">
        <f t="shared" ref="E4:E14" si="0">COUNTA(G4:Q4)</f>
        <v>1</v>
      </c>
      <c r="G4" s="61" t="s">
        <v>403</v>
      </c>
      <c r="H4" s="61"/>
      <c r="I4" s="61"/>
      <c r="J4" s="61"/>
      <c r="K4" s="61"/>
    </row>
    <row r="5" spans="1:11" x14ac:dyDescent="0.25">
      <c r="A5" s="30" t="s">
        <v>368</v>
      </c>
      <c r="B5" s="3">
        <f>COUNTIF('nechrti seznam'!$H$2:$H$58,"III")</f>
        <v>16</v>
      </c>
      <c r="C5" s="3">
        <f>COUNTIFS('nechrti seznam'!$H$2:$H$58,"III",'nechrti seznam'!$G$2:$G$58,"Pes")</f>
        <v>7</v>
      </c>
      <c r="D5" s="3">
        <f>COUNTIFS('nechrti seznam'!$H$2:$H$58,"III",'nechrti seznam'!$G$2:$G$58,"Fena")</f>
        <v>9</v>
      </c>
      <c r="E5" s="3">
        <f t="shared" si="0"/>
        <v>5</v>
      </c>
      <c r="G5" s="61" t="s">
        <v>404</v>
      </c>
      <c r="H5" s="61" t="s">
        <v>402</v>
      </c>
      <c r="I5" s="61" t="s">
        <v>468</v>
      </c>
      <c r="J5" s="61" t="s">
        <v>405</v>
      </c>
      <c r="K5" s="61" t="s">
        <v>469</v>
      </c>
    </row>
    <row r="6" spans="1:11" x14ac:dyDescent="0.25">
      <c r="A6" s="30" t="s">
        <v>369</v>
      </c>
      <c r="B6" s="3">
        <f>COUNTIF('nechrti seznam'!$H$2:$H$58,"IV")</f>
        <v>0</v>
      </c>
      <c r="C6" s="3">
        <f>COUNTIFS('nechrti seznam'!$H$2:$H$58,"IV",'nechrti seznam'!$G$2:$G$58,"Pes")</f>
        <v>0</v>
      </c>
      <c r="D6" s="3">
        <f>COUNTIFS('nechrti seznam'!$H$2:$H$58,"IV",'nechrti seznam'!$G$2:$G$58,"Fena")</f>
        <v>0</v>
      </c>
      <c r="E6" s="3">
        <f t="shared" si="0"/>
        <v>0</v>
      </c>
      <c r="G6" s="61"/>
      <c r="H6" s="61"/>
      <c r="I6" s="61"/>
      <c r="J6" s="61"/>
      <c r="K6" s="61"/>
    </row>
    <row r="7" spans="1:11" x14ac:dyDescent="0.25">
      <c r="A7" s="30" t="s">
        <v>370</v>
      </c>
      <c r="B7" s="3">
        <f>COUNTIF('nechrti seznam'!$H$2:$H$58,"V")</f>
        <v>3</v>
      </c>
      <c r="C7" s="3">
        <f>COUNTIFS('nechrti seznam'!$H$2:$H$58,"V",'nechrti seznam'!$G$2:$G$58,"Pes")</f>
        <v>3</v>
      </c>
      <c r="D7" s="3">
        <f>COUNTIFS('nechrti seznam'!$H$2:$H$58,"V",'nechrti seznam'!$G$2:$G$58,"Fena")</f>
        <v>0</v>
      </c>
      <c r="E7" s="3">
        <f t="shared" si="0"/>
        <v>1</v>
      </c>
      <c r="G7" s="61" t="s">
        <v>406</v>
      </c>
      <c r="H7" s="61"/>
      <c r="I7" s="61"/>
      <c r="J7" s="61"/>
      <c r="K7" s="61"/>
    </row>
    <row r="8" spans="1:11" x14ac:dyDescent="0.25">
      <c r="A8" s="30" t="s">
        <v>371</v>
      </c>
      <c r="B8" s="3">
        <f>COUNTIF('nechrti seznam'!$H$2:$H$58,"VI")</f>
        <v>6</v>
      </c>
      <c r="C8" s="3">
        <f>COUNTIFS('nechrti seznam'!$H$2:$H$58,"VI",'nechrti seznam'!$G$2:$G$58,"Pes")</f>
        <v>1</v>
      </c>
      <c r="D8" s="3">
        <f>COUNTIFS('nechrti seznam'!$H$2:$H$58,"VI",'nechrti seznam'!$G$2:$G$58,"Fena")</f>
        <v>5</v>
      </c>
      <c r="E8" s="3">
        <f t="shared" si="0"/>
        <v>2</v>
      </c>
      <c r="G8" s="61" t="s">
        <v>408</v>
      </c>
      <c r="H8" s="61" t="s">
        <v>407</v>
      </c>
      <c r="I8" s="61"/>
      <c r="J8" s="61"/>
      <c r="K8" s="61"/>
    </row>
    <row r="9" spans="1:11" x14ac:dyDescent="0.25">
      <c r="A9" s="30" t="s">
        <v>372</v>
      </c>
      <c r="B9" s="3">
        <f>COUNTIF('nechrti seznam'!$H$2:$H$58,"VII")</f>
        <v>1</v>
      </c>
      <c r="C9" s="3">
        <f>COUNTIFS('nechrti seznam'!$H$2:$H$58,"VII",'nechrti seznam'!$G$2:$G$58,"Pes")</f>
        <v>0</v>
      </c>
      <c r="D9" s="3">
        <f>COUNTIFS('nechrti seznam'!$H$2:$H$58,"VII",'nechrti seznam'!$G$2:$G$58,"Fena")</f>
        <v>1</v>
      </c>
      <c r="E9" s="3">
        <f t="shared" si="0"/>
        <v>1</v>
      </c>
      <c r="G9" s="61" t="s">
        <v>409</v>
      </c>
      <c r="H9" s="61"/>
      <c r="I9" s="61"/>
      <c r="J9" s="61"/>
      <c r="K9" s="61"/>
    </row>
    <row r="10" spans="1:11" x14ac:dyDescent="0.25">
      <c r="A10" s="30" t="s">
        <v>373</v>
      </c>
      <c r="B10" s="3">
        <f>COUNTIF('nechrti seznam'!$H$2:$H$58,"VIII")</f>
        <v>0</v>
      </c>
      <c r="C10" s="3">
        <f>COUNTIFS('nechrti seznam'!$H$2:$H$58,"VIII",'nechrti seznam'!$G$2:$G$58,"Pes")</f>
        <v>0</v>
      </c>
      <c r="D10" s="3">
        <f>COUNTIFS('nechrti seznam'!$H$2:$H$58,"VIII",'nechrti seznam'!$G$2:$G$58,"Fena")</f>
        <v>0</v>
      </c>
      <c r="E10" s="3">
        <f t="shared" si="0"/>
        <v>0</v>
      </c>
      <c r="G10" s="61"/>
      <c r="H10" s="61"/>
      <c r="I10" s="61"/>
      <c r="J10" s="61"/>
      <c r="K10" s="61"/>
    </row>
    <row r="11" spans="1:11" x14ac:dyDescent="0.25">
      <c r="A11" s="30" t="s">
        <v>374</v>
      </c>
      <c r="B11" s="3">
        <f>COUNTIF('nechrti seznam'!$H$2:$H$58,"IX")</f>
        <v>2</v>
      </c>
      <c r="C11" s="3">
        <f>COUNTIFS('nechrti seznam'!$H$2:$H$58,"IX",'nechrti seznam'!$G$2:$G$58,"Pes")</f>
        <v>1</v>
      </c>
      <c r="D11" s="3">
        <f>COUNTIFS('nechrti seznam'!$H$2:$H$58,"IX",'nechrti seznam'!$G$2:$G$58,"Fena")</f>
        <v>1</v>
      </c>
      <c r="E11" s="3">
        <f t="shared" si="0"/>
        <v>1</v>
      </c>
      <c r="G11" s="61" t="s">
        <v>410</v>
      </c>
      <c r="H11" s="61"/>
      <c r="I11" s="61"/>
      <c r="J11" s="61"/>
      <c r="K11" s="61"/>
    </row>
    <row r="12" spans="1:11" x14ac:dyDescent="0.25">
      <c r="A12" s="30" t="s">
        <v>375</v>
      </c>
      <c r="B12" s="3">
        <f>COUNTIF('nechrti seznam'!$H$2:$H$58,"N")</f>
        <v>5</v>
      </c>
      <c r="C12" s="3">
        <f>COUNTIFS('nechrti seznam'!$H$2:$H$58,"N",'nechrti seznam'!$G$2:$G$58,"Pes")</f>
        <v>2</v>
      </c>
      <c r="D12" s="3">
        <f>COUNTIFS('nechrti seznam'!$H$2:$H$58,"N",'nechrti seznam'!$G$2:$G$58,"Fena")</f>
        <v>3</v>
      </c>
      <c r="E12" s="3">
        <f t="shared" si="0"/>
        <v>2</v>
      </c>
      <c r="G12" s="61" t="s">
        <v>411</v>
      </c>
      <c r="H12" s="61" t="s">
        <v>412</v>
      </c>
      <c r="I12" s="61"/>
      <c r="J12" s="61"/>
      <c r="K12" s="61"/>
    </row>
    <row r="13" spans="1:11" x14ac:dyDescent="0.25">
      <c r="A13" s="30" t="s">
        <v>97</v>
      </c>
      <c r="B13" s="3">
        <f>COUNTIF('nechrti seznam'!$H$2:$H$58,"BPP M")</f>
        <v>7</v>
      </c>
      <c r="C13" s="3">
        <f>COUNTIFS('nechrti seznam'!$H$2:$H$58,"BPP M",'nechrti seznam'!$G$2:$G$58,"Pes")</f>
        <v>3</v>
      </c>
      <c r="D13" s="3">
        <f>COUNTIFS('nechrti seznam'!$H$2:$H$58,"BPP M",'nechrti seznam'!$G$2:$G$58,"Fena")</f>
        <v>4</v>
      </c>
      <c r="E13" s="3">
        <f t="shared" si="0"/>
        <v>2</v>
      </c>
      <c r="G13" s="61" t="s">
        <v>413</v>
      </c>
      <c r="H13" s="61" t="s">
        <v>414</v>
      </c>
      <c r="I13" s="61"/>
      <c r="J13" s="61"/>
      <c r="K13" s="61"/>
    </row>
    <row r="14" spans="1:11" x14ac:dyDescent="0.25">
      <c r="A14" s="30" t="s">
        <v>98</v>
      </c>
      <c r="B14" s="3">
        <f>COUNTIF('nechrti seznam'!$H$2:$H$58,"BPP V")</f>
        <v>6</v>
      </c>
      <c r="C14" s="3">
        <f>COUNTIFS('nechrti seznam'!$H$2:$H$58,"BPP V",'nechrti seznam'!$G$2:$G$58,"Pes")</f>
        <v>1</v>
      </c>
      <c r="D14" s="3">
        <f>COUNTIFS('nechrti seznam'!$H$2:$H$58,"BPP V",'nechrti seznam'!$G$2:$G$58,"Fena")</f>
        <v>5</v>
      </c>
      <c r="E14" s="3">
        <f t="shared" si="0"/>
        <v>1</v>
      </c>
      <c r="G14" s="61" t="s">
        <v>415</v>
      </c>
      <c r="H14" s="61"/>
      <c r="I14" s="61"/>
      <c r="J14" s="61"/>
      <c r="K14" s="61"/>
    </row>
    <row r="18" spans="1:7" x14ac:dyDescent="0.25">
      <c r="A18" s="52">
        <v>41952</v>
      </c>
      <c r="B18" s="49"/>
      <c r="C18" s="30" t="s">
        <v>255</v>
      </c>
      <c r="D18" s="30"/>
      <c r="E18" s="31">
        <f>SUM(E20:E35)</f>
        <v>23</v>
      </c>
      <c r="F18" s="31">
        <f>SUM(F20:F35)</f>
        <v>13</v>
      </c>
    </row>
    <row r="19" spans="1:7" ht="15.75" thickBot="1" x14ac:dyDescent="0.3">
      <c r="A19" s="56"/>
      <c r="B19" s="57" t="s">
        <v>378</v>
      </c>
      <c r="C19" s="57" t="s">
        <v>376</v>
      </c>
      <c r="D19" s="57" t="s">
        <v>377</v>
      </c>
      <c r="E19" s="57" t="s">
        <v>417</v>
      </c>
      <c r="F19" s="57" t="s">
        <v>416</v>
      </c>
    </row>
    <row r="20" spans="1:7" x14ac:dyDescent="0.25">
      <c r="A20" s="55" t="s">
        <v>381</v>
      </c>
      <c r="B20" s="54">
        <f>COUNTIF('chrti seznam'!$F$2:$F$72,"Afgánský chrt")</f>
        <v>4</v>
      </c>
      <c r="C20" s="54">
        <f>COUNTIFS('chrti seznam'!$F$2:$F$72,"Afgánský chrt",'chrti seznam'!$G$2:$G$72,"Pes")</f>
        <v>3</v>
      </c>
      <c r="D20" s="54">
        <f>COUNTIFS('chrti seznam'!$F$2:$F$72,"Afgánský chrt",'chrti seznam'!$G$2:$G$72,"Fena")</f>
        <v>1</v>
      </c>
      <c r="E20" s="54">
        <f>SUM(IF(C20&gt;0,"1","0"),IF(D20&gt;0,"1","0"))</f>
        <v>2</v>
      </c>
      <c r="F20" s="54">
        <v>1</v>
      </c>
    </row>
    <row r="21" spans="1:7" x14ac:dyDescent="0.25">
      <c r="A21" s="55" t="s">
        <v>382</v>
      </c>
      <c r="B21" s="54">
        <f>COUNTIF('chrti seznam'!$F$2:$F$72,"Barzoj")</f>
        <v>7</v>
      </c>
      <c r="C21" s="54">
        <f>COUNTIFS('chrti seznam'!$F$2:$F$72,"barzoj",'chrti seznam'!$G$2:$G$72,"Pes")</f>
        <v>3</v>
      </c>
      <c r="D21" s="54">
        <f>COUNTIFS('chrti seznam'!$F$2:$F$72,"barzoj",'chrti seznam'!$G$2:$G$72,"Fena")</f>
        <v>4</v>
      </c>
      <c r="E21" s="54">
        <f>SUM(IF(C21&gt;0,"1","0"),IF(D21&gt;0,"1","0"))</f>
        <v>2</v>
      </c>
      <c r="F21" s="54">
        <v>2</v>
      </c>
    </row>
    <row r="22" spans="1:7" x14ac:dyDescent="0.25">
      <c r="A22" s="55" t="s">
        <v>383</v>
      </c>
      <c r="B22" s="54">
        <f>COUNTIF('chrti seznam'!$F$2:$F$72,"Basenji")</f>
        <v>4</v>
      </c>
      <c r="C22" s="54">
        <f>COUNTIFS('chrti seznam'!$F$2:$F$72,"basenji",'chrti seznam'!$G$2:$G$72,"Pes")</f>
        <v>2</v>
      </c>
      <c r="D22" s="54">
        <f>COUNTIFS('chrti seznam'!$F$2:$F$72,"basenji",'chrti seznam'!$G$2:$G$72,"Fena")</f>
        <v>2</v>
      </c>
      <c r="E22" s="54">
        <f t="shared" ref="E22:E31" si="1">SUM(IF(C22&gt;0,"1","0"),IF(D22&gt;0,"1","0"))</f>
        <v>2</v>
      </c>
      <c r="F22" s="54">
        <v>1</v>
      </c>
    </row>
    <row r="23" spans="1:7" x14ac:dyDescent="0.25">
      <c r="A23" s="55" t="s">
        <v>384</v>
      </c>
      <c r="B23" s="54">
        <f>COUNTIF('chrti seznam'!$F$2:$F$72,"Faraónský pes")</f>
        <v>2</v>
      </c>
      <c r="C23" s="54">
        <f>COUNTIFS('chrti seznam'!$F$2:$F$72,"faraónský pes",'chrti seznam'!$G$2:$G$72,"Pes")</f>
        <v>1</v>
      </c>
      <c r="D23" s="54">
        <f>COUNTIFS('chrti seznam'!$F$2:$F$72,"faraónský pes",'chrti seznam'!$G$2:$G$72,"Fena")</f>
        <v>1</v>
      </c>
      <c r="E23" s="54">
        <f t="shared" si="1"/>
        <v>2</v>
      </c>
      <c r="F23" s="54"/>
    </row>
    <row r="24" spans="1:7" x14ac:dyDescent="0.25">
      <c r="A24" s="55" t="s">
        <v>440</v>
      </c>
      <c r="B24" s="54">
        <f>COUNTIF('chrti seznam'!$F$2:$F$72,"greyhound")</f>
        <v>2</v>
      </c>
      <c r="C24" s="54">
        <f>COUNTIFS('chrti seznam'!$F$2:$F$92,"greyhound",'chrti seznam'!$G$2:$G$92,"Pes")</f>
        <v>1</v>
      </c>
      <c r="D24" s="54">
        <f>COUNTIFS('chrti seznam'!$F$2:$F$92,"greyhound",'chrti seznam'!$G$2:$G$92,"Fena")</f>
        <v>1</v>
      </c>
      <c r="E24" s="54">
        <f t="shared" si="1"/>
        <v>2</v>
      </c>
      <c r="F24" s="54"/>
    </row>
    <row r="25" spans="1:7" x14ac:dyDescent="0.25">
      <c r="A25" s="55" t="s">
        <v>385</v>
      </c>
      <c r="B25" s="54">
        <f>COUNTIF('chrti seznam'!$F$2:$F$72,"Irský vlkodav")</f>
        <v>6</v>
      </c>
      <c r="C25" s="54">
        <f>COUNTIFS('chrti seznam'!$F$2:$F$72,"irský vlkodav",'chrti seznam'!$G$2:$G$72,"Pes")</f>
        <v>3</v>
      </c>
      <c r="D25" s="54">
        <f>COUNTIFS('chrti seznam'!$F$2:$F$72,"irský vlkodav",'chrti seznam'!$G$2:$G$72,"fena")</f>
        <v>3</v>
      </c>
      <c r="E25" s="54">
        <f t="shared" si="1"/>
        <v>2</v>
      </c>
      <c r="F25" s="54">
        <v>2</v>
      </c>
    </row>
    <row r="26" spans="1:7" x14ac:dyDescent="0.25">
      <c r="A26" s="55" t="s">
        <v>386</v>
      </c>
      <c r="B26" s="54">
        <f>COUNTIFS('chrti seznam'!$F$2:$F$72,"Italský chrtík")</f>
        <v>8</v>
      </c>
      <c r="C26" s="54">
        <f>COUNTIFS('chrti seznam'!$F$2:$F$72,"Italský chrtík",'chrti seznam'!$G$2:$G$72,"Pes")</f>
        <v>2</v>
      </c>
      <c r="D26" s="54">
        <f>COUNTIFS('chrti seznam'!$F$2:$F$72,"Italský chrtík",'chrti seznam'!$G$2:$G$72,"Fena")</f>
        <v>6</v>
      </c>
      <c r="E26" s="54">
        <f t="shared" si="1"/>
        <v>2</v>
      </c>
      <c r="F26" s="54">
        <v>1</v>
      </c>
    </row>
    <row r="27" spans="1:7" x14ac:dyDescent="0.25">
      <c r="A27" s="55" t="s">
        <v>387</v>
      </c>
      <c r="B27" s="54">
        <f>COUNTIFS('chrti seznam'!$F$2:$F$72,"Italský chrtík sprinter")</f>
        <v>2</v>
      </c>
      <c r="C27" s="54">
        <f>COUNTIFS('chrti seznam'!$F$2:$F$72,"Italský chrtík sprinter",'chrti seznam'!$G$2:$G$72,"Pes")</f>
        <v>1</v>
      </c>
      <c r="D27" s="54">
        <f>COUNTIFS('chrti seznam'!$F$2:$F$72,"Italský chrtík sprinter",'chrti seznam'!$G$2:$G$72,"Fena")</f>
        <v>1</v>
      </c>
      <c r="E27" s="54">
        <f t="shared" si="1"/>
        <v>2</v>
      </c>
      <c r="F27" s="54"/>
    </row>
    <row r="28" spans="1:7" x14ac:dyDescent="0.25">
      <c r="A28" s="55" t="s">
        <v>441</v>
      </c>
      <c r="B28" s="54">
        <f>COUNTIF('chrti seznam'!$F$2:$F$72,"saluki")</f>
        <v>3</v>
      </c>
      <c r="C28" s="54">
        <f>COUNTIFS('chrti seznam'!$F$2:$F$92,"saluki",'chrti seznam'!$G$2:$G$92,"Pes")</f>
        <v>0</v>
      </c>
      <c r="D28" s="54">
        <f>COUNTIFS('chrti seznam'!$F$2:$F$92,"saluki",'chrti seznam'!$G$2:$G$92,"Fena")</f>
        <v>3</v>
      </c>
      <c r="E28" s="54">
        <f t="shared" si="1"/>
        <v>1</v>
      </c>
      <c r="F28" s="54">
        <v>1</v>
      </c>
    </row>
    <row r="29" spans="1:7" x14ac:dyDescent="0.25">
      <c r="A29" s="55" t="s">
        <v>388</v>
      </c>
      <c r="B29" s="54">
        <f>COUNTIFS('chrti seznam'!$F$2:$F$72,"VIPET")</f>
        <v>16</v>
      </c>
      <c r="C29" s="54">
        <f>COUNTIFS('chrti seznam'!$F$2:$F$72,"vipet",'chrti seznam'!$G$2:$G$72,"Pes")</f>
        <v>10</v>
      </c>
      <c r="D29" s="54">
        <f>COUNTIFS('chrti seznam'!$F$2:$F$72,"vipet",'chrti seznam'!$G$2:$G$72,"Fena")</f>
        <v>6</v>
      </c>
      <c r="E29" s="54">
        <f t="shared" si="1"/>
        <v>2</v>
      </c>
      <c r="F29" s="54">
        <v>2</v>
      </c>
    </row>
    <row r="30" spans="1:7" x14ac:dyDescent="0.25">
      <c r="A30" s="55" t="s">
        <v>389</v>
      </c>
      <c r="B30" s="54">
        <f>COUNTIFS('chrti seznam'!$F$2:$F$72,"vipet sprinter")</f>
        <v>13</v>
      </c>
      <c r="C30" s="54">
        <f>COUNTIFS('chrti seznam'!$F$2:$F$72,"vipet sprinter",'chrti seznam'!$G$2:$G$72,"Pes")</f>
        <v>8</v>
      </c>
      <c r="D30" s="54">
        <f>COUNTIFS('chrti seznam'!$F$2:$F$72,"vipet sprinter",'chrti seznam'!$G$2:$G$72,"fena")</f>
        <v>5</v>
      </c>
      <c r="E30" s="54">
        <f t="shared" si="1"/>
        <v>2</v>
      </c>
      <c r="F30" s="54">
        <v>2</v>
      </c>
      <c r="G30" s="34"/>
    </row>
    <row r="31" spans="1:7" x14ac:dyDescent="0.25">
      <c r="A31" s="55" t="s">
        <v>390</v>
      </c>
      <c r="B31" s="54">
        <f>COUNTIF('chrti seznam'!$F$2:$F$72,"vipet dlouhosrstý")</f>
        <v>3</v>
      </c>
      <c r="C31" s="54">
        <f>COUNTIFS('chrti seznam'!$F$2:$F$72,"vipet dlouhosrstý",'chrti seznam'!$G$2:$G$72,"Pes")</f>
        <v>2</v>
      </c>
      <c r="D31" s="54">
        <f>COUNTIFS('chrti seznam'!$F$2:$F$72,"vipet dlouhosrstý",'chrti seznam'!$G$2:$G$72,"fena")</f>
        <v>1</v>
      </c>
      <c r="E31" s="54">
        <f t="shared" si="1"/>
        <v>2</v>
      </c>
      <c r="F31" s="54">
        <v>1</v>
      </c>
    </row>
    <row r="32" spans="1:7" x14ac:dyDescent="0.25">
      <c r="A32" s="34"/>
      <c r="B32" s="37"/>
      <c r="C32" s="34"/>
      <c r="D32" s="34"/>
      <c r="E32" s="37"/>
      <c r="F32" s="34"/>
    </row>
    <row r="33" spans="1:6" x14ac:dyDescent="0.25">
      <c r="A33" s="30"/>
      <c r="B33" s="32">
        <f>SUM(B20:B31)</f>
        <v>70</v>
      </c>
      <c r="C33" s="32">
        <f t="shared" ref="C33:D33" si="2">SUM(C20:C31)</f>
        <v>36</v>
      </c>
      <c r="D33" s="32">
        <f t="shared" si="2"/>
        <v>34</v>
      </c>
      <c r="E33" s="32"/>
      <c r="F33" s="30"/>
    </row>
  </sheetData>
  <pageMargins left="0.7" right="0.7" top="0.78740157499999996" bottom="0.78740157499999996" header="0.3" footer="0.3"/>
  <pageSetup paperSize="9" orientation="portrait" r:id="rId1"/>
  <ignoredErrors>
    <ignoredError sqref="C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nechrti seznam</vt:lpstr>
      <vt:lpstr>chrti seznam</vt:lpstr>
      <vt:lpstr>náklady_výdaje</vt:lpstr>
      <vt:lpstr>statistika</vt:lpstr>
    </vt:vector>
  </TitlesOfParts>
  <Company>HARTMANN - RICO a.s.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Jehlickova</dc:creator>
  <cp:lastModifiedBy>Jiří</cp:lastModifiedBy>
  <cp:lastPrinted>2014-10-21T07:08:18Z</cp:lastPrinted>
  <dcterms:created xsi:type="dcterms:W3CDTF">2014-10-06T09:37:41Z</dcterms:created>
  <dcterms:modified xsi:type="dcterms:W3CDTF">2014-10-28T12:13:04Z</dcterms:modified>
</cp:coreProperties>
</file>