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connectqutedu-my.sharepoint.com/personal/n11414995_qut_edu_au/Documents/QUT/6.Sem1_25/IFB398/"/>
    </mc:Choice>
  </mc:AlternateContent>
  <xr:revisionPtr revIDLastSave="26" documentId="13_ncr:1_{20A862AA-C492-4795-BD57-B4C3F15E62F2}" xr6:coauthVersionLast="47" xr6:coauthVersionMax="47" xr10:uidLastSave="{493E5BA9-7059-49CA-930F-D0DBED284BCC}"/>
  <bookViews>
    <workbookView xWindow="-120" yWindow="-120" windowWidth="29040" windowHeight="15720" tabRatio="826" xr2:uid="{3CA73F0D-EB33-4A54-9057-BB5E8AB6905A}"/>
  </bookViews>
  <sheets>
    <sheet name="Key Data" sheetId="6" r:id="rId1"/>
    <sheet name="kWhm2 per year" sheetId="9" r:id="rId2"/>
    <sheet name="Water Use" sheetId="31" r:id="rId3"/>
    <sheet name="Matrix" sheetId="1" r:id="rId4"/>
    <sheet name="Detailed Matrix" sheetId="4" r:id="rId5"/>
    <sheet name="Operating Carbon" sheetId="8" r:id="rId6"/>
    <sheet name="Embodied Carbon" sheetId="3" r:id="rId7"/>
    <sheet name="Renewable Energy" sheetId="33" r:id="rId8"/>
    <sheet name="Smart Energy" sheetId="10" r:id="rId9"/>
    <sheet name="Energy Monitoring" sheetId="11" r:id="rId10"/>
    <sheet name="Construction Activity Emissions" sheetId="34" r:id="rId11"/>
    <sheet name="Indoor Air Quality" sheetId="12" r:id="rId12"/>
    <sheet name="Int Thermal Comfort" sheetId="14" r:id="rId13"/>
    <sheet name="Personal Safety" sheetId="20" r:id="rId14"/>
    <sheet name="Lighting" sheetId="13" r:id="rId15"/>
    <sheet name="Acoustic Comfort" sheetId="15" r:id="rId16"/>
    <sheet name="Outdoor Microclimate" sheetId="16" r:id="rId17"/>
    <sheet name="Physical Activity" sheetId="17" r:id="rId18"/>
    <sheet name="Personal Security" sheetId="18" state="hidden" r:id="rId19"/>
    <sheet name="Water Efficiency" sheetId="21" r:id="rId20"/>
    <sheet name="Water Recycling" sheetId="22" r:id="rId21"/>
    <sheet name="Monitoring" sheetId="23" r:id="rId22"/>
    <sheet name="Outdoor Water Use" sheetId="24" r:id="rId23"/>
    <sheet name="Circular Potentials" sheetId="19" r:id="rId24"/>
    <sheet name="Smart Demo" sheetId="25" r:id="rId25"/>
    <sheet name="Hazardous Materials" sheetId="26" r:id="rId26"/>
    <sheet name="Climate Change" sheetId="27" r:id="rId27"/>
    <sheet name="Physical Security" sheetId="28" r:id="rId28"/>
    <sheet name="Value &amp; Cost" sheetId="29" r:id="rId29"/>
    <sheet name="Biodiversity" sheetId="30" r:id="rId30"/>
    <sheet name="Queries" sheetId="32" r:id="rId31"/>
    <sheet name="Dropdown Selection" sheetId="5" r:id="rId32"/>
  </sheets>
  <definedNames>
    <definedName name="_xlnm._FilterDatabase" localSheetId="4" hidden="1">'Detailed Matrix'!$B$3:$W$242</definedName>
    <definedName name="_xlnm.Print_Area" localSheetId="4">'Detailed Matrix'!$A$1:$W$242</definedName>
    <definedName name="_xlnm.Print_Area" localSheetId="3">Matrix!$A$1:$H$41</definedName>
    <definedName name="_xlnm.Print_Area" localSheetId="30">Queries!$A$1:$F$232</definedName>
    <definedName name="_xlnm.Print_Titles" localSheetId="4">'Detailed Matrix'!$1:$3</definedName>
    <definedName name="_xlnm.Print_Titles" localSheetId="3">Matrix!$1:$10</definedName>
    <definedName name="_xlnm.Print_Titles" localSheetId="30">Queries!$1:$3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9" i="17" l="1"/>
  <c r="E92" i="17"/>
  <c r="N124" i="4"/>
  <c r="E101" i="13"/>
  <c r="E92" i="13"/>
  <c r="E137" i="13"/>
  <c r="E128" i="13"/>
  <c r="H46" i="26"/>
  <c r="E46" i="26"/>
  <c r="H45" i="26"/>
  <c r="E39" i="26"/>
  <c r="H39" i="26" s="1"/>
  <c r="H38" i="26"/>
  <c r="E31" i="26"/>
  <c r="H31" i="26" s="1"/>
  <c r="H30" i="26"/>
  <c r="E24" i="26"/>
  <c r="H24" i="26" s="1"/>
  <c r="G25" i="30"/>
  <c r="I7" i="30"/>
  <c r="O234" i="4"/>
  <c r="N234" i="4"/>
  <c r="O233" i="4"/>
  <c r="N233" i="4"/>
  <c r="N227" i="4"/>
  <c r="O222" i="4"/>
  <c r="N222" i="4"/>
  <c r="O221" i="4"/>
  <c r="N221" i="4"/>
  <c r="O10" i="27"/>
  <c r="P10" i="27" s="1"/>
  <c r="O220" i="4" s="1"/>
  <c r="N220" i="4"/>
  <c r="O215" i="4"/>
  <c r="N215" i="4"/>
  <c r="O213" i="4"/>
  <c r="N213" i="4"/>
  <c r="O212" i="4"/>
  <c r="N212" i="4"/>
  <c r="O211" i="4"/>
  <c r="N211" i="4"/>
  <c r="O210" i="4"/>
  <c r="N210" i="4"/>
  <c r="O209" i="4"/>
  <c r="N209" i="4"/>
  <c r="O208" i="4"/>
  <c r="N208" i="4"/>
  <c r="O202" i="4"/>
  <c r="N202" i="4"/>
  <c r="O201" i="4"/>
  <c r="N201" i="4"/>
  <c r="O200" i="4"/>
  <c r="N200" i="4"/>
  <c r="O199" i="4"/>
  <c r="N199" i="4"/>
  <c r="G41" i="19"/>
  <c r="N195" i="4"/>
  <c r="O194" i="4"/>
  <c r="O195" i="4"/>
  <c r="N194" i="4"/>
  <c r="O104" i="4"/>
  <c r="N104" i="4"/>
  <c r="O103" i="4"/>
  <c r="N103" i="4"/>
  <c r="O102" i="4"/>
  <c r="N102" i="4"/>
  <c r="H35" i="34"/>
  <c r="H34" i="34"/>
  <c r="H33" i="34"/>
  <c r="H32" i="34"/>
  <c r="H30" i="34"/>
  <c r="H29" i="34"/>
  <c r="H28" i="34"/>
  <c r="H27" i="34"/>
  <c r="H26" i="34"/>
  <c r="H25" i="34"/>
  <c r="H24" i="34"/>
  <c r="H23" i="34"/>
  <c r="H22" i="34"/>
  <c r="H20" i="34"/>
  <c r="H19" i="34"/>
  <c r="H18" i="34"/>
  <c r="H17" i="34"/>
  <c r="H16" i="34"/>
  <c r="H15" i="34"/>
  <c r="H14" i="34"/>
  <c r="H13" i="34"/>
  <c r="H12" i="34"/>
  <c r="H10" i="34"/>
  <c r="H9" i="34"/>
  <c r="H8" i="34"/>
  <c r="H7" i="34"/>
  <c r="H6" i="34"/>
  <c r="C26" i="34"/>
  <c r="C16" i="34"/>
  <c r="C6" i="34"/>
  <c r="B26" i="34"/>
  <c r="B16" i="34"/>
  <c r="B6" i="34"/>
  <c r="B2" i="34" a="1"/>
  <c r="B2" i="34" s="1"/>
  <c r="N5" i="34"/>
  <c r="M5" i="34"/>
  <c r="L5" i="34"/>
  <c r="K5" i="34"/>
  <c r="J5" i="34"/>
  <c r="I649" i="8"/>
  <c r="C640" i="8"/>
  <c r="B640" i="8"/>
  <c r="H649" i="8"/>
  <c r="H648" i="8"/>
  <c r="H647" i="8"/>
  <c r="H646" i="8"/>
  <c r="H644" i="8"/>
  <c r="H643" i="8"/>
  <c r="H642" i="8"/>
  <c r="H641" i="8"/>
  <c r="H640" i="8"/>
  <c r="C630" i="8"/>
  <c r="C620" i="8"/>
  <c r="C610" i="8"/>
  <c r="C600" i="8"/>
  <c r="B630" i="8"/>
  <c r="B620" i="8"/>
  <c r="B610" i="8"/>
  <c r="B600" i="8"/>
  <c r="H639" i="8"/>
  <c r="H637" i="8"/>
  <c r="H636" i="8"/>
  <c r="H634" i="8"/>
  <c r="H632" i="8"/>
  <c r="H631" i="8"/>
  <c r="H629" i="8"/>
  <c r="H627" i="8"/>
  <c r="H626" i="8"/>
  <c r="H624" i="8"/>
  <c r="H622" i="8"/>
  <c r="H621" i="8"/>
  <c r="H619" i="8"/>
  <c r="H617" i="8"/>
  <c r="H616" i="8"/>
  <c r="H614" i="8"/>
  <c r="H612" i="8"/>
  <c r="H611" i="8"/>
  <c r="H609" i="8"/>
  <c r="H608" i="8"/>
  <c r="H607" i="8"/>
  <c r="H606" i="8"/>
  <c r="I609" i="8" s="1"/>
  <c r="H604" i="8"/>
  <c r="H603" i="8"/>
  <c r="H602" i="8"/>
  <c r="H601" i="8"/>
  <c r="I604" i="8" s="1"/>
  <c r="H600" i="8"/>
  <c r="C590" i="8"/>
  <c r="C580" i="8"/>
  <c r="C570" i="8"/>
  <c r="C560" i="8"/>
  <c r="C550" i="8"/>
  <c r="C540" i="8"/>
  <c r="B590" i="8"/>
  <c r="B580" i="8"/>
  <c r="B570" i="8"/>
  <c r="B560" i="8"/>
  <c r="B550" i="8"/>
  <c r="B540" i="8"/>
  <c r="H599" i="8"/>
  <c r="H597" i="8"/>
  <c r="H596" i="8"/>
  <c r="H594" i="8"/>
  <c r="H592" i="8"/>
  <c r="H591" i="8"/>
  <c r="H589" i="8"/>
  <c r="H587" i="8"/>
  <c r="H586" i="8"/>
  <c r="H584" i="8"/>
  <c r="H582" i="8"/>
  <c r="H581" i="8"/>
  <c r="H579" i="8"/>
  <c r="H577" i="8"/>
  <c r="H576" i="8"/>
  <c r="H574" i="8"/>
  <c r="H572" i="8"/>
  <c r="H571" i="8"/>
  <c r="H569" i="8"/>
  <c r="H567" i="8"/>
  <c r="H566" i="8"/>
  <c r="H564" i="8"/>
  <c r="H562" i="8"/>
  <c r="H561" i="8"/>
  <c r="H559" i="8"/>
  <c r="H557" i="8"/>
  <c r="H556" i="8"/>
  <c r="H554" i="8"/>
  <c r="H552" i="8"/>
  <c r="H551" i="8"/>
  <c r="H549" i="8"/>
  <c r="H548" i="8"/>
  <c r="H547" i="8"/>
  <c r="H546" i="8"/>
  <c r="H544" i="8"/>
  <c r="H543" i="8"/>
  <c r="H542" i="8"/>
  <c r="H541" i="8"/>
  <c r="H540" i="8"/>
  <c r="H504" i="8"/>
  <c r="C530" i="8"/>
  <c r="C520" i="8"/>
  <c r="C510" i="8"/>
  <c r="C500" i="8"/>
  <c r="B530" i="8"/>
  <c r="B520" i="8"/>
  <c r="B510" i="8"/>
  <c r="B500" i="8"/>
  <c r="C489" i="8"/>
  <c r="H539" i="8"/>
  <c r="H537" i="8"/>
  <c r="H536" i="8"/>
  <c r="H534" i="8"/>
  <c r="H532" i="8"/>
  <c r="H531" i="8"/>
  <c r="H529" i="8"/>
  <c r="H527" i="8"/>
  <c r="H526" i="8"/>
  <c r="H524" i="8"/>
  <c r="H522" i="8"/>
  <c r="H521" i="8"/>
  <c r="H518" i="8"/>
  <c r="H517" i="8"/>
  <c r="H516" i="8"/>
  <c r="H513" i="8"/>
  <c r="H512" i="8"/>
  <c r="H511" i="8"/>
  <c r="H510" i="8"/>
  <c r="H509" i="8"/>
  <c r="H508" i="8"/>
  <c r="H507" i="8"/>
  <c r="H506" i="8"/>
  <c r="H503" i="8"/>
  <c r="H502" i="8"/>
  <c r="H501" i="8"/>
  <c r="H500" i="8"/>
  <c r="C479" i="8"/>
  <c r="C469" i="8"/>
  <c r="B489" i="8"/>
  <c r="B479" i="8"/>
  <c r="B469" i="8"/>
  <c r="H498" i="8"/>
  <c r="H496" i="8"/>
  <c r="H495" i="8"/>
  <c r="H493" i="8"/>
  <c r="H491" i="8"/>
  <c r="H490" i="8"/>
  <c r="H487" i="8"/>
  <c r="H486" i="8"/>
  <c r="H485" i="8"/>
  <c r="H482" i="8"/>
  <c r="H481" i="8"/>
  <c r="H480" i="8"/>
  <c r="H479" i="8"/>
  <c r="H478" i="8"/>
  <c r="H477" i="8"/>
  <c r="H476" i="8"/>
  <c r="H475" i="8"/>
  <c r="H473" i="8"/>
  <c r="H472" i="8"/>
  <c r="H471" i="8"/>
  <c r="H470" i="8"/>
  <c r="H469" i="8"/>
  <c r="C459" i="8"/>
  <c r="B459" i="8"/>
  <c r="C449" i="8"/>
  <c r="B449" i="8"/>
  <c r="B439" i="8"/>
  <c r="C439" i="8"/>
  <c r="C429" i="8"/>
  <c r="H468" i="8"/>
  <c r="H466" i="8"/>
  <c r="H465" i="8"/>
  <c r="H463" i="8"/>
  <c r="H461" i="8"/>
  <c r="H460" i="8"/>
  <c r="H458" i="8"/>
  <c r="H456" i="8"/>
  <c r="H455" i="8"/>
  <c r="H453" i="8"/>
  <c r="H451" i="8"/>
  <c r="H450" i="8"/>
  <c r="H448" i="8"/>
  <c r="H446" i="8"/>
  <c r="H445" i="8"/>
  <c r="H443" i="8"/>
  <c r="H441" i="8"/>
  <c r="H440" i="8"/>
  <c r="C419" i="8"/>
  <c r="C408" i="8"/>
  <c r="C398" i="8"/>
  <c r="B429" i="8"/>
  <c r="B419" i="8"/>
  <c r="B408" i="8"/>
  <c r="B398" i="8"/>
  <c r="H438" i="8"/>
  <c r="H436" i="8"/>
  <c r="H435" i="8"/>
  <c r="H433" i="8"/>
  <c r="H431" i="8"/>
  <c r="H430" i="8"/>
  <c r="H428" i="8"/>
  <c r="H426" i="8"/>
  <c r="H425" i="8"/>
  <c r="H423" i="8"/>
  <c r="H421" i="8"/>
  <c r="H420" i="8"/>
  <c r="H417" i="8"/>
  <c r="H415" i="8"/>
  <c r="H414" i="8"/>
  <c r="H412" i="8"/>
  <c r="H410" i="8"/>
  <c r="H409" i="8"/>
  <c r="H407" i="8"/>
  <c r="H406" i="8"/>
  <c r="H405" i="8"/>
  <c r="H404" i="8"/>
  <c r="H402" i="8"/>
  <c r="H401" i="8"/>
  <c r="H400" i="8"/>
  <c r="H399" i="8"/>
  <c r="H398" i="8"/>
  <c r="C263" i="8"/>
  <c r="B263" i="8"/>
  <c r="H272" i="8"/>
  <c r="H270" i="8"/>
  <c r="H269" i="8"/>
  <c r="H267" i="8"/>
  <c r="H265" i="8"/>
  <c r="H264" i="8"/>
  <c r="B388" i="8"/>
  <c r="C388" i="8"/>
  <c r="C378" i="8"/>
  <c r="C367" i="8"/>
  <c r="B378" i="8"/>
  <c r="B367" i="8"/>
  <c r="H397" i="8"/>
  <c r="H395" i="8"/>
  <c r="H394" i="8"/>
  <c r="H392" i="8"/>
  <c r="H390" i="8"/>
  <c r="H389" i="8"/>
  <c r="H387" i="8"/>
  <c r="H385" i="8"/>
  <c r="H384" i="8"/>
  <c r="H382" i="8"/>
  <c r="H380" i="8"/>
  <c r="H379" i="8"/>
  <c r="H376" i="8"/>
  <c r="H374" i="8"/>
  <c r="H373" i="8"/>
  <c r="H371" i="8"/>
  <c r="H369" i="8"/>
  <c r="H368" i="8"/>
  <c r="C357" i="8"/>
  <c r="B357" i="8"/>
  <c r="H366" i="8"/>
  <c r="H365" i="8"/>
  <c r="H364" i="8"/>
  <c r="H363" i="8"/>
  <c r="H361" i="8"/>
  <c r="H360" i="8"/>
  <c r="H359" i="8"/>
  <c r="H358" i="8"/>
  <c r="H357" i="8"/>
  <c r="B346" i="8"/>
  <c r="C346" i="8"/>
  <c r="H355" i="8"/>
  <c r="H354" i="8"/>
  <c r="H353" i="8"/>
  <c r="H352" i="8"/>
  <c r="H350" i="8"/>
  <c r="H349" i="8"/>
  <c r="H348" i="8"/>
  <c r="H347" i="8"/>
  <c r="H346" i="8"/>
  <c r="B336" i="8"/>
  <c r="C336" i="8"/>
  <c r="H345" i="8"/>
  <c r="H343" i="8"/>
  <c r="H342" i="8"/>
  <c r="H340" i="8"/>
  <c r="H338" i="8"/>
  <c r="H337" i="8"/>
  <c r="C326" i="8"/>
  <c r="C316" i="8"/>
  <c r="B294" i="8"/>
  <c r="B305" i="8"/>
  <c r="B316" i="8"/>
  <c r="B326" i="8"/>
  <c r="C305" i="8"/>
  <c r="C294" i="8"/>
  <c r="C283" i="8"/>
  <c r="B283" i="8"/>
  <c r="H335" i="8"/>
  <c r="H333" i="8"/>
  <c r="H332" i="8"/>
  <c r="H330" i="8"/>
  <c r="H328" i="8"/>
  <c r="H327" i="8"/>
  <c r="H325" i="8"/>
  <c r="H323" i="8"/>
  <c r="H322" i="8"/>
  <c r="H320" i="8"/>
  <c r="H318" i="8"/>
  <c r="H317" i="8"/>
  <c r="H314" i="8"/>
  <c r="H312" i="8"/>
  <c r="H311" i="8"/>
  <c r="H309" i="8"/>
  <c r="H307" i="8"/>
  <c r="H306" i="8"/>
  <c r="H303" i="8"/>
  <c r="H301" i="8"/>
  <c r="H300" i="8"/>
  <c r="H298" i="8"/>
  <c r="H296" i="8"/>
  <c r="H295" i="8"/>
  <c r="H292" i="8"/>
  <c r="H291" i="8"/>
  <c r="H290" i="8"/>
  <c r="H289" i="8"/>
  <c r="H287" i="8"/>
  <c r="H286" i="8"/>
  <c r="H285" i="8"/>
  <c r="H284" i="8"/>
  <c r="H283" i="8"/>
  <c r="C273" i="8"/>
  <c r="B273" i="8"/>
  <c r="H282" i="8"/>
  <c r="H280" i="8"/>
  <c r="H279" i="8"/>
  <c r="H277" i="8"/>
  <c r="H275" i="8"/>
  <c r="H274" i="8"/>
  <c r="C253" i="8"/>
  <c r="B253" i="8"/>
  <c r="H262" i="8"/>
  <c r="H260" i="8"/>
  <c r="H259" i="8"/>
  <c r="H257" i="8"/>
  <c r="H255" i="8"/>
  <c r="H254" i="8"/>
  <c r="C242" i="8"/>
  <c r="B242" i="8"/>
  <c r="B231" i="8"/>
  <c r="C231" i="8"/>
  <c r="H251" i="8"/>
  <c r="H249" i="8"/>
  <c r="H248" i="8"/>
  <c r="H246" i="8"/>
  <c r="H244" i="8"/>
  <c r="H243" i="8"/>
  <c r="O241" i="4"/>
  <c r="O240" i="4"/>
  <c r="O239" i="4"/>
  <c r="O238" i="4"/>
  <c r="O237" i="4"/>
  <c r="N241" i="4"/>
  <c r="N240" i="4"/>
  <c r="N239" i="4"/>
  <c r="N238" i="4"/>
  <c r="C34" i="30"/>
  <c r="C27" i="30"/>
  <c r="C19" i="30"/>
  <c r="C12" i="30"/>
  <c r="C6" i="30"/>
  <c r="B6" i="30"/>
  <c r="B34" i="30"/>
  <c r="B27" i="30"/>
  <c r="B19" i="30"/>
  <c r="B12" i="30"/>
  <c r="C43" i="29"/>
  <c r="C36" i="29"/>
  <c r="C6" i="29"/>
  <c r="C21" i="29"/>
  <c r="B43" i="29"/>
  <c r="B36" i="29"/>
  <c r="B21" i="29"/>
  <c r="B6" i="29"/>
  <c r="C51" i="28"/>
  <c r="C44" i="28"/>
  <c r="C36" i="28"/>
  <c r="C30" i="28"/>
  <c r="C22" i="28"/>
  <c r="C13" i="28"/>
  <c r="C6" i="28"/>
  <c r="B51" i="28"/>
  <c r="B44" i="28"/>
  <c r="B36" i="28"/>
  <c r="B30" i="28"/>
  <c r="B22" i="28"/>
  <c r="B13" i="28"/>
  <c r="B6" i="28"/>
  <c r="C20" i="27"/>
  <c r="C12" i="27"/>
  <c r="C6" i="27"/>
  <c r="B20" i="27"/>
  <c r="B12" i="27"/>
  <c r="B6" i="27"/>
  <c r="C51" i="26"/>
  <c r="C36" i="26"/>
  <c r="C21" i="26"/>
  <c r="C6" i="26"/>
  <c r="B51" i="26"/>
  <c r="B36" i="26"/>
  <c r="B21" i="26"/>
  <c r="B6" i="26"/>
  <c r="C115" i="25"/>
  <c r="C100" i="25"/>
  <c r="C85" i="25"/>
  <c r="C70" i="25"/>
  <c r="C53" i="25"/>
  <c r="B53" i="25"/>
  <c r="C21" i="25"/>
  <c r="C36" i="25"/>
  <c r="C6" i="25"/>
  <c r="B6" i="25"/>
  <c r="B115" i="25"/>
  <c r="B100" i="25"/>
  <c r="B85" i="25"/>
  <c r="B70" i="25"/>
  <c r="B36" i="25"/>
  <c r="B21" i="25"/>
  <c r="C96" i="19"/>
  <c r="C81" i="19"/>
  <c r="C66" i="19"/>
  <c r="C51" i="19"/>
  <c r="C36" i="19"/>
  <c r="C21" i="19"/>
  <c r="C6" i="19"/>
  <c r="B96" i="19"/>
  <c r="B81" i="19"/>
  <c r="B66" i="19"/>
  <c r="B51" i="19"/>
  <c r="B36" i="19"/>
  <c r="B21" i="19"/>
  <c r="B6" i="19"/>
  <c r="C66" i="24"/>
  <c r="C51" i="24"/>
  <c r="B51" i="24"/>
  <c r="C36" i="24"/>
  <c r="C21" i="24"/>
  <c r="C6" i="24"/>
  <c r="B66" i="24"/>
  <c r="B36" i="24"/>
  <c r="B21" i="24"/>
  <c r="B6" i="24"/>
  <c r="C30" i="23"/>
  <c r="C20" i="23"/>
  <c r="C13" i="23"/>
  <c r="C6" i="23"/>
  <c r="B6" i="23"/>
  <c r="B30" i="23"/>
  <c r="B20" i="23"/>
  <c r="B13" i="23"/>
  <c r="B96" i="22"/>
  <c r="C138" i="22"/>
  <c r="C126" i="22"/>
  <c r="C111" i="22"/>
  <c r="C96" i="22"/>
  <c r="C81" i="22"/>
  <c r="C66" i="22"/>
  <c r="C51" i="22"/>
  <c r="C36" i="22"/>
  <c r="C21" i="22"/>
  <c r="C6" i="22"/>
  <c r="B138" i="22"/>
  <c r="B126" i="22"/>
  <c r="B111" i="22"/>
  <c r="B81" i="22"/>
  <c r="B66" i="22"/>
  <c r="B51" i="22"/>
  <c r="B36" i="22"/>
  <c r="B21" i="22"/>
  <c r="B6" i="22"/>
  <c r="C6" i="21"/>
  <c r="C42" i="21"/>
  <c r="C35" i="21"/>
  <c r="C23" i="21"/>
  <c r="B42" i="21"/>
  <c r="B35" i="21"/>
  <c r="B23" i="21"/>
  <c r="B6" i="21"/>
  <c r="C89" i="17"/>
  <c r="B89" i="17"/>
  <c r="C74" i="17"/>
  <c r="B74" i="17"/>
  <c r="C66" i="17"/>
  <c r="B66" i="17"/>
  <c r="C51" i="17"/>
  <c r="B51" i="17"/>
  <c r="C36" i="17"/>
  <c r="B36" i="17"/>
  <c r="B21" i="17"/>
  <c r="C21" i="17"/>
  <c r="C6" i="17"/>
  <c r="B6" i="17"/>
  <c r="C66" i="16"/>
  <c r="C51" i="16"/>
  <c r="C36" i="16"/>
  <c r="C21" i="16"/>
  <c r="C6" i="16"/>
  <c r="B66" i="16"/>
  <c r="B51" i="16"/>
  <c r="B36" i="16"/>
  <c r="B21" i="16"/>
  <c r="B6" i="16"/>
  <c r="C50" i="20"/>
  <c r="C220" i="8"/>
  <c r="C66" i="8"/>
  <c r="B220" i="8"/>
  <c r="H240" i="8"/>
  <c r="H238" i="8"/>
  <c r="H237" i="8"/>
  <c r="H235" i="8"/>
  <c r="H233" i="8"/>
  <c r="H232" i="8"/>
  <c r="H229" i="8"/>
  <c r="H228" i="8"/>
  <c r="H227" i="8"/>
  <c r="H226" i="8"/>
  <c r="H224" i="8"/>
  <c r="H223" i="8"/>
  <c r="H222" i="8"/>
  <c r="H221" i="8"/>
  <c r="H220" i="8"/>
  <c r="H39" i="30"/>
  <c r="I39" i="30" s="1"/>
  <c r="H35" i="30"/>
  <c r="I35" i="30" s="1"/>
  <c r="H32" i="30"/>
  <c r="I32" i="30" s="1"/>
  <c r="H24" i="30"/>
  <c r="H17" i="30"/>
  <c r="I17" i="30" s="1"/>
  <c r="H25" i="30" s="1"/>
  <c r="H10" i="30"/>
  <c r="I10" i="30" s="1"/>
  <c r="N232" i="4"/>
  <c r="H49" i="29"/>
  <c r="H40" i="29"/>
  <c r="I40" i="29" s="1"/>
  <c r="G51" i="29" s="1"/>
  <c r="H51" i="29" s="1"/>
  <c r="H34" i="29"/>
  <c r="H33" i="29"/>
  <c r="H32" i="29"/>
  <c r="H31" i="29"/>
  <c r="H30" i="29"/>
  <c r="H29" i="29"/>
  <c r="H27" i="29"/>
  <c r="H26" i="29"/>
  <c r="H25" i="29"/>
  <c r="H24" i="29"/>
  <c r="H23" i="29"/>
  <c r="H22" i="29"/>
  <c r="H21" i="29"/>
  <c r="H19" i="29"/>
  <c r="H18" i="29"/>
  <c r="H17" i="29"/>
  <c r="H16" i="29"/>
  <c r="H15" i="29"/>
  <c r="H14" i="29"/>
  <c r="H12" i="29"/>
  <c r="H11" i="29"/>
  <c r="H10" i="29"/>
  <c r="H9" i="29"/>
  <c r="H8" i="29"/>
  <c r="H7" i="29"/>
  <c r="H6" i="29"/>
  <c r="O227" i="4"/>
  <c r="H56" i="28"/>
  <c r="H48" i="28"/>
  <c r="I48" i="28" s="1"/>
  <c r="G57" i="28" s="1"/>
  <c r="H57" i="28" s="1"/>
  <c r="H34" i="28"/>
  <c r="I34" i="28" s="1"/>
  <c r="G42" i="28" s="1"/>
  <c r="H42" i="28" s="1"/>
  <c r="I42" i="28" s="1"/>
  <c r="H31" i="28"/>
  <c r="I31" i="28" s="1"/>
  <c r="G38" i="28" s="1"/>
  <c r="H27" i="28"/>
  <c r="H18" i="28"/>
  <c r="H10" i="28"/>
  <c r="I10" i="28" s="1"/>
  <c r="G19" i="28" s="1"/>
  <c r="H19" i="28" s="1"/>
  <c r="O218" i="4"/>
  <c r="N218" i="4"/>
  <c r="H64" i="26"/>
  <c r="H63" i="26"/>
  <c r="H62" i="26"/>
  <c r="H61" i="26"/>
  <c r="H60" i="26"/>
  <c r="H59" i="26"/>
  <c r="I64" i="26" s="1"/>
  <c r="H57" i="26"/>
  <c r="H56" i="26"/>
  <c r="H55" i="26"/>
  <c r="H54" i="26"/>
  <c r="H53" i="26"/>
  <c r="H52" i="26"/>
  <c r="H51" i="26"/>
  <c r="H49" i="26"/>
  <c r="H47" i="26"/>
  <c r="H44" i="26"/>
  <c r="H42" i="26"/>
  <c r="H40" i="26"/>
  <c r="H37" i="26"/>
  <c r="H36" i="26"/>
  <c r="H34" i="26"/>
  <c r="H33" i="26"/>
  <c r="H32" i="26"/>
  <c r="H29" i="26"/>
  <c r="H27" i="26"/>
  <c r="H26" i="26"/>
  <c r="H25" i="26"/>
  <c r="H23" i="26"/>
  <c r="H22" i="26"/>
  <c r="H21" i="26"/>
  <c r="H19" i="26"/>
  <c r="H18" i="26"/>
  <c r="H17" i="26"/>
  <c r="H16" i="26"/>
  <c r="H15" i="26"/>
  <c r="H14" i="26"/>
  <c r="H12" i="26"/>
  <c r="H11" i="26"/>
  <c r="H10" i="26"/>
  <c r="H9" i="26"/>
  <c r="H8" i="26"/>
  <c r="H7" i="26"/>
  <c r="H6" i="26"/>
  <c r="H25" i="27"/>
  <c r="H17" i="27"/>
  <c r="H10" i="27"/>
  <c r="I10" i="27" s="1"/>
  <c r="G18" i="27" s="1"/>
  <c r="H18" i="27" s="1"/>
  <c r="H96" i="25"/>
  <c r="H95" i="25"/>
  <c r="H94" i="25"/>
  <c r="H93" i="25"/>
  <c r="H91" i="25"/>
  <c r="H89" i="25"/>
  <c r="H88" i="25"/>
  <c r="H87" i="25"/>
  <c r="H86" i="25"/>
  <c r="H85" i="25"/>
  <c r="H81" i="25"/>
  <c r="H80" i="25"/>
  <c r="H79" i="25"/>
  <c r="H78" i="25"/>
  <c r="H76" i="25"/>
  <c r="H74" i="25"/>
  <c r="H73" i="25"/>
  <c r="H72" i="25"/>
  <c r="H71" i="25"/>
  <c r="H70" i="25"/>
  <c r="H59" i="25"/>
  <c r="H60" i="25"/>
  <c r="H57" i="25"/>
  <c r="H56" i="25"/>
  <c r="H55" i="25"/>
  <c r="H54" i="25"/>
  <c r="H53" i="25"/>
  <c r="H68" i="25"/>
  <c r="H67" i="25"/>
  <c r="H65" i="25"/>
  <c r="H64" i="25"/>
  <c r="H63" i="25"/>
  <c r="H51" i="25"/>
  <c r="H50" i="25"/>
  <c r="H49" i="25"/>
  <c r="H48" i="25"/>
  <c r="H47" i="25"/>
  <c r="H46" i="25"/>
  <c r="H36" i="25"/>
  <c r="H37" i="25"/>
  <c r="H38" i="25"/>
  <c r="H39" i="25"/>
  <c r="H40" i="25"/>
  <c r="H41" i="25"/>
  <c r="H42" i="25"/>
  <c r="H43" i="25"/>
  <c r="H128" i="25"/>
  <c r="H127" i="25"/>
  <c r="H126" i="25"/>
  <c r="H125" i="25"/>
  <c r="H124" i="25"/>
  <c r="H123" i="25"/>
  <c r="H121" i="25"/>
  <c r="H120" i="25"/>
  <c r="H119" i="25"/>
  <c r="H118" i="25"/>
  <c r="H117" i="25"/>
  <c r="H116" i="25"/>
  <c r="H115" i="25"/>
  <c r="H113" i="25"/>
  <c r="H112" i="25"/>
  <c r="H111" i="25"/>
  <c r="H110" i="25"/>
  <c r="H109" i="25"/>
  <c r="H108" i="25"/>
  <c r="H106" i="25"/>
  <c r="H105" i="25"/>
  <c r="H104" i="25"/>
  <c r="H103" i="25"/>
  <c r="H102" i="25"/>
  <c r="H101" i="25"/>
  <c r="H100" i="25"/>
  <c r="H34" i="25"/>
  <c r="H33" i="25"/>
  <c r="H32" i="25"/>
  <c r="H31" i="25"/>
  <c r="H30" i="25"/>
  <c r="H29" i="25"/>
  <c r="H27" i="25"/>
  <c r="H26" i="25"/>
  <c r="H25" i="25"/>
  <c r="H24" i="25"/>
  <c r="H23" i="25"/>
  <c r="H22" i="25"/>
  <c r="H21" i="25"/>
  <c r="H19" i="25"/>
  <c r="H18" i="25"/>
  <c r="H17" i="25"/>
  <c r="H16" i="25"/>
  <c r="H15" i="25"/>
  <c r="H14" i="25"/>
  <c r="H12" i="25"/>
  <c r="H11" i="25"/>
  <c r="H10" i="25"/>
  <c r="H9" i="25"/>
  <c r="H8" i="25"/>
  <c r="H7" i="25"/>
  <c r="H6" i="25"/>
  <c r="H52" i="28"/>
  <c r="O205" i="4"/>
  <c r="N205" i="4"/>
  <c r="O204" i="4"/>
  <c r="N204" i="4"/>
  <c r="H109" i="19"/>
  <c r="H108" i="19"/>
  <c r="H107" i="19"/>
  <c r="H106" i="19"/>
  <c r="H105" i="19"/>
  <c r="H104" i="19"/>
  <c r="H102" i="19"/>
  <c r="H101" i="19"/>
  <c r="H100" i="19"/>
  <c r="H99" i="19"/>
  <c r="H98" i="19"/>
  <c r="H97" i="19"/>
  <c r="H96" i="19"/>
  <c r="H94" i="19"/>
  <c r="H93" i="19"/>
  <c r="H92" i="19"/>
  <c r="H91" i="19"/>
  <c r="H90" i="19"/>
  <c r="H89" i="19"/>
  <c r="H87" i="19"/>
  <c r="H86" i="19"/>
  <c r="H85" i="19"/>
  <c r="H84" i="19"/>
  <c r="H83" i="19"/>
  <c r="H82" i="19"/>
  <c r="H81" i="19"/>
  <c r="H79" i="19"/>
  <c r="H78" i="19"/>
  <c r="H77" i="19"/>
  <c r="H76" i="19"/>
  <c r="H75" i="19"/>
  <c r="H74" i="19"/>
  <c r="H72" i="19"/>
  <c r="H71" i="19"/>
  <c r="H70" i="19"/>
  <c r="H69" i="19"/>
  <c r="H68" i="19"/>
  <c r="H67" i="19"/>
  <c r="H66" i="19"/>
  <c r="H64" i="19"/>
  <c r="H62" i="19"/>
  <c r="H61" i="19"/>
  <c r="H60" i="19"/>
  <c r="H59" i="19"/>
  <c r="H57" i="19"/>
  <c r="H55" i="19"/>
  <c r="H54" i="19"/>
  <c r="H53" i="19"/>
  <c r="H52" i="19"/>
  <c r="H51" i="19"/>
  <c r="H49" i="19"/>
  <c r="H47" i="19"/>
  <c r="H46" i="19"/>
  <c r="H45" i="19"/>
  <c r="H44" i="19"/>
  <c r="H42" i="19"/>
  <c r="H40" i="19"/>
  <c r="H39" i="19"/>
  <c r="H38" i="19"/>
  <c r="H37" i="19"/>
  <c r="H36" i="19"/>
  <c r="H34" i="19"/>
  <c r="H32" i="19"/>
  <c r="H31" i="19"/>
  <c r="H30" i="19"/>
  <c r="H29" i="19"/>
  <c r="H27" i="19"/>
  <c r="H25" i="19"/>
  <c r="H24" i="19"/>
  <c r="H23" i="19"/>
  <c r="H22" i="19"/>
  <c r="H21" i="19"/>
  <c r="H19" i="19"/>
  <c r="H18" i="19"/>
  <c r="H17" i="19"/>
  <c r="H16" i="19"/>
  <c r="H15" i="19"/>
  <c r="H14" i="19"/>
  <c r="H12" i="19"/>
  <c r="H11" i="19"/>
  <c r="H10" i="19"/>
  <c r="H9" i="19"/>
  <c r="H8" i="19"/>
  <c r="H7" i="19"/>
  <c r="H6" i="19"/>
  <c r="O197" i="4"/>
  <c r="N197" i="4"/>
  <c r="O196" i="4"/>
  <c r="N196" i="4"/>
  <c r="H79" i="24"/>
  <c r="H78" i="24"/>
  <c r="H77" i="24"/>
  <c r="H76" i="24"/>
  <c r="H75" i="24"/>
  <c r="H74" i="24"/>
  <c r="H72" i="24"/>
  <c r="H71" i="24"/>
  <c r="H70" i="24"/>
  <c r="H69" i="24"/>
  <c r="H68" i="24"/>
  <c r="H67" i="24"/>
  <c r="H66" i="24"/>
  <c r="H64" i="24"/>
  <c r="H63" i="24"/>
  <c r="H62" i="24"/>
  <c r="H61" i="24"/>
  <c r="H60" i="24"/>
  <c r="H59" i="24"/>
  <c r="I64" i="24" s="1"/>
  <c r="H57" i="24"/>
  <c r="H56" i="24"/>
  <c r="H55" i="24"/>
  <c r="H54" i="24"/>
  <c r="H53" i="24"/>
  <c r="H52" i="24"/>
  <c r="H51" i="24"/>
  <c r="H49" i="24"/>
  <c r="H48" i="24"/>
  <c r="H47" i="24"/>
  <c r="H46" i="24"/>
  <c r="H45" i="24"/>
  <c r="H44" i="24"/>
  <c r="H42" i="24"/>
  <c r="H41" i="24"/>
  <c r="H40" i="24"/>
  <c r="H39" i="24"/>
  <c r="H38" i="24"/>
  <c r="H37" i="24"/>
  <c r="H36" i="24"/>
  <c r="H34" i="24"/>
  <c r="H33" i="24"/>
  <c r="H32" i="24"/>
  <c r="H31" i="24"/>
  <c r="H30" i="24"/>
  <c r="H29" i="24"/>
  <c r="H27" i="24"/>
  <c r="H26" i="24"/>
  <c r="H25" i="24"/>
  <c r="H24" i="24"/>
  <c r="H23" i="24"/>
  <c r="H22" i="24"/>
  <c r="H21" i="24"/>
  <c r="H19" i="24"/>
  <c r="H18" i="24"/>
  <c r="H17" i="24"/>
  <c r="H16" i="24"/>
  <c r="H15" i="24"/>
  <c r="H14" i="24"/>
  <c r="H12" i="24"/>
  <c r="H11" i="24"/>
  <c r="H10" i="24"/>
  <c r="H9" i="24"/>
  <c r="H8" i="24"/>
  <c r="H7" i="24"/>
  <c r="H6" i="24"/>
  <c r="G42" i="23"/>
  <c r="H42" i="23" s="1"/>
  <c r="G35" i="23"/>
  <c r="H35" i="23" s="1"/>
  <c r="H43" i="23"/>
  <c r="H41" i="23"/>
  <c r="H40" i="23"/>
  <c r="H39" i="23"/>
  <c r="H38" i="23"/>
  <c r="H36" i="23"/>
  <c r="H34" i="23"/>
  <c r="H33" i="23"/>
  <c r="H32" i="23"/>
  <c r="H31" i="23"/>
  <c r="H30" i="23"/>
  <c r="O186" i="4"/>
  <c r="N186" i="4"/>
  <c r="H133" i="22"/>
  <c r="I133" i="22" s="1"/>
  <c r="H124" i="22"/>
  <c r="H122" i="22"/>
  <c r="H121" i="22"/>
  <c r="H120" i="22"/>
  <c r="H119" i="22"/>
  <c r="H117" i="22"/>
  <c r="H115" i="22"/>
  <c r="H114" i="22"/>
  <c r="H113" i="22"/>
  <c r="H112" i="22"/>
  <c r="H111" i="22"/>
  <c r="H109" i="22"/>
  <c r="H107" i="22"/>
  <c r="H106" i="22"/>
  <c r="H105" i="22"/>
  <c r="H104" i="22"/>
  <c r="H102" i="22"/>
  <c r="H100" i="22"/>
  <c r="H99" i="22"/>
  <c r="H98" i="22"/>
  <c r="H97" i="22"/>
  <c r="H96" i="22"/>
  <c r="H94" i="22"/>
  <c r="H92" i="22"/>
  <c r="H91" i="22"/>
  <c r="H90" i="22"/>
  <c r="H89" i="22"/>
  <c r="H87" i="22"/>
  <c r="H85" i="22"/>
  <c r="H84" i="22"/>
  <c r="H83" i="22"/>
  <c r="H82" i="22"/>
  <c r="H81" i="22"/>
  <c r="H64" i="22"/>
  <c r="H62" i="22"/>
  <c r="H61" i="22"/>
  <c r="H60" i="22"/>
  <c r="H59" i="22"/>
  <c r="H57" i="22"/>
  <c r="H55" i="22"/>
  <c r="H54" i="22"/>
  <c r="H53" i="22"/>
  <c r="H52" i="22"/>
  <c r="H51" i="22"/>
  <c r="H49" i="22"/>
  <c r="H47" i="22"/>
  <c r="H46" i="22"/>
  <c r="H45" i="22"/>
  <c r="H44" i="22"/>
  <c r="H42" i="22"/>
  <c r="H40" i="22"/>
  <c r="H39" i="22"/>
  <c r="H38" i="22"/>
  <c r="H37" i="22"/>
  <c r="H36" i="22"/>
  <c r="H151" i="22"/>
  <c r="H150" i="22"/>
  <c r="H149" i="22"/>
  <c r="H148" i="22"/>
  <c r="H147" i="22"/>
  <c r="H146" i="22"/>
  <c r="H144" i="22"/>
  <c r="H143" i="22"/>
  <c r="H142" i="22"/>
  <c r="H141" i="22"/>
  <c r="H140" i="22"/>
  <c r="H139" i="22"/>
  <c r="H138" i="22"/>
  <c r="H79" i="22"/>
  <c r="H78" i="22"/>
  <c r="H77" i="22"/>
  <c r="H76" i="22"/>
  <c r="H75" i="22"/>
  <c r="H74" i="22"/>
  <c r="H72" i="22"/>
  <c r="H71" i="22"/>
  <c r="H70" i="22"/>
  <c r="H69" i="22"/>
  <c r="H68" i="22"/>
  <c r="H67" i="22"/>
  <c r="H66" i="22"/>
  <c r="H34" i="22"/>
  <c r="H32" i="22"/>
  <c r="H31" i="22"/>
  <c r="H30" i="22"/>
  <c r="H29" i="22"/>
  <c r="H27" i="22"/>
  <c r="H25" i="22"/>
  <c r="H24" i="22"/>
  <c r="H23" i="22"/>
  <c r="H22" i="22"/>
  <c r="H21" i="22"/>
  <c r="H19" i="22"/>
  <c r="H18" i="22"/>
  <c r="H17" i="22"/>
  <c r="H16" i="22"/>
  <c r="H15" i="22"/>
  <c r="H14" i="22"/>
  <c r="H12" i="22"/>
  <c r="H11" i="22"/>
  <c r="H10" i="22"/>
  <c r="H9" i="22"/>
  <c r="H8" i="22"/>
  <c r="H7" i="22"/>
  <c r="H6" i="22"/>
  <c r="O176" i="4"/>
  <c r="N176" i="4"/>
  <c r="H55" i="21"/>
  <c r="H54" i="21"/>
  <c r="H53" i="21"/>
  <c r="H52" i="21"/>
  <c r="H51" i="21"/>
  <c r="H50" i="21"/>
  <c r="H48" i="21"/>
  <c r="H47" i="21"/>
  <c r="H46" i="21"/>
  <c r="H45" i="21"/>
  <c r="H44" i="21"/>
  <c r="H43" i="21"/>
  <c r="H42" i="21"/>
  <c r="O170" i="4"/>
  <c r="N170" i="4"/>
  <c r="O168" i="4"/>
  <c r="N168" i="4"/>
  <c r="O167" i="4"/>
  <c r="N167" i="4"/>
  <c r="O166" i="4"/>
  <c r="N166" i="4"/>
  <c r="O165" i="4"/>
  <c r="N165" i="4"/>
  <c r="H102" i="17"/>
  <c r="H101" i="17"/>
  <c r="H100" i="17"/>
  <c r="H99" i="17"/>
  <c r="H98" i="17"/>
  <c r="H97" i="17"/>
  <c r="H95" i="17"/>
  <c r="H94" i="17"/>
  <c r="H93" i="17"/>
  <c r="H92" i="17"/>
  <c r="H91" i="17"/>
  <c r="H90" i="17"/>
  <c r="H89" i="17"/>
  <c r="H87" i="17"/>
  <c r="H86" i="17"/>
  <c r="H85" i="17"/>
  <c r="H84" i="17"/>
  <c r="H83" i="17"/>
  <c r="H82" i="17"/>
  <c r="H80" i="17"/>
  <c r="H79" i="17"/>
  <c r="H78" i="17"/>
  <c r="H77" i="17"/>
  <c r="H76" i="17"/>
  <c r="H75" i="17"/>
  <c r="H74" i="17"/>
  <c r="H64" i="17"/>
  <c r="H63" i="17"/>
  <c r="H62" i="17"/>
  <c r="H61" i="17"/>
  <c r="H60" i="17"/>
  <c r="H59" i="17"/>
  <c r="H57" i="17"/>
  <c r="H56" i="17"/>
  <c r="H55" i="17"/>
  <c r="H54" i="17"/>
  <c r="H53" i="17"/>
  <c r="H52" i="17"/>
  <c r="H51" i="17"/>
  <c r="H49" i="17"/>
  <c r="H48" i="17"/>
  <c r="H47" i="17"/>
  <c r="H46" i="17"/>
  <c r="H45" i="17"/>
  <c r="H44" i="17"/>
  <c r="H42" i="17"/>
  <c r="H41" i="17"/>
  <c r="H40" i="17"/>
  <c r="H39" i="17"/>
  <c r="H38" i="17"/>
  <c r="H37" i="17"/>
  <c r="H36" i="17"/>
  <c r="H34" i="17"/>
  <c r="H33" i="17"/>
  <c r="H32" i="17"/>
  <c r="H31" i="17"/>
  <c r="H30" i="17"/>
  <c r="H29" i="17"/>
  <c r="H27" i="17"/>
  <c r="H26" i="17"/>
  <c r="H25" i="17"/>
  <c r="H24" i="17"/>
  <c r="H23" i="17"/>
  <c r="H22" i="17"/>
  <c r="H21" i="17"/>
  <c r="H19" i="17"/>
  <c r="H18" i="17"/>
  <c r="H17" i="17"/>
  <c r="H16" i="17"/>
  <c r="H15" i="17"/>
  <c r="H14" i="17"/>
  <c r="H12" i="17"/>
  <c r="H11" i="17"/>
  <c r="H10" i="17"/>
  <c r="H9" i="17"/>
  <c r="H8" i="17"/>
  <c r="H7" i="17"/>
  <c r="H6" i="17"/>
  <c r="O149" i="4"/>
  <c r="N149" i="4"/>
  <c r="O148" i="4"/>
  <c r="N148" i="4"/>
  <c r="O147" i="4"/>
  <c r="N147" i="4"/>
  <c r="O146" i="4"/>
  <c r="N146" i="4"/>
  <c r="O145" i="4"/>
  <c r="N145" i="4"/>
  <c r="H79" i="16"/>
  <c r="H78" i="16"/>
  <c r="H77" i="16"/>
  <c r="H76" i="16"/>
  <c r="H75" i="16"/>
  <c r="H74" i="16"/>
  <c r="H72" i="16"/>
  <c r="H71" i="16"/>
  <c r="H70" i="16"/>
  <c r="H69" i="16"/>
  <c r="H68" i="16"/>
  <c r="H67" i="16"/>
  <c r="H66" i="16"/>
  <c r="H64" i="16"/>
  <c r="H63" i="16"/>
  <c r="H62" i="16"/>
  <c r="H61" i="16"/>
  <c r="H60" i="16"/>
  <c r="H59" i="16"/>
  <c r="H57" i="16"/>
  <c r="H56" i="16"/>
  <c r="H55" i="16"/>
  <c r="H54" i="16"/>
  <c r="H53" i="16"/>
  <c r="H52" i="16"/>
  <c r="H51" i="16"/>
  <c r="H49" i="16"/>
  <c r="H48" i="16"/>
  <c r="H47" i="16"/>
  <c r="H46" i="16"/>
  <c r="H45" i="16"/>
  <c r="H44" i="16"/>
  <c r="H42" i="16"/>
  <c r="H41" i="16"/>
  <c r="H40" i="16"/>
  <c r="H39" i="16"/>
  <c r="H38" i="16"/>
  <c r="H37" i="16"/>
  <c r="H36" i="16"/>
  <c r="H34" i="16"/>
  <c r="H33" i="16"/>
  <c r="H32" i="16"/>
  <c r="H31" i="16"/>
  <c r="H30" i="16"/>
  <c r="H29" i="16"/>
  <c r="H27" i="16"/>
  <c r="H26" i="16"/>
  <c r="H25" i="16"/>
  <c r="H24" i="16"/>
  <c r="H23" i="16"/>
  <c r="H22" i="16"/>
  <c r="H21" i="16"/>
  <c r="H19" i="16"/>
  <c r="H18" i="16"/>
  <c r="H17" i="16"/>
  <c r="H16" i="16"/>
  <c r="H15" i="16"/>
  <c r="H14" i="16"/>
  <c r="H12" i="16"/>
  <c r="H11" i="16"/>
  <c r="H10" i="16"/>
  <c r="H9" i="16"/>
  <c r="H8" i="16"/>
  <c r="H7" i="16"/>
  <c r="H6" i="16"/>
  <c r="O143" i="4"/>
  <c r="N143" i="4"/>
  <c r="O142" i="4"/>
  <c r="N142" i="4"/>
  <c r="O141" i="4"/>
  <c r="N141" i="4"/>
  <c r="O140" i="4"/>
  <c r="N140" i="4"/>
  <c r="O139" i="4"/>
  <c r="N139" i="4"/>
  <c r="O138" i="4"/>
  <c r="N138" i="4"/>
  <c r="N137" i="4"/>
  <c r="O137" i="4"/>
  <c r="O136" i="4"/>
  <c r="N136" i="4"/>
  <c r="O135" i="4"/>
  <c r="N135" i="4"/>
  <c r="O134" i="4"/>
  <c r="N134" i="4"/>
  <c r="O133" i="4"/>
  <c r="N133" i="4"/>
  <c r="O132" i="4"/>
  <c r="N132" i="4"/>
  <c r="C178" i="15"/>
  <c r="B178" i="15"/>
  <c r="C163" i="15"/>
  <c r="B163" i="15"/>
  <c r="C147" i="15"/>
  <c r="B147" i="15"/>
  <c r="C132" i="15"/>
  <c r="B132" i="15"/>
  <c r="C116" i="15"/>
  <c r="B116" i="15"/>
  <c r="C84" i="15"/>
  <c r="C100" i="15"/>
  <c r="B100" i="15"/>
  <c r="B84" i="15"/>
  <c r="C69" i="15"/>
  <c r="B69" i="15"/>
  <c r="C53" i="15"/>
  <c r="B53" i="15"/>
  <c r="C37" i="15"/>
  <c r="B37" i="15"/>
  <c r="C21" i="15"/>
  <c r="B21" i="15"/>
  <c r="C6" i="15"/>
  <c r="B6" i="15"/>
  <c r="H191" i="15"/>
  <c r="H190" i="15"/>
  <c r="H189" i="15"/>
  <c r="H188" i="15"/>
  <c r="H185" i="15"/>
  <c r="H184" i="15"/>
  <c r="H182" i="15"/>
  <c r="H181" i="15"/>
  <c r="H180" i="15"/>
  <c r="H179" i="15"/>
  <c r="H176" i="15"/>
  <c r="H175" i="15"/>
  <c r="H174" i="15"/>
  <c r="H173" i="15"/>
  <c r="H172" i="15"/>
  <c r="H171" i="15"/>
  <c r="H169" i="15"/>
  <c r="H168" i="15"/>
  <c r="H167" i="15"/>
  <c r="H166" i="15"/>
  <c r="H165" i="15"/>
  <c r="H164" i="15"/>
  <c r="H163" i="15"/>
  <c r="H160" i="15"/>
  <c r="H159" i="15"/>
  <c r="H158" i="15"/>
  <c r="H157" i="15"/>
  <c r="H154" i="15"/>
  <c r="H153" i="15"/>
  <c r="H151" i="15"/>
  <c r="H150" i="15"/>
  <c r="H149" i="15"/>
  <c r="H148" i="15"/>
  <c r="H145" i="15"/>
  <c r="H144" i="15"/>
  <c r="H143" i="15"/>
  <c r="H142" i="15"/>
  <c r="H141" i="15"/>
  <c r="H140" i="15"/>
  <c r="H138" i="15"/>
  <c r="H137" i="15"/>
  <c r="H136" i="15"/>
  <c r="H135" i="15"/>
  <c r="H134" i="15"/>
  <c r="H133" i="15"/>
  <c r="H132" i="15"/>
  <c r="H129" i="15"/>
  <c r="H128" i="15"/>
  <c r="H127" i="15"/>
  <c r="H126" i="15"/>
  <c r="H123" i="15"/>
  <c r="H122" i="15"/>
  <c r="H120" i="15"/>
  <c r="H119" i="15"/>
  <c r="H118" i="15"/>
  <c r="H117" i="15"/>
  <c r="H113" i="15"/>
  <c r="H112" i="15"/>
  <c r="H111" i="15"/>
  <c r="H110" i="15"/>
  <c r="H107" i="15"/>
  <c r="H106" i="15"/>
  <c r="H104" i="15"/>
  <c r="H103" i="15"/>
  <c r="H102" i="15"/>
  <c r="H101" i="15"/>
  <c r="H97" i="15"/>
  <c r="H96" i="15"/>
  <c r="H95" i="15"/>
  <c r="H94" i="15"/>
  <c r="H91" i="15"/>
  <c r="H90" i="15"/>
  <c r="H88" i="15"/>
  <c r="H87" i="15"/>
  <c r="H86" i="15"/>
  <c r="H85" i="15"/>
  <c r="H82" i="15"/>
  <c r="H81" i="15"/>
  <c r="H80" i="15"/>
  <c r="H79" i="15"/>
  <c r="H78" i="15"/>
  <c r="H77" i="15"/>
  <c r="H75" i="15"/>
  <c r="H74" i="15"/>
  <c r="H73" i="15"/>
  <c r="H72" i="15"/>
  <c r="H71" i="15"/>
  <c r="H70" i="15"/>
  <c r="H69" i="15"/>
  <c r="H66" i="15"/>
  <c r="H65" i="15"/>
  <c r="H64" i="15"/>
  <c r="H63" i="15"/>
  <c r="H60" i="15"/>
  <c r="H59" i="15"/>
  <c r="H57" i="15"/>
  <c r="H56" i="15"/>
  <c r="H55" i="15"/>
  <c r="H54" i="15"/>
  <c r="H50" i="15"/>
  <c r="H49" i="15"/>
  <c r="H48" i="15"/>
  <c r="H47" i="15"/>
  <c r="H44" i="15"/>
  <c r="H43" i="15"/>
  <c r="H41" i="15"/>
  <c r="H40" i="15"/>
  <c r="H39" i="15"/>
  <c r="H38" i="15"/>
  <c r="H34" i="15"/>
  <c r="H33" i="15"/>
  <c r="H32" i="15"/>
  <c r="H31" i="15"/>
  <c r="H28" i="15"/>
  <c r="H27" i="15"/>
  <c r="H25" i="15"/>
  <c r="H24" i="15"/>
  <c r="H23" i="15"/>
  <c r="H22" i="15"/>
  <c r="H19" i="15"/>
  <c r="H18" i="15"/>
  <c r="H17" i="15"/>
  <c r="H16" i="15"/>
  <c r="H15" i="15"/>
  <c r="H14" i="15"/>
  <c r="H12" i="15"/>
  <c r="H11" i="15"/>
  <c r="H10" i="15"/>
  <c r="H9" i="15"/>
  <c r="H8" i="15"/>
  <c r="H7" i="15"/>
  <c r="H6" i="15"/>
  <c r="B124" i="13"/>
  <c r="N163" i="4"/>
  <c r="O163" i="4"/>
  <c r="O162" i="4"/>
  <c r="N162" i="4"/>
  <c r="N161" i="4"/>
  <c r="O161" i="4"/>
  <c r="N160" i="4"/>
  <c r="O160" i="4"/>
  <c r="O159" i="4"/>
  <c r="N159" i="4"/>
  <c r="N158" i="4"/>
  <c r="O158" i="4"/>
  <c r="O157" i="4"/>
  <c r="N157" i="4"/>
  <c r="N156" i="4"/>
  <c r="O156" i="4"/>
  <c r="O155" i="4"/>
  <c r="N155" i="4"/>
  <c r="O154" i="4"/>
  <c r="N154" i="4"/>
  <c r="O153" i="4"/>
  <c r="N153" i="4"/>
  <c r="O152" i="4"/>
  <c r="N152" i="4"/>
  <c r="O151" i="4"/>
  <c r="N151" i="4"/>
  <c r="C177" i="20"/>
  <c r="B177" i="20"/>
  <c r="C163" i="20"/>
  <c r="B163" i="20"/>
  <c r="C149" i="20"/>
  <c r="B149" i="20"/>
  <c r="C135" i="20"/>
  <c r="B135" i="20"/>
  <c r="C120" i="20"/>
  <c r="B120" i="20"/>
  <c r="C106" i="20"/>
  <c r="B106" i="20"/>
  <c r="C92" i="20"/>
  <c r="B92" i="20"/>
  <c r="B78" i="20"/>
  <c r="C78" i="20"/>
  <c r="C64" i="20"/>
  <c r="B64" i="20"/>
  <c r="B50" i="20"/>
  <c r="C36" i="20"/>
  <c r="B36" i="20"/>
  <c r="C21" i="20"/>
  <c r="B21" i="20"/>
  <c r="C6" i="20"/>
  <c r="B6" i="20"/>
  <c r="H190" i="20"/>
  <c r="H189" i="20"/>
  <c r="H188" i="20"/>
  <c r="H187" i="20"/>
  <c r="H186" i="20"/>
  <c r="H185" i="20"/>
  <c r="H183" i="20"/>
  <c r="H182" i="20"/>
  <c r="H181" i="20"/>
  <c r="H180" i="20"/>
  <c r="H179" i="20"/>
  <c r="H178" i="20"/>
  <c r="H177" i="20"/>
  <c r="H176" i="20"/>
  <c r="H175" i="20"/>
  <c r="H174" i="20"/>
  <c r="H173" i="20"/>
  <c r="H172" i="20"/>
  <c r="H171" i="20"/>
  <c r="H169" i="20"/>
  <c r="H168" i="20"/>
  <c r="H167" i="20"/>
  <c r="H166" i="20"/>
  <c r="H165" i="20"/>
  <c r="H164" i="20"/>
  <c r="H163" i="20"/>
  <c r="H162" i="20"/>
  <c r="H161" i="20"/>
  <c r="H160" i="20"/>
  <c r="H159" i="20"/>
  <c r="H158" i="20"/>
  <c r="H157" i="20"/>
  <c r="H155" i="20"/>
  <c r="H154" i="20"/>
  <c r="H153" i="20"/>
  <c r="H152" i="20"/>
  <c r="H151" i="20"/>
  <c r="H150" i="20"/>
  <c r="H149" i="20"/>
  <c r="H148" i="20"/>
  <c r="H147" i="20"/>
  <c r="H146" i="20"/>
  <c r="H145" i="20"/>
  <c r="H144" i="20"/>
  <c r="H143" i="20"/>
  <c r="H141" i="20"/>
  <c r="H140" i="20"/>
  <c r="H139" i="20"/>
  <c r="H138" i="20"/>
  <c r="H137" i="20"/>
  <c r="H136" i="20"/>
  <c r="H135" i="20"/>
  <c r="H133" i="20"/>
  <c r="H132" i="20"/>
  <c r="H131" i="20"/>
  <c r="H130" i="20"/>
  <c r="H129" i="20"/>
  <c r="H128" i="20"/>
  <c r="H126" i="20"/>
  <c r="H125" i="20"/>
  <c r="H124" i="20"/>
  <c r="H123" i="20"/>
  <c r="H122" i="20"/>
  <c r="H121" i="20"/>
  <c r="H120" i="20"/>
  <c r="H119" i="20"/>
  <c r="H118" i="20"/>
  <c r="H117" i="20"/>
  <c r="H116" i="20"/>
  <c r="H115" i="20"/>
  <c r="H114" i="20"/>
  <c r="H112" i="20"/>
  <c r="H111" i="20"/>
  <c r="H110" i="20"/>
  <c r="H109" i="20"/>
  <c r="H108" i="20"/>
  <c r="H107" i="20"/>
  <c r="H106" i="20"/>
  <c r="H105" i="20"/>
  <c r="H104" i="20"/>
  <c r="H103" i="20"/>
  <c r="H102" i="20"/>
  <c r="H101" i="20"/>
  <c r="H100" i="20"/>
  <c r="H98" i="20"/>
  <c r="H97" i="20"/>
  <c r="H96" i="20"/>
  <c r="H95" i="20"/>
  <c r="H94" i="20"/>
  <c r="H93" i="20"/>
  <c r="H92" i="20"/>
  <c r="H91" i="20"/>
  <c r="H90" i="20"/>
  <c r="H89" i="20"/>
  <c r="H88" i="20"/>
  <c r="H87" i="20"/>
  <c r="H86" i="20"/>
  <c r="H84" i="20"/>
  <c r="H83" i="20"/>
  <c r="H82" i="20"/>
  <c r="H81" i="20"/>
  <c r="H80" i="20"/>
  <c r="H79" i="20"/>
  <c r="H78" i="20"/>
  <c r="H77" i="20"/>
  <c r="H76" i="20"/>
  <c r="H75" i="20"/>
  <c r="H74" i="20"/>
  <c r="H73" i="20"/>
  <c r="H72" i="20"/>
  <c r="H70" i="20"/>
  <c r="H69" i="20"/>
  <c r="H68" i="20"/>
  <c r="H67" i="20"/>
  <c r="H66" i="20"/>
  <c r="H65" i="20"/>
  <c r="H64" i="20"/>
  <c r="H63" i="20"/>
  <c r="H62" i="20"/>
  <c r="H61" i="20"/>
  <c r="H60" i="20"/>
  <c r="H59" i="20"/>
  <c r="H58" i="20"/>
  <c r="H56" i="20"/>
  <c r="H55" i="20"/>
  <c r="H54" i="20"/>
  <c r="H53" i="20"/>
  <c r="H52" i="20"/>
  <c r="H51" i="20"/>
  <c r="H50" i="20"/>
  <c r="H49" i="20"/>
  <c r="H48" i="20"/>
  <c r="H47" i="20"/>
  <c r="H46" i="20"/>
  <c r="H45" i="20"/>
  <c r="H44" i="20"/>
  <c r="H42" i="20"/>
  <c r="H41" i="20"/>
  <c r="H40" i="20"/>
  <c r="H39" i="20"/>
  <c r="H38" i="20"/>
  <c r="H37" i="20"/>
  <c r="H36" i="20"/>
  <c r="H34" i="20"/>
  <c r="H33" i="20"/>
  <c r="H32" i="20"/>
  <c r="H31" i="20"/>
  <c r="H30" i="20"/>
  <c r="H29" i="20"/>
  <c r="H27" i="20"/>
  <c r="H26" i="20"/>
  <c r="H25" i="20"/>
  <c r="H24" i="20"/>
  <c r="H23" i="20"/>
  <c r="H22" i="20"/>
  <c r="H21" i="20"/>
  <c r="Q81" i="4"/>
  <c r="P81" i="4"/>
  <c r="Q80" i="4"/>
  <c r="P80" i="4"/>
  <c r="Q79" i="4"/>
  <c r="P79" i="4"/>
  <c r="Q78" i="4"/>
  <c r="P78" i="4"/>
  <c r="Q77" i="4"/>
  <c r="P77" i="4"/>
  <c r="Q76" i="4"/>
  <c r="P76" i="4"/>
  <c r="Q75" i="4"/>
  <c r="P75" i="4"/>
  <c r="Q74" i="4"/>
  <c r="P74" i="4"/>
  <c r="Q73" i="4"/>
  <c r="P73" i="4"/>
  <c r="Q72" i="4"/>
  <c r="P72" i="4"/>
  <c r="Q71" i="4"/>
  <c r="P71" i="4"/>
  <c r="Q70" i="4"/>
  <c r="P70" i="4"/>
  <c r="Q69" i="4"/>
  <c r="P69" i="4"/>
  <c r="Q68" i="4"/>
  <c r="P68" i="4"/>
  <c r="Q67" i="4"/>
  <c r="P67" i="4"/>
  <c r="Q66" i="4"/>
  <c r="P66" i="4"/>
  <c r="Q65" i="4"/>
  <c r="P65" i="4"/>
  <c r="Q64" i="4"/>
  <c r="P64" i="4"/>
  <c r="Q63" i="4"/>
  <c r="P63" i="4"/>
  <c r="Q62" i="4"/>
  <c r="P62" i="4"/>
  <c r="Q61" i="4"/>
  <c r="P61" i="4"/>
  <c r="Q60" i="4"/>
  <c r="P60" i="4"/>
  <c r="Q59" i="4"/>
  <c r="P59" i="4"/>
  <c r="Q58" i="4"/>
  <c r="P58" i="4"/>
  <c r="Q57" i="4"/>
  <c r="P57" i="4"/>
  <c r="Q56" i="4"/>
  <c r="P56" i="4"/>
  <c r="Q55" i="4"/>
  <c r="P55" i="4"/>
  <c r="Q54" i="4"/>
  <c r="P54" i="4"/>
  <c r="Q53" i="4"/>
  <c r="P53" i="4"/>
  <c r="Q52" i="4"/>
  <c r="P52" i="4"/>
  <c r="Q51" i="4"/>
  <c r="P51" i="4"/>
  <c r="Q50" i="4"/>
  <c r="P50" i="4"/>
  <c r="Q49" i="4"/>
  <c r="P49" i="4"/>
  <c r="Q48" i="4"/>
  <c r="P48" i="4"/>
  <c r="Q47" i="4"/>
  <c r="P47" i="4"/>
  <c r="Q46" i="4"/>
  <c r="P46" i="4"/>
  <c r="Q45" i="4"/>
  <c r="P45" i="4"/>
  <c r="Q44" i="4"/>
  <c r="P44" i="4"/>
  <c r="Q43" i="4"/>
  <c r="P43" i="4"/>
  <c r="Q42" i="4"/>
  <c r="P42" i="4"/>
  <c r="Q41" i="4"/>
  <c r="P41" i="4"/>
  <c r="Q40" i="4"/>
  <c r="P40" i="4"/>
  <c r="Q39" i="4"/>
  <c r="P39" i="4"/>
  <c r="Q38" i="4"/>
  <c r="P38" i="4"/>
  <c r="Q37" i="4"/>
  <c r="P37" i="4"/>
  <c r="Q36" i="4"/>
  <c r="P36" i="4"/>
  <c r="Q35" i="4"/>
  <c r="P35" i="4"/>
  <c r="Q34" i="4"/>
  <c r="P34" i="4"/>
  <c r="Q33" i="4"/>
  <c r="P33" i="4"/>
  <c r="K81" i="4"/>
  <c r="K80" i="4"/>
  <c r="K79" i="4"/>
  <c r="K76" i="4"/>
  <c r="K75" i="4"/>
  <c r="K74" i="4"/>
  <c r="K73" i="4"/>
  <c r="K72" i="4"/>
  <c r="K71" i="4"/>
  <c r="K69" i="4"/>
  <c r="K68" i="4"/>
  <c r="K67" i="4"/>
  <c r="K66" i="4"/>
  <c r="K64" i="4"/>
  <c r="K63" i="4"/>
  <c r="K62" i="4"/>
  <c r="K60" i="4"/>
  <c r="K59" i="4"/>
  <c r="K58" i="4"/>
  <c r="K57" i="4"/>
  <c r="K56" i="4"/>
  <c r="K55" i="4"/>
  <c r="K54" i="4"/>
  <c r="K52" i="4"/>
  <c r="K51" i="4"/>
  <c r="K50" i="4"/>
  <c r="K49" i="4"/>
  <c r="K48" i="4"/>
  <c r="K46" i="4"/>
  <c r="K45" i="4"/>
  <c r="K44" i="4"/>
  <c r="K43" i="4"/>
  <c r="K42" i="4"/>
  <c r="K41" i="4"/>
  <c r="K39" i="4"/>
  <c r="K38" i="4"/>
  <c r="K37" i="4"/>
  <c r="K36" i="4"/>
  <c r="K35" i="4"/>
  <c r="K34" i="4"/>
  <c r="G41" i="1"/>
  <c r="H41" i="1"/>
  <c r="I41" i="1"/>
  <c r="J41" i="1"/>
  <c r="K41" i="1"/>
  <c r="L41" i="1"/>
  <c r="M41" i="1"/>
  <c r="N41" i="1"/>
  <c r="F15" i="1"/>
  <c r="F14" i="1"/>
  <c r="E15" i="1"/>
  <c r="E14" i="1"/>
  <c r="D15" i="1"/>
  <c r="D14" i="1"/>
  <c r="B34" i="1"/>
  <c r="B28" i="1"/>
  <c r="B27" i="1"/>
  <c r="B26" i="1"/>
  <c r="B25" i="1"/>
  <c r="B17" i="1"/>
  <c r="C15" i="1"/>
  <c r="C14" i="1"/>
  <c r="J46" i="3"/>
  <c r="H19" i="20"/>
  <c r="H18" i="20"/>
  <c r="H17" i="20"/>
  <c r="H16" i="20"/>
  <c r="H15" i="20"/>
  <c r="H14" i="20"/>
  <c r="H12" i="20"/>
  <c r="H11" i="20"/>
  <c r="H10" i="20"/>
  <c r="H9" i="20"/>
  <c r="H8" i="20"/>
  <c r="H7" i="20"/>
  <c r="H6" i="20"/>
  <c r="G95" i="13"/>
  <c r="G61" i="13"/>
  <c r="G27" i="13"/>
  <c r="O126" i="4"/>
  <c r="N126" i="4"/>
  <c r="N127" i="4"/>
  <c r="O127" i="4"/>
  <c r="O125" i="4"/>
  <c r="N125" i="4"/>
  <c r="O124" i="4"/>
  <c r="O123" i="4"/>
  <c r="N123" i="4"/>
  <c r="C124" i="13"/>
  <c r="C106" i="13"/>
  <c r="C89" i="13"/>
  <c r="C72" i="13"/>
  <c r="C55" i="13"/>
  <c r="C38" i="13"/>
  <c r="C22" i="13"/>
  <c r="C6" i="13"/>
  <c r="B106" i="13"/>
  <c r="B89" i="13"/>
  <c r="B72" i="13"/>
  <c r="B55" i="13"/>
  <c r="B38" i="13"/>
  <c r="B22" i="13"/>
  <c r="B6" i="13"/>
  <c r="H139" i="13"/>
  <c r="H138" i="13"/>
  <c r="H137" i="13"/>
  <c r="H136" i="13"/>
  <c r="H133" i="13"/>
  <c r="H132" i="13"/>
  <c r="H130" i="13"/>
  <c r="H129" i="13"/>
  <c r="H128" i="13"/>
  <c r="H127" i="13"/>
  <c r="H121" i="13"/>
  <c r="H120" i="13"/>
  <c r="H119" i="13"/>
  <c r="H118" i="13"/>
  <c r="H115" i="13"/>
  <c r="H114" i="13"/>
  <c r="H112" i="13"/>
  <c r="H111" i="13"/>
  <c r="H110" i="13"/>
  <c r="H109" i="13"/>
  <c r="H103" i="13"/>
  <c r="H102" i="13"/>
  <c r="H101" i="13"/>
  <c r="H100" i="13"/>
  <c r="H97" i="13"/>
  <c r="H96" i="13"/>
  <c r="H94" i="13"/>
  <c r="H93" i="13"/>
  <c r="H92" i="13"/>
  <c r="H91" i="13"/>
  <c r="H87" i="13"/>
  <c r="H86" i="13"/>
  <c r="H85" i="13"/>
  <c r="H84" i="13"/>
  <c r="H83" i="13"/>
  <c r="H82" i="13"/>
  <c r="H80" i="13"/>
  <c r="H79" i="13"/>
  <c r="H78" i="13"/>
  <c r="H77" i="13"/>
  <c r="H76" i="13"/>
  <c r="H75" i="13"/>
  <c r="H74" i="13"/>
  <c r="H69" i="13"/>
  <c r="H68" i="13"/>
  <c r="H67" i="13"/>
  <c r="H66" i="13"/>
  <c r="H63" i="13"/>
  <c r="H62" i="13"/>
  <c r="H60" i="13"/>
  <c r="H59" i="13"/>
  <c r="H58" i="13"/>
  <c r="H57" i="13"/>
  <c r="H53" i="13"/>
  <c r="H52" i="13"/>
  <c r="H51" i="13"/>
  <c r="H50" i="13"/>
  <c r="H49" i="13"/>
  <c r="H48" i="13"/>
  <c r="H46" i="13"/>
  <c r="H45" i="13"/>
  <c r="H44" i="13"/>
  <c r="H43" i="13"/>
  <c r="H42" i="13"/>
  <c r="H41" i="13"/>
  <c r="H40" i="13"/>
  <c r="H35" i="13"/>
  <c r="H34" i="13"/>
  <c r="H33" i="13"/>
  <c r="H32" i="13"/>
  <c r="H29" i="13"/>
  <c r="H28" i="13"/>
  <c r="H26" i="13"/>
  <c r="H25" i="13"/>
  <c r="H24" i="13"/>
  <c r="H23" i="13"/>
  <c r="H20" i="13"/>
  <c r="H19" i="13"/>
  <c r="H18" i="13"/>
  <c r="H17" i="13"/>
  <c r="H16" i="13"/>
  <c r="H15" i="13"/>
  <c r="H13" i="13"/>
  <c r="H12" i="13"/>
  <c r="H11" i="13"/>
  <c r="H10" i="13"/>
  <c r="H9" i="13"/>
  <c r="H8" i="13"/>
  <c r="H7" i="13"/>
  <c r="O120" i="4"/>
  <c r="N120" i="4"/>
  <c r="O121" i="4"/>
  <c r="N121" i="4"/>
  <c r="O119" i="4"/>
  <c r="N119" i="4"/>
  <c r="O118" i="4"/>
  <c r="N118" i="4"/>
  <c r="O117" i="4"/>
  <c r="N117" i="4"/>
  <c r="O116" i="4"/>
  <c r="N116" i="4"/>
  <c r="H100" i="14"/>
  <c r="H99" i="14"/>
  <c r="H98" i="14"/>
  <c r="H97" i="14"/>
  <c r="H96" i="14"/>
  <c r="H95" i="14"/>
  <c r="H93" i="14"/>
  <c r="H92" i="14"/>
  <c r="H91" i="14"/>
  <c r="H90" i="14"/>
  <c r="H89" i="14"/>
  <c r="H88" i="14"/>
  <c r="H87" i="14"/>
  <c r="I93" i="14" s="1"/>
  <c r="H85" i="14"/>
  <c r="H83" i="14"/>
  <c r="H82" i="14"/>
  <c r="H81" i="14"/>
  <c r="H80" i="14"/>
  <c r="H77" i="14"/>
  <c r="H75" i="14"/>
  <c r="H74" i="14"/>
  <c r="H73" i="14"/>
  <c r="H72" i="14"/>
  <c r="H57" i="14"/>
  <c r="H58" i="14"/>
  <c r="H59" i="14"/>
  <c r="H56" i="14"/>
  <c r="H69" i="14"/>
  <c r="H67" i="14"/>
  <c r="H66" i="14"/>
  <c r="H65" i="14"/>
  <c r="H64" i="14"/>
  <c r="H61" i="14"/>
  <c r="B55" i="14"/>
  <c r="H39" i="14"/>
  <c r="H40" i="14"/>
  <c r="H41" i="14"/>
  <c r="H43" i="14"/>
  <c r="H38" i="14"/>
  <c r="H53" i="14"/>
  <c r="H50" i="14"/>
  <c r="H49" i="14"/>
  <c r="H48" i="14"/>
  <c r="H47" i="14"/>
  <c r="H44" i="14"/>
  <c r="C21" i="14"/>
  <c r="H27" i="14"/>
  <c r="H23" i="14"/>
  <c r="H24" i="14"/>
  <c r="H25" i="14"/>
  <c r="H34" i="14"/>
  <c r="H33" i="14"/>
  <c r="H32" i="14"/>
  <c r="H31" i="14"/>
  <c r="H28" i="14"/>
  <c r="H22" i="14"/>
  <c r="H19" i="14"/>
  <c r="H18" i="14"/>
  <c r="H17" i="14"/>
  <c r="H16" i="14"/>
  <c r="H15" i="14"/>
  <c r="H14" i="14"/>
  <c r="H12" i="14"/>
  <c r="H11" i="14"/>
  <c r="H10" i="14"/>
  <c r="H9" i="14"/>
  <c r="H8" i="14"/>
  <c r="H7" i="14"/>
  <c r="H6" i="14"/>
  <c r="C87" i="14"/>
  <c r="C71" i="14"/>
  <c r="C55" i="14"/>
  <c r="C37" i="14"/>
  <c r="C6" i="14"/>
  <c r="B87" i="14"/>
  <c r="B71" i="14"/>
  <c r="B37" i="14"/>
  <c r="B21" i="14"/>
  <c r="B6" i="14"/>
  <c r="O114" i="4"/>
  <c r="N114" i="4"/>
  <c r="O113" i="4"/>
  <c r="N113" i="4"/>
  <c r="O112" i="4"/>
  <c r="N112" i="4"/>
  <c r="O111" i="4"/>
  <c r="N111" i="4"/>
  <c r="O110" i="4"/>
  <c r="N110" i="4"/>
  <c r="O109" i="4"/>
  <c r="N109" i="4"/>
  <c r="O108" i="4"/>
  <c r="N108" i="4"/>
  <c r="O107" i="4"/>
  <c r="N107" i="4"/>
  <c r="O106" i="4"/>
  <c r="N106" i="4"/>
  <c r="C142" i="12"/>
  <c r="B142" i="12"/>
  <c r="C126" i="12"/>
  <c r="B126" i="12"/>
  <c r="C108" i="12"/>
  <c r="B108" i="12"/>
  <c r="C90" i="12"/>
  <c r="B90" i="12"/>
  <c r="C74" i="12"/>
  <c r="B74" i="12"/>
  <c r="C58" i="12"/>
  <c r="B58" i="12"/>
  <c r="C39" i="12"/>
  <c r="B39" i="12"/>
  <c r="C20" i="12"/>
  <c r="B20" i="12"/>
  <c r="C6" i="12"/>
  <c r="B6" i="12"/>
  <c r="H158" i="12"/>
  <c r="G156" i="12"/>
  <c r="H156" i="12" s="1"/>
  <c r="H155" i="12"/>
  <c r="H154" i="12"/>
  <c r="H153" i="12"/>
  <c r="H152" i="12"/>
  <c r="I158" i="12" s="1"/>
  <c r="H149" i="12"/>
  <c r="G147" i="12"/>
  <c r="H147" i="12" s="1"/>
  <c r="H146" i="12"/>
  <c r="H145" i="12"/>
  <c r="H144" i="12"/>
  <c r="H143" i="12"/>
  <c r="I149" i="12" s="1"/>
  <c r="H140" i="12"/>
  <c r="H139" i="12"/>
  <c r="H138" i="12"/>
  <c r="H137" i="12"/>
  <c r="H136" i="12"/>
  <c r="H135" i="12"/>
  <c r="H134" i="12"/>
  <c r="H132" i="12"/>
  <c r="H131" i="12"/>
  <c r="H130" i="12"/>
  <c r="H129" i="12"/>
  <c r="H128" i="12"/>
  <c r="H127" i="12"/>
  <c r="H126" i="12"/>
  <c r="H92" i="12"/>
  <c r="H93" i="12"/>
  <c r="H94" i="12"/>
  <c r="H110" i="12"/>
  <c r="H111" i="12"/>
  <c r="H112" i="12"/>
  <c r="H124" i="12"/>
  <c r="H121" i="12"/>
  <c r="H120" i="12"/>
  <c r="H119" i="12"/>
  <c r="H118" i="12"/>
  <c r="H115" i="12"/>
  <c r="H109" i="12"/>
  <c r="H101" i="12"/>
  <c r="H102" i="12"/>
  <c r="H31" i="12"/>
  <c r="H32" i="12"/>
  <c r="H33" i="12"/>
  <c r="H50" i="12"/>
  <c r="H51" i="12"/>
  <c r="H52" i="12"/>
  <c r="H68" i="12"/>
  <c r="H69" i="12"/>
  <c r="H70" i="12"/>
  <c r="H106" i="12"/>
  <c r="H103" i="12"/>
  <c r="H100" i="12"/>
  <c r="H97" i="12"/>
  <c r="H91" i="12"/>
  <c r="H82" i="12"/>
  <c r="H88" i="12"/>
  <c r="H87" i="12"/>
  <c r="H86" i="12"/>
  <c r="H85" i="12"/>
  <c r="H84" i="12"/>
  <c r="H83" i="12"/>
  <c r="H80" i="12"/>
  <c r="H79" i="12"/>
  <c r="H78" i="12"/>
  <c r="H77" i="12"/>
  <c r="H76" i="12"/>
  <c r="H75" i="12"/>
  <c r="H74" i="12"/>
  <c r="H72" i="12"/>
  <c r="H67" i="12"/>
  <c r="H55" i="12"/>
  <c r="H49" i="12"/>
  <c r="H36" i="12"/>
  <c r="H30" i="12"/>
  <c r="H18" i="12"/>
  <c r="H17" i="12"/>
  <c r="H16" i="12"/>
  <c r="H15" i="12"/>
  <c r="H14" i="12"/>
  <c r="H11" i="12"/>
  <c r="H10" i="12"/>
  <c r="H9" i="12"/>
  <c r="H8" i="12"/>
  <c r="H7" i="12"/>
  <c r="H6" i="12"/>
  <c r="H12" i="12"/>
  <c r="H19" i="12"/>
  <c r="O100" i="4"/>
  <c r="N100" i="4"/>
  <c r="G88" i="11"/>
  <c r="G71" i="11"/>
  <c r="G77" i="11"/>
  <c r="H78" i="11"/>
  <c r="O98" i="4"/>
  <c r="N98" i="4"/>
  <c r="O97" i="4"/>
  <c r="N97" i="4"/>
  <c r="O96" i="4"/>
  <c r="N96" i="4"/>
  <c r="O95" i="4"/>
  <c r="N95" i="4"/>
  <c r="O94" i="4"/>
  <c r="N94" i="4"/>
  <c r="O93" i="4"/>
  <c r="N93" i="4"/>
  <c r="I89" i="11"/>
  <c r="H89" i="11"/>
  <c r="H84" i="11"/>
  <c r="H82" i="11"/>
  <c r="H81" i="11"/>
  <c r="H76" i="11"/>
  <c r="H75" i="11"/>
  <c r="H73" i="11"/>
  <c r="H70" i="11"/>
  <c r="H69" i="11"/>
  <c r="H67" i="11"/>
  <c r="H65" i="11"/>
  <c r="H64" i="11"/>
  <c r="I67" i="11" s="1"/>
  <c r="H62" i="11"/>
  <c r="H60" i="11"/>
  <c r="H59" i="11"/>
  <c r="H57" i="11"/>
  <c r="H56" i="11"/>
  <c r="H55" i="11"/>
  <c r="H54" i="11"/>
  <c r="I57" i="11" s="1"/>
  <c r="H52" i="11"/>
  <c r="H51" i="11"/>
  <c r="H50" i="11"/>
  <c r="H49" i="11"/>
  <c r="H48" i="11"/>
  <c r="I52" i="11" s="1"/>
  <c r="C38" i="11"/>
  <c r="H42" i="11"/>
  <c r="H40" i="11"/>
  <c r="H39" i="11"/>
  <c r="H37" i="11"/>
  <c r="H34" i="11"/>
  <c r="H33" i="11"/>
  <c r="H23" i="11"/>
  <c r="H22" i="11"/>
  <c r="H14" i="11"/>
  <c r="H13" i="11"/>
  <c r="H12" i="11"/>
  <c r="H15" i="11"/>
  <c r="H28" i="11"/>
  <c r="H27" i="11"/>
  <c r="H18" i="11"/>
  <c r="H17" i="11"/>
  <c r="H6" i="11"/>
  <c r="H7" i="11"/>
  <c r="H8" i="11"/>
  <c r="H9" i="11"/>
  <c r="G130" i="8"/>
  <c r="N90" i="4"/>
  <c r="O90" i="4"/>
  <c r="H47" i="11"/>
  <c r="I47" i="11" s="1"/>
  <c r="H25" i="11"/>
  <c r="C79" i="11"/>
  <c r="C68" i="11"/>
  <c r="C58" i="11"/>
  <c r="C48" i="11"/>
  <c r="B79" i="11"/>
  <c r="B68" i="11"/>
  <c r="B58" i="11"/>
  <c r="B48" i="11"/>
  <c r="B38" i="11"/>
  <c r="C26" i="11"/>
  <c r="B26" i="11"/>
  <c r="C16" i="11"/>
  <c r="B16" i="11"/>
  <c r="C6" i="11"/>
  <c r="B6" i="11"/>
  <c r="O91" i="4"/>
  <c r="N91" i="4"/>
  <c r="C15" i="10"/>
  <c r="H31" i="10"/>
  <c r="I31" i="10" s="1"/>
  <c r="I27" i="10"/>
  <c r="J27" i="10" s="1"/>
  <c r="H27" i="10"/>
  <c r="H22" i="10"/>
  <c r="I22" i="10" s="1"/>
  <c r="H18" i="10"/>
  <c r="I18" i="10" s="1"/>
  <c r="C22" i="33"/>
  <c r="B22" i="33"/>
  <c r="C13" i="33"/>
  <c r="B13" i="33"/>
  <c r="C6" i="33"/>
  <c r="B6" i="33"/>
  <c r="C87" i="3"/>
  <c r="C205" i="8"/>
  <c r="B205" i="8"/>
  <c r="C190" i="8"/>
  <c r="C169" i="8"/>
  <c r="B169" i="8"/>
  <c r="B190" i="8"/>
  <c r="C150" i="8"/>
  <c r="C134" i="8"/>
  <c r="C119" i="8"/>
  <c r="B119" i="8"/>
  <c r="B134" i="8"/>
  <c r="B150" i="8"/>
  <c r="C112" i="8"/>
  <c r="B112" i="8"/>
  <c r="C105" i="8"/>
  <c r="B105" i="8"/>
  <c r="B33" i="8"/>
  <c r="C98" i="8"/>
  <c r="B98" i="8"/>
  <c r="C82" i="8"/>
  <c r="B82" i="8"/>
  <c r="B66" i="8"/>
  <c r="C51" i="8"/>
  <c r="B51" i="8"/>
  <c r="B42" i="8"/>
  <c r="C42" i="8"/>
  <c r="C33" i="8"/>
  <c r="B15" i="8"/>
  <c r="B24" i="8"/>
  <c r="C24" i="8"/>
  <c r="C15" i="8"/>
  <c r="C6" i="8"/>
  <c r="B6" i="8"/>
  <c r="B103" i="3"/>
  <c r="C103" i="3"/>
  <c r="B96" i="3"/>
  <c r="C96" i="3"/>
  <c r="B87" i="3"/>
  <c r="B78" i="3"/>
  <c r="C78" i="3"/>
  <c r="C71" i="3"/>
  <c r="B71" i="3"/>
  <c r="C63" i="3"/>
  <c r="B63" i="3"/>
  <c r="C56" i="3"/>
  <c r="B56" i="3"/>
  <c r="C39" i="3"/>
  <c r="C32" i="3"/>
  <c r="B32" i="3"/>
  <c r="B39" i="3"/>
  <c r="C13" i="3"/>
  <c r="B13" i="3"/>
  <c r="C6" i="3"/>
  <c r="B6" i="3"/>
  <c r="I102" i="17" l="1"/>
  <c r="I644" i="8"/>
  <c r="I15" i="34"/>
  <c r="J15" i="34" s="1"/>
  <c r="I30" i="34"/>
  <c r="I20" i="34"/>
  <c r="J20" i="34" s="1"/>
  <c r="I35" i="34"/>
  <c r="J35" i="34" s="1"/>
  <c r="I25" i="34"/>
  <c r="J25" i="34" s="1"/>
  <c r="J30" i="34"/>
  <c r="I10" i="34"/>
  <c r="J10" i="34"/>
  <c r="I549" i="8"/>
  <c r="G618" i="8"/>
  <c r="H618" i="8" s="1"/>
  <c r="I619" i="8" s="1"/>
  <c r="G613" i="8"/>
  <c r="H613" i="8" s="1"/>
  <c r="I614" i="8" s="1"/>
  <c r="I504" i="8"/>
  <c r="G514" i="8" s="1"/>
  <c r="H514" i="8" s="1"/>
  <c r="I514" i="8" s="1"/>
  <c r="I544" i="8"/>
  <c r="I509" i="8"/>
  <c r="G519" i="8" s="1"/>
  <c r="H519" i="8" s="1"/>
  <c r="I519" i="8" s="1"/>
  <c r="G553" i="8"/>
  <c r="H553" i="8" s="1"/>
  <c r="I554" i="8" s="1"/>
  <c r="G558" i="8"/>
  <c r="H558" i="8" s="1"/>
  <c r="I559" i="8" s="1"/>
  <c r="I478" i="8"/>
  <c r="G488" i="8" s="1"/>
  <c r="H488" i="8" s="1"/>
  <c r="I488" i="8" s="1"/>
  <c r="G497" i="8" s="1"/>
  <c r="H497" i="8" s="1"/>
  <c r="I498" i="8" s="1"/>
  <c r="I473" i="8"/>
  <c r="G483" i="8" s="1"/>
  <c r="H483" i="8" s="1"/>
  <c r="I483" i="8" s="1"/>
  <c r="I407" i="8"/>
  <c r="G416" i="8" s="1"/>
  <c r="H416" i="8" s="1"/>
  <c r="I417" i="8" s="1"/>
  <c r="I402" i="8"/>
  <c r="G411" i="8" s="1"/>
  <c r="H411" i="8" s="1"/>
  <c r="I412" i="8" s="1"/>
  <c r="G422" i="8" s="1"/>
  <c r="I361" i="8"/>
  <c r="G370" i="8" s="1"/>
  <c r="H370" i="8" s="1"/>
  <c r="I287" i="8"/>
  <c r="G297" i="8" s="1"/>
  <c r="H297" i="8" s="1"/>
  <c r="I298" i="8" s="1"/>
  <c r="I350" i="8"/>
  <c r="I292" i="8"/>
  <c r="G302" i="8" s="1"/>
  <c r="H302" i="8" s="1"/>
  <c r="I303" i="8" s="1"/>
  <c r="I366" i="8"/>
  <c r="G375" i="8" s="1"/>
  <c r="H375" i="8" s="1"/>
  <c r="I376" i="8" s="1"/>
  <c r="G386" i="8" s="1"/>
  <c r="I355" i="8"/>
  <c r="I229" i="8"/>
  <c r="G239" i="8" s="1"/>
  <c r="H239" i="8" s="1"/>
  <c r="I240" i="8" s="1"/>
  <c r="G250" i="8" s="1"/>
  <c r="H250" i="8" s="1"/>
  <c r="I251" i="8" s="1"/>
  <c r="G261" i="8" s="1"/>
  <c r="H261" i="8" s="1"/>
  <c r="I262" i="8" s="1"/>
  <c r="G271" i="8" s="1"/>
  <c r="H271" i="8" s="1"/>
  <c r="I272" i="8" s="1"/>
  <c r="G281" i="8" s="1"/>
  <c r="I224" i="8"/>
  <c r="G234" i="8" s="1"/>
  <c r="H234" i="8" s="1"/>
  <c r="I235" i="8" s="1"/>
  <c r="J39" i="30"/>
  <c r="K39" i="30" s="1"/>
  <c r="L39" i="30" s="1"/>
  <c r="J35" i="30"/>
  <c r="I25" i="30"/>
  <c r="I51" i="29"/>
  <c r="I34" i="29"/>
  <c r="I27" i="29"/>
  <c r="I19" i="29"/>
  <c r="I12" i="29"/>
  <c r="I57" i="28"/>
  <c r="I19" i="28"/>
  <c r="G28" i="28" s="1"/>
  <c r="H28" i="28" s="1"/>
  <c r="I28" i="28" s="1"/>
  <c r="I57" i="26"/>
  <c r="I34" i="26"/>
  <c r="G48" i="26" s="1"/>
  <c r="H48" i="26" s="1"/>
  <c r="I49" i="26" s="1"/>
  <c r="I27" i="26"/>
  <c r="G41" i="26" s="1"/>
  <c r="H41" i="26" s="1"/>
  <c r="I42" i="26" s="1"/>
  <c r="I12" i="26"/>
  <c r="I19" i="26"/>
  <c r="I18" i="27"/>
  <c r="G26" i="27" s="1"/>
  <c r="H26" i="27" s="1"/>
  <c r="I26" i="27" s="1"/>
  <c r="I51" i="25"/>
  <c r="G66" i="25" s="1"/>
  <c r="H66" i="25" s="1"/>
  <c r="I68" i="25" s="1"/>
  <c r="G82" i="25" s="1"/>
  <c r="H82" i="25" s="1"/>
  <c r="I83" i="25" s="1"/>
  <c r="I128" i="25"/>
  <c r="I121" i="25"/>
  <c r="I113" i="25"/>
  <c r="I106" i="25"/>
  <c r="I34" i="25"/>
  <c r="I27" i="25"/>
  <c r="I12" i="25"/>
  <c r="I19" i="25"/>
  <c r="I109" i="19"/>
  <c r="I102" i="19"/>
  <c r="I94" i="19"/>
  <c r="I87" i="19"/>
  <c r="I79" i="19"/>
  <c r="I72" i="19"/>
  <c r="I19" i="19"/>
  <c r="G33" i="19" s="1"/>
  <c r="H33" i="19" s="1"/>
  <c r="I34" i="19" s="1"/>
  <c r="G48" i="19" s="1"/>
  <c r="H48" i="19" s="1"/>
  <c r="I49" i="19" s="1"/>
  <c r="G63" i="19" s="1"/>
  <c r="H63" i="19" s="1"/>
  <c r="I64" i="19" s="1"/>
  <c r="I12" i="19"/>
  <c r="G26" i="19" s="1"/>
  <c r="H26" i="19" s="1"/>
  <c r="I27" i="19" s="1"/>
  <c r="H41" i="19" s="1"/>
  <c r="I42" i="19" s="1"/>
  <c r="G56" i="19" s="1"/>
  <c r="H56" i="19" s="1"/>
  <c r="I57" i="19" s="1"/>
  <c r="I72" i="24"/>
  <c r="I79" i="24"/>
  <c r="I42" i="24"/>
  <c r="I57" i="24"/>
  <c r="I19" i="24"/>
  <c r="I49" i="24"/>
  <c r="I34" i="24"/>
  <c r="I27" i="24"/>
  <c r="I12" i="24"/>
  <c r="I43" i="23"/>
  <c r="I36" i="23"/>
  <c r="J133" i="22"/>
  <c r="I151" i="22"/>
  <c r="I19" i="22"/>
  <c r="G33" i="22" s="1"/>
  <c r="H33" i="22" s="1"/>
  <c r="I34" i="22" s="1"/>
  <c r="G48" i="22" s="1"/>
  <c r="H48" i="22" s="1"/>
  <c r="I49" i="22" s="1"/>
  <c r="G63" i="22" s="1"/>
  <c r="H63" i="22" s="1"/>
  <c r="I64" i="22" s="1"/>
  <c r="I12" i="22"/>
  <c r="G26" i="22" s="1"/>
  <c r="H26" i="22" s="1"/>
  <c r="I27" i="22" s="1"/>
  <c r="G41" i="22" s="1"/>
  <c r="H41" i="22" s="1"/>
  <c r="I42" i="22" s="1"/>
  <c r="I79" i="22"/>
  <c r="G93" i="22" s="1"/>
  <c r="H93" i="22" s="1"/>
  <c r="I94" i="22" s="1"/>
  <c r="G108" i="22" s="1"/>
  <c r="H108" i="22" s="1"/>
  <c r="I109" i="22" s="1"/>
  <c r="I72" i="22"/>
  <c r="G86" i="22" s="1"/>
  <c r="H86" i="22" s="1"/>
  <c r="I87" i="22" s="1"/>
  <c r="I144" i="22"/>
  <c r="I48" i="21"/>
  <c r="I55" i="21"/>
  <c r="I80" i="17"/>
  <c r="I95" i="17"/>
  <c r="I87" i="17"/>
  <c r="I57" i="17"/>
  <c r="I64" i="17"/>
  <c r="I42" i="17"/>
  <c r="I27" i="17"/>
  <c r="I34" i="17"/>
  <c r="I49" i="17"/>
  <c r="I12" i="17"/>
  <c r="I19" i="17"/>
  <c r="I72" i="16"/>
  <c r="I64" i="16"/>
  <c r="I79" i="16"/>
  <c r="I57" i="16"/>
  <c r="I42" i="16"/>
  <c r="I49" i="16"/>
  <c r="I27" i="16"/>
  <c r="I19" i="16"/>
  <c r="I34" i="16"/>
  <c r="I12" i="16"/>
  <c r="I169" i="15"/>
  <c r="G183" i="15" s="1"/>
  <c r="H183" i="15" s="1"/>
  <c r="I185" i="15" s="1"/>
  <c r="I176" i="15"/>
  <c r="G192" i="15" s="1"/>
  <c r="H192" i="15" s="1"/>
  <c r="I192" i="15" s="1"/>
  <c r="I145" i="15"/>
  <c r="G161" i="15" s="1"/>
  <c r="H161" i="15" s="1"/>
  <c r="I161" i="15" s="1"/>
  <c r="I138" i="15"/>
  <c r="G152" i="15" s="1"/>
  <c r="I82" i="15"/>
  <c r="G98" i="15" s="1"/>
  <c r="H98" i="15" s="1"/>
  <c r="I98" i="15" s="1"/>
  <c r="G114" i="15" s="1"/>
  <c r="H114" i="15" s="1"/>
  <c r="I114" i="15" s="1"/>
  <c r="G130" i="15" s="1"/>
  <c r="H130" i="15" s="1"/>
  <c r="I130" i="15" s="1"/>
  <c r="I75" i="15"/>
  <c r="G89" i="15" s="1"/>
  <c r="H89" i="15" s="1"/>
  <c r="I91" i="15" s="1"/>
  <c r="G105" i="15" s="1"/>
  <c r="H105" i="15" s="1"/>
  <c r="I107" i="15" s="1"/>
  <c r="G121" i="15" s="1"/>
  <c r="H121" i="15" s="1"/>
  <c r="I123" i="15" s="1"/>
  <c r="I19" i="15"/>
  <c r="G35" i="15" s="1"/>
  <c r="H35" i="15" s="1"/>
  <c r="I35" i="15" s="1"/>
  <c r="I12" i="15"/>
  <c r="G26" i="15" s="1"/>
  <c r="H26" i="15" s="1"/>
  <c r="I28" i="15" s="1"/>
  <c r="I190" i="20"/>
  <c r="I183" i="20"/>
  <c r="I169" i="20"/>
  <c r="I176" i="20"/>
  <c r="I162" i="20"/>
  <c r="I155" i="20"/>
  <c r="I148" i="20"/>
  <c r="I141" i="20"/>
  <c r="I133" i="20"/>
  <c r="I126" i="20"/>
  <c r="I119" i="20"/>
  <c r="I112" i="20"/>
  <c r="I105" i="20"/>
  <c r="I98" i="20"/>
  <c r="I84" i="20"/>
  <c r="I91" i="20"/>
  <c r="I77" i="20"/>
  <c r="I70" i="20"/>
  <c r="I63" i="20"/>
  <c r="I56" i="20"/>
  <c r="I49" i="20"/>
  <c r="I42" i="20"/>
  <c r="I34" i="20"/>
  <c r="I27" i="20"/>
  <c r="I19" i="20"/>
  <c r="I12" i="20"/>
  <c r="I80" i="13"/>
  <c r="H95" i="13" s="1"/>
  <c r="I97" i="13" s="1"/>
  <c r="I87" i="13"/>
  <c r="G104" i="13" s="1"/>
  <c r="H104" i="13" s="1"/>
  <c r="I104" i="13" s="1"/>
  <c r="G122" i="13" s="1"/>
  <c r="I46" i="13"/>
  <c r="H61" i="13" s="1"/>
  <c r="I63" i="13" s="1"/>
  <c r="I53" i="13"/>
  <c r="G70" i="13" s="1"/>
  <c r="H70" i="13" s="1"/>
  <c r="I70" i="13" s="1"/>
  <c r="I20" i="13"/>
  <c r="G36" i="13" s="1"/>
  <c r="H36" i="13" s="1"/>
  <c r="I36" i="13" s="1"/>
  <c r="I13" i="13"/>
  <c r="H27" i="13" s="1"/>
  <c r="I29" i="13" s="1"/>
  <c r="I100" i="14"/>
  <c r="I19" i="14"/>
  <c r="I12" i="14"/>
  <c r="K149" i="12"/>
  <c r="L149" i="12" s="1"/>
  <c r="J149" i="12"/>
  <c r="M149" i="12" s="1"/>
  <c r="J158" i="12"/>
  <c r="K158" i="12" s="1"/>
  <c r="I140" i="12"/>
  <c r="I132" i="12"/>
  <c r="I88" i="12"/>
  <c r="G104" i="12" s="1"/>
  <c r="H104" i="12" s="1"/>
  <c r="I106" i="12" s="1"/>
  <c r="I80" i="12"/>
  <c r="G95" i="12" s="1"/>
  <c r="I19" i="12"/>
  <c r="K67" i="11"/>
  <c r="J67" i="11"/>
  <c r="J52" i="11"/>
  <c r="K52" i="11" s="1"/>
  <c r="G61" i="11"/>
  <c r="H61" i="11" s="1"/>
  <c r="I62" i="11" s="1"/>
  <c r="J57" i="11"/>
  <c r="H77" i="11"/>
  <c r="I78" i="11" s="1"/>
  <c r="G66" i="11"/>
  <c r="K57" i="11"/>
  <c r="J89" i="11"/>
  <c r="M89" i="11" s="1"/>
  <c r="N89" i="11" s="1"/>
  <c r="K89" i="11"/>
  <c r="O89" i="11" s="1"/>
  <c r="P89" i="11" s="1"/>
  <c r="L89" i="11"/>
  <c r="I25" i="11"/>
  <c r="I15" i="11"/>
  <c r="K27" i="10"/>
  <c r="K31" i="10"/>
  <c r="J31" i="10"/>
  <c r="H113" i="13" l="1"/>
  <c r="I115" i="13" s="1"/>
  <c r="G131" i="13" s="1"/>
  <c r="H131" i="13" s="1"/>
  <c r="I133" i="13" s="1"/>
  <c r="G113" i="13"/>
  <c r="G97" i="25"/>
  <c r="H97" i="25" s="1"/>
  <c r="I98" i="25" s="1"/>
  <c r="K35" i="34"/>
  <c r="L35" i="34" s="1"/>
  <c r="K30" i="34"/>
  <c r="L30" i="34"/>
  <c r="M30" i="34" s="1"/>
  <c r="K25" i="34"/>
  <c r="L25" i="34" s="1"/>
  <c r="K20" i="34"/>
  <c r="L20" i="34" s="1"/>
  <c r="K15" i="34"/>
  <c r="L15" i="34" s="1"/>
  <c r="K10" i="34"/>
  <c r="L10" i="34" s="1"/>
  <c r="G628" i="8"/>
  <c r="H628" i="8" s="1"/>
  <c r="I629" i="8" s="1"/>
  <c r="G623" i="8"/>
  <c r="H623" i="8" s="1"/>
  <c r="I624" i="8" s="1"/>
  <c r="G563" i="8"/>
  <c r="H563" i="8" s="1"/>
  <c r="I564" i="8" s="1"/>
  <c r="G568" i="8"/>
  <c r="H568" i="8" s="1"/>
  <c r="I569" i="8" s="1"/>
  <c r="G523" i="8"/>
  <c r="H523" i="8" s="1"/>
  <c r="I524" i="8" s="1"/>
  <c r="G533" i="8" s="1"/>
  <c r="H533" i="8" s="1"/>
  <c r="I534" i="8" s="1"/>
  <c r="G528" i="8"/>
  <c r="H528" i="8" s="1"/>
  <c r="I529" i="8" s="1"/>
  <c r="G538" i="8" s="1"/>
  <c r="H538" i="8" s="1"/>
  <c r="I539" i="8" s="1"/>
  <c r="G492" i="8"/>
  <c r="H492" i="8" s="1"/>
  <c r="I493" i="8" s="1"/>
  <c r="I371" i="8"/>
  <c r="G381" i="8" s="1"/>
  <c r="H381" i="8" s="1"/>
  <c r="I382" i="8" s="1"/>
  <c r="G391" i="8" s="1"/>
  <c r="H391" i="8" s="1"/>
  <c r="I392" i="8" s="1"/>
  <c r="H422" i="8"/>
  <c r="I423" i="8" s="1"/>
  <c r="G427" i="8"/>
  <c r="H427" i="8" s="1"/>
  <c r="I428" i="8" s="1"/>
  <c r="H386" i="8"/>
  <c r="I387" i="8" s="1"/>
  <c r="G396" i="8" s="1"/>
  <c r="G313" i="8"/>
  <c r="H313" i="8" s="1"/>
  <c r="I314" i="8" s="1"/>
  <c r="G308" i="8"/>
  <c r="H308" i="8" s="1"/>
  <c r="I309" i="8" s="1"/>
  <c r="H281" i="8"/>
  <c r="I282" i="8" s="1"/>
  <c r="G245" i="8"/>
  <c r="H245" i="8" s="1"/>
  <c r="I246" i="8" s="1"/>
  <c r="G256" i="8" s="1"/>
  <c r="H256" i="8" s="1"/>
  <c r="I257" i="8" s="1"/>
  <c r="G266" i="8" s="1"/>
  <c r="H266" i="8" s="1"/>
  <c r="I267" i="8" s="1"/>
  <c r="G276" i="8" s="1"/>
  <c r="M39" i="30"/>
  <c r="N39" i="30" s="1"/>
  <c r="K35" i="30"/>
  <c r="K133" i="22"/>
  <c r="L133" i="22" s="1"/>
  <c r="G101" i="22"/>
  <c r="H101" i="22" s="1"/>
  <c r="I102" i="22" s="1"/>
  <c r="G116" i="22" s="1"/>
  <c r="H116" i="22" s="1"/>
  <c r="I117" i="22" s="1"/>
  <c r="G56" i="22"/>
  <c r="H56" i="22" s="1"/>
  <c r="I57" i="22" s="1"/>
  <c r="G123" i="22"/>
  <c r="H123" i="22" s="1"/>
  <c r="I124" i="22" s="1"/>
  <c r="H152" i="15"/>
  <c r="I154" i="15" s="1"/>
  <c r="G51" i="15"/>
  <c r="H51" i="15" s="1"/>
  <c r="I51" i="15" s="1"/>
  <c r="G67" i="15" s="1"/>
  <c r="H67" i="15" s="1"/>
  <c r="I67" i="15" s="1"/>
  <c r="G42" i="15"/>
  <c r="H42" i="15" s="1"/>
  <c r="I44" i="15" s="1"/>
  <c r="G58" i="15" s="1"/>
  <c r="H58" i="15" s="1"/>
  <c r="I60" i="15" s="1"/>
  <c r="H122" i="13"/>
  <c r="I122" i="13" s="1"/>
  <c r="G140" i="13" s="1"/>
  <c r="H140" i="13" s="1"/>
  <c r="I140" i="13" s="1"/>
  <c r="G26" i="14"/>
  <c r="H26" i="14" s="1"/>
  <c r="I28" i="14" s="1"/>
  <c r="G42" i="14" s="1"/>
  <c r="H42" i="14" s="1"/>
  <c r="I44" i="14" s="1"/>
  <c r="G35" i="14"/>
  <c r="H35" i="14" s="1"/>
  <c r="I35" i="14" s="1"/>
  <c r="L158" i="12"/>
  <c r="M158" i="12" s="1"/>
  <c r="N149" i="12"/>
  <c r="O149" i="12"/>
  <c r="P149" i="12" s="1"/>
  <c r="H95" i="12"/>
  <c r="I97" i="12" s="1"/>
  <c r="G113" i="12" s="1"/>
  <c r="H113" i="12" s="1"/>
  <c r="I115" i="12" s="1"/>
  <c r="G122" i="12"/>
  <c r="H122" i="12" s="1"/>
  <c r="I124" i="12" s="1"/>
  <c r="G34" i="12"/>
  <c r="H34" i="12" s="1"/>
  <c r="I36" i="12" s="1"/>
  <c r="J78" i="11"/>
  <c r="K78" i="11" s="1"/>
  <c r="M57" i="11"/>
  <c r="K62" i="11"/>
  <c r="J62" i="11"/>
  <c r="H71" i="11"/>
  <c r="I73" i="11" s="1"/>
  <c r="L52" i="11"/>
  <c r="O52" i="11" s="1"/>
  <c r="P52" i="11" s="1"/>
  <c r="M52" i="11"/>
  <c r="N52" i="11"/>
  <c r="L67" i="11"/>
  <c r="L57" i="11"/>
  <c r="G24" i="11"/>
  <c r="G35" i="11"/>
  <c r="H35" i="11" s="1"/>
  <c r="I37" i="11" s="1"/>
  <c r="G46" i="11" s="1"/>
  <c r="L31" i="10"/>
  <c r="L27" i="10"/>
  <c r="M27" i="10"/>
  <c r="N30" i="34" l="1"/>
  <c r="O30" i="34" s="1"/>
  <c r="P30" i="34" s="1"/>
  <c r="M20" i="34"/>
  <c r="M35" i="34"/>
  <c r="N35" i="34" s="1"/>
  <c r="M25" i="34"/>
  <c r="N25" i="34" s="1"/>
  <c r="M10" i="34"/>
  <c r="N10" i="34" s="1"/>
  <c r="O10" i="34" s="1"/>
  <c r="P10" i="34" s="1"/>
  <c r="M15" i="34"/>
  <c r="N15" i="34" s="1"/>
  <c r="O15" i="34" s="1"/>
  <c r="P15" i="34" s="1"/>
  <c r="G638" i="8"/>
  <c r="H638" i="8" s="1"/>
  <c r="I639" i="8" s="1"/>
  <c r="G633" i="8"/>
  <c r="H633" i="8" s="1"/>
  <c r="I634" i="8" s="1"/>
  <c r="G578" i="8"/>
  <c r="H578" i="8" s="1"/>
  <c r="I579" i="8" s="1"/>
  <c r="G573" i="8"/>
  <c r="H573" i="8" s="1"/>
  <c r="I574" i="8" s="1"/>
  <c r="G432" i="8"/>
  <c r="H432" i="8" s="1"/>
  <c r="I433" i="8" s="1"/>
  <c r="G437" i="8"/>
  <c r="H437" i="8" s="1"/>
  <c r="I438" i="8" s="1"/>
  <c r="G447" i="8" s="1"/>
  <c r="H447" i="8" s="1"/>
  <c r="I448" i="8" s="1"/>
  <c r="H396" i="8"/>
  <c r="I397" i="8" s="1"/>
  <c r="G324" i="8"/>
  <c r="H324" i="8" s="1"/>
  <c r="I325" i="8" s="1"/>
  <c r="G319" i="8"/>
  <c r="H319" i="8" s="1"/>
  <c r="I320" i="8" s="1"/>
  <c r="G329" i="8" s="1"/>
  <c r="H276" i="8"/>
  <c r="I277" i="8" s="1"/>
  <c r="O39" i="30"/>
  <c r="P39" i="30" s="1"/>
  <c r="L35" i="30"/>
  <c r="M133" i="22"/>
  <c r="N133" i="22" s="1"/>
  <c r="G51" i="14"/>
  <c r="H51" i="14" s="1"/>
  <c r="I53" i="14" s="1"/>
  <c r="G68" i="14" s="1"/>
  <c r="H68" i="14" s="1"/>
  <c r="I69" i="14" s="1"/>
  <c r="G60" i="14"/>
  <c r="H60" i="14" s="1"/>
  <c r="I61" i="14" s="1"/>
  <c r="G76" i="14" s="1"/>
  <c r="H76" i="14" s="1"/>
  <c r="O158" i="12"/>
  <c r="P158" i="12" s="1"/>
  <c r="N158" i="12"/>
  <c r="G53" i="12"/>
  <c r="H53" i="12" s="1"/>
  <c r="I55" i="12" s="1"/>
  <c r="G71" i="12" s="1"/>
  <c r="H71" i="12" s="1"/>
  <c r="I72" i="12" s="1"/>
  <c r="L78" i="11"/>
  <c r="M78" i="11"/>
  <c r="O78" i="11" s="1"/>
  <c r="P78" i="11" s="1"/>
  <c r="N78" i="11"/>
  <c r="G83" i="11"/>
  <c r="H83" i="11" s="1"/>
  <c r="I84" i="11" s="1"/>
  <c r="K73" i="11"/>
  <c r="J73" i="11"/>
  <c r="L62" i="11"/>
  <c r="N57" i="11"/>
  <c r="O57" i="11" s="1"/>
  <c r="P57" i="11" s="1"/>
  <c r="M67" i="11"/>
  <c r="N67" i="11" s="1"/>
  <c r="N27" i="10"/>
  <c r="O27" i="10" s="1"/>
  <c r="P27" i="10" s="1"/>
  <c r="M31" i="10"/>
  <c r="O31" i="10" s="1"/>
  <c r="P31" i="10" s="1"/>
  <c r="N31" i="10"/>
  <c r="N20" i="34" l="1"/>
  <c r="O20" i="34" s="1"/>
  <c r="P20" i="34" s="1"/>
  <c r="O35" i="34"/>
  <c r="P35" i="34" s="1"/>
  <c r="O25" i="34"/>
  <c r="P25" i="34" s="1"/>
  <c r="G583" i="8"/>
  <c r="H583" i="8" s="1"/>
  <c r="I584" i="8" s="1"/>
  <c r="G588" i="8"/>
  <c r="H588" i="8" s="1"/>
  <c r="I589" i="8" s="1"/>
  <c r="G457" i="8"/>
  <c r="H457" i="8" s="1"/>
  <c r="I458" i="8" s="1"/>
  <c r="G442" i="8"/>
  <c r="H442" i="8" s="1"/>
  <c r="I443" i="8" s="1"/>
  <c r="H329" i="8"/>
  <c r="I330" i="8" s="1"/>
  <c r="G339" i="8" s="1"/>
  <c r="H339" i="8" s="1"/>
  <c r="I340" i="8" s="1"/>
  <c r="G334" i="8"/>
  <c r="H334" i="8" s="1"/>
  <c r="I335" i="8" s="1"/>
  <c r="G344" i="8" s="1"/>
  <c r="H344" i="8" s="1"/>
  <c r="I345" i="8" s="1"/>
  <c r="M35" i="30"/>
  <c r="N35" i="30" s="1"/>
  <c r="O35" i="30" s="1"/>
  <c r="P35" i="30" s="1"/>
  <c r="O133" i="22"/>
  <c r="P133" i="22" s="1"/>
  <c r="G84" i="14"/>
  <c r="H84" i="14" s="1"/>
  <c r="I85" i="14" s="1"/>
  <c r="I77" i="14"/>
  <c r="L73" i="11"/>
  <c r="M73" i="11" s="1"/>
  <c r="N73" i="11" s="1"/>
  <c r="O73" i="11" s="1"/>
  <c r="P73" i="11" s="1"/>
  <c r="N99" i="4" s="1"/>
  <c r="O67" i="11"/>
  <c r="P67" i="11" s="1"/>
  <c r="N62" i="11"/>
  <c r="O62" i="11"/>
  <c r="P62" i="11" s="1"/>
  <c r="J84" i="11"/>
  <c r="K84" i="11" s="1"/>
  <c r="L84" i="11" s="1"/>
  <c r="M62" i="11"/>
  <c r="G593" i="8" l="1"/>
  <c r="H593" i="8" s="1"/>
  <c r="I594" i="8" s="1"/>
  <c r="G598" i="8"/>
  <c r="H598" i="8" s="1"/>
  <c r="I599" i="8" s="1"/>
  <c r="G452" i="8"/>
  <c r="H452" i="8" s="1"/>
  <c r="I453" i="8" s="1"/>
  <c r="G462" i="8" s="1"/>
  <c r="H462" i="8" s="1"/>
  <c r="I463" i="8" s="1"/>
  <c r="G467" i="8"/>
  <c r="H467" i="8" s="1"/>
  <c r="I468" i="8" s="1"/>
  <c r="M84" i="11"/>
  <c r="N84" i="11" l="1"/>
  <c r="O84" i="11" s="1"/>
  <c r="P84" i="11" s="1"/>
  <c r="O14" i="4" l="1"/>
  <c r="N14" i="4"/>
  <c r="O13" i="4"/>
  <c r="N13" i="4"/>
  <c r="O12" i="4"/>
  <c r="N12" i="4"/>
  <c r="O11" i="4"/>
  <c r="N11" i="4"/>
  <c r="O10" i="4"/>
  <c r="N10" i="4"/>
  <c r="O9" i="4"/>
  <c r="N9" i="4"/>
  <c r="P9" i="4" s="1"/>
  <c r="O8" i="4"/>
  <c r="N8" i="4"/>
  <c r="O7" i="4"/>
  <c r="N7" i="4"/>
  <c r="O6" i="4"/>
  <c r="N6" i="4"/>
  <c r="O5" i="4"/>
  <c r="N5" i="4"/>
  <c r="O4" i="4"/>
  <c r="N4" i="4"/>
  <c r="G90" i="3"/>
  <c r="G94" i="3"/>
  <c r="E94" i="3"/>
  <c r="H94" i="3" s="1"/>
  <c r="E90" i="3"/>
  <c r="H93" i="3"/>
  <c r="H89" i="3"/>
  <c r="G85" i="3"/>
  <c r="E85" i="3"/>
  <c r="H84" i="3"/>
  <c r="G81" i="3"/>
  <c r="E81" i="3"/>
  <c r="H80" i="3"/>
  <c r="H76" i="3"/>
  <c r="I76" i="3" s="1"/>
  <c r="H73" i="3"/>
  <c r="I73" i="3" s="1"/>
  <c r="H101" i="3"/>
  <c r="I101" i="3" s="1"/>
  <c r="H68" i="3"/>
  <c r="I68" i="3" s="1"/>
  <c r="H65" i="3"/>
  <c r="I65" i="3" s="1"/>
  <c r="H61" i="3"/>
  <c r="I61" i="3" s="1"/>
  <c r="H58" i="3"/>
  <c r="I58" i="3" s="1"/>
  <c r="G26" i="3"/>
  <c r="G27" i="3" s="1"/>
  <c r="G28" i="3" s="1"/>
  <c r="G29" i="3" s="1"/>
  <c r="G30" i="3" s="1"/>
  <c r="E53" i="3"/>
  <c r="H53" i="3" s="1"/>
  <c r="E51" i="3"/>
  <c r="H51" i="3" s="1"/>
  <c r="E50" i="3"/>
  <c r="H50" i="3" s="1"/>
  <c r="H37" i="3"/>
  <c r="I37" i="3" s="1"/>
  <c r="H11" i="3"/>
  <c r="I11" i="3" s="1"/>
  <c r="E25" i="3"/>
  <c r="E30" i="3"/>
  <c r="E29" i="3"/>
  <c r="E28" i="3"/>
  <c r="E27" i="3"/>
  <c r="E26" i="3"/>
  <c r="H98" i="3"/>
  <c r="E13" i="10"/>
  <c r="H13" i="10" s="1"/>
  <c r="I13" i="10" s="1"/>
  <c r="E9" i="10"/>
  <c r="C6" i="10"/>
  <c r="C24" i="10"/>
  <c r="B24" i="10"/>
  <c r="B15" i="10"/>
  <c r="B6" i="10"/>
  <c r="O87" i="4"/>
  <c r="N87" i="4"/>
  <c r="O86" i="4"/>
  <c r="N86" i="4"/>
  <c r="O85" i="4"/>
  <c r="N85" i="4"/>
  <c r="E30" i="33"/>
  <c r="H30" i="33" s="1"/>
  <c r="E25" i="33"/>
  <c r="H25" i="33" s="1"/>
  <c r="G31" i="33"/>
  <c r="E31" i="33"/>
  <c r="G26" i="33"/>
  <c r="E26" i="33"/>
  <c r="G29" i="33"/>
  <c r="E29" i="33"/>
  <c r="E24" i="33"/>
  <c r="H24" i="33" s="1"/>
  <c r="G11" i="33"/>
  <c r="G20" i="33" s="1"/>
  <c r="G19" i="33"/>
  <c r="H19" i="33" s="1"/>
  <c r="E19" i="33"/>
  <c r="H15" i="33"/>
  <c r="E15" i="33"/>
  <c r="G16" i="33"/>
  <c r="E11" i="33"/>
  <c r="E20" i="33" s="1"/>
  <c r="E8" i="33"/>
  <c r="E16" i="33" s="1"/>
  <c r="N5" i="33"/>
  <c r="M5" i="33"/>
  <c r="L5" i="33"/>
  <c r="K5" i="33"/>
  <c r="J5" i="33"/>
  <c r="B2" i="33" a="1"/>
  <c r="B2" i="33" s="1"/>
  <c r="H81" i="3" l="1"/>
  <c r="I94" i="3"/>
  <c r="H90" i="3"/>
  <c r="I90" i="3" s="1"/>
  <c r="H85" i="3"/>
  <c r="I85" i="3" s="1"/>
  <c r="I81" i="3"/>
  <c r="I54" i="3"/>
  <c r="H25" i="3"/>
  <c r="H29" i="33"/>
  <c r="H26" i="33"/>
  <c r="H16" i="33"/>
  <c r="I16" i="33" s="1"/>
  <c r="H20" i="33"/>
  <c r="I20" i="33" s="1"/>
  <c r="J20" i="33" s="1"/>
  <c r="K20" i="33" s="1"/>
  <c r="L20" i="33" s="1"/>
  <c r="H11" i="33"/>
  <c r="I11" i="33" s="1"/>
  <c r="J11" i="33" s="1"/>
  <c r="I8" i="33"/>
  <c r="J8" i="33" s="1"/>
  <c r="K8" i="33" s="1"/>
  <c r="L8" i="33" s="1"/>
  <c r="J16" i="33"/>
  <c r="K16" i="33" s="1"/>
  <c r="I26" i="33"/>
  <c r="K11" i="33" l="1"/>
  <c r="L11" i="33" s="1"/>
  <c r="M8" i="33"/>
  <c r="N8" i="33" s="1"/>
  <c r="O8" i="33" s="1"/>
  <c r="P8" i="33" s="1"/>
  <c r="L16" i="33"/>
  <c r="M16" i="33" s="1"/>
  <c r="J26" i="33"/>
  <c r="M20" i="33"/>
  <c r="N20" i="33" s="1"/>
  <c r="H31" i="33"/>
  <c r="M11" i="33" l="1"/>
  <c r="N11" i="33"/>
  <c r="O11" i="33" s="1"/>
  <c r="P11" i="33" s="1"/>
  <c r="I31" i="33"/>
  <c r="J31" i="33" s="1"/>
  <c r="O20" i="33"/>
  <c r="P20" i="33" s="1"/>
  <c r="N16" i="33"/>
  <c r="O16" i="33" s="1"/>
  <c r="P16" i="33" s="1"/>
  <c r="K26" i="33"/>
  <c r="L26" i="33" s="1"/>
  <c r="K31" i="33" l="1"/>
  <c r="L31" i="33" s="1"/>
  <c r="M26" i="33"/>
  <c r="M31" i="33" l="1"/>
  <c r="N31" i="33" s="1"/>
  <c r="N26" i="33"/>
  <c r="O26" i="33" s="1"/>
  <c r="P26" i="33" s="1"/>
  <c r="O31" i="33" l="1"/>
  <c r="P31" i="33" s="1"/>
  <c r="E71" i="17" l="1"/>
  <c r="H71" i="17" s="1"/>
  <c r="I71" i="17" s="1"/>
  <c r="G27" i="23"/>
  <c r="G23" i="23"/>
  <c r="E23" i="23"/>
  <c r="H22" i="23"/>
  <c r="E15" i="23"/>
  <c r="E18" i="23"/>
  <c r="H18" i="23" s="1"/>
  <c r="I18" i="23" s="1"/>
  <c r="H11" i="23"/>
  <c r="I11" i="23" s="1"/>
  <c r="K104" i="4"/>
  <c r="S194" i="4"/>
  <c r="D28" i="1" s="1"/>
  <c r="S151" i="4"/>
  <c r="D23" i="1" s="1"/>
  <c r="S145" i="4"/>
  <c r="D22" i="1" s="1"/>
  <c r="S132" i="4"/>
  <c r="D21" i="1" s="1"/>
  <c r="S123" i="4"/>
  <c r="D20" i="1" s="1"/>
  <c r="S116" i="4"/>
  <c r="D19" i="1" s="1"/>
  <c r="S106" i="4"/>
  <c r="D18" i="1" s="1"/>
  <c r="S93" i="4"/>
  <c r="D16" i="1" s="1"/>
  <c r="E40" i="21"/>
  <c r="H40" i="21" s="1"/>
  <c r="I40" i="21" s="1"/>
  <c r="G31" i="21"/>
  <c r="H32" i="21"/>
  <c r="E31" i="21"/>
  <c r="G18" i="21"/>
  <c r="G19" i="21"/>
  <c r="G20" i="21"/>
  <c r="G17" i="21"/>
  <c r="H21" i="21"/>
  <c r="E20" i="21"/>
  <c r="E19" i="21"/>
  <c r="E18" i="21"/>
  <c r="E17" i="21"/>
  <c r="E218" i="8"/>
  <c r="E216" i="8"/>
  <c r="G215" i="8"/>
  <c r="G216" i="8" s="1"/>
  <c r="G217" i="8" s="1"/>
  <c r="G218" i="8" s="1"/>
  <c r="E215" i="8"/>
  <c r="E214" i="8"/>
  <c r="H214" i="8" s="1"/>
  <c r="E211" i="8"/>
  <c r="E209" i="8"/>
  <c r="G208" i="8"/>
  <c r="G209" i="8" s="1"/>
  <c r="G210" i="8" s="1"/>
  <c r="G211" i="8" s="1"/>
  <c r="E208" i="8"/>
  <c r="E207" i="8"/>
  <c r="H207" i="8" s="1"/>
  <c r="E203" i="8"/>
  <c r="E201" i="8"/>
  <c r="G200" i="8"/>
  <c r="G201" i="8" s="1"/>
  <c r="G202" i="8" s="1"/>
  <c r="G203" i="8" s="1"/>
  <c r="E200" i="8"/>
  <c r="E199" i="8"/>
  <c r="H199" i="8" s="1"/>
  <c r="G184" i="8"/>
  <c r="G185" i="8" s="1"/>
  <c r="G186" i="8" s="1"/>
  <c r="G187" i="8" s="1"/>
  <c r="G188" i="8" s="1"/>
  <c r="E188" i="8"/>
  <c r="E186" i="8"/>
  <c r="E185" i="8"/>
  <c r="E184" i="8"/>
  <c r="G174" i="8"/>
  <c r="H215" i="8" l="1"/>
  <c r="H23" i="23"/>
  <c r="H31" i="21"/>
  <c r="I32" i="21" s="1"/>
  <c r="E26" i="23"/>
  <c r="H26" i="23" s="1"/>
  <c r="H17" i="21"/>
  <c r="H19" i="21"/>
  <c r="H18" i="21"/>
  <c r="H20" i="21"/>
  <c r="H208" i="8"/>
  <c r="H209" i="8"/>
  <c r="H218" i="8"/>
  <c r="H216" i="8"/>
  <c r="H211" i="8"/>
  <c r="H201" i="8"/>
  <c r="H200" i="8"/>
  <c r="H203" i="8"/>
  <c r="H188" i="8"/>
  <c r="H184" i="8"/>
  <c r="H185" i="8"/>
  <c r="H186" i="8"/>
  <c r="K10" i="4"/>
  <c r="K11" i="4"/>
  <c r="K12" i="4"/>
  <c r="P10" i="4"/>
  <c r="Q10" i="4"/>
  <c r="P11" i="4"/>
  <c r="Q11" i="4"/>
  <c r="P12" i="4"/>
  <c r="Q12" i="4"/>
  <c r="E107" i="3"/>
  <c r="E114" i="3"/>
  <c r="H117" i="3"/>
  <c r="E27" i="23" l="1"/>
  <c r="H27" i="23" s="1"/>
  <c r="I27" i="23" s="1"/>
  <c r="E116" i="3"/>
  <c r="H116" i="3" s="1"/>
  <c r="I21" i="21"/>
  <c r="H114" i="3"/>
  <c r="Q241" i="4" l="1"/>
  <c r="P241" i="4"/>
  <c r="Q240" i="4"/>
  <c r="P240" i="4"/>
  <c r="Q239" i="4"/>
  <c r="P239" i="4"/>
  <c r="Q238" i="4"/>
  <c r="P238" i="4"/>
  <c r="Q237" i="4"/>
  <c r="Q236" i="4"/>
  <c r="P236" i="4"/>
  <c r="Q235" i="4"/>
  <c r="P235" i="4"/>
  <c r="Q234" i="4"/>
  <c r="P234" i="4"/>
  <c r="Q233" i="4"/>
  <c r="P233" i="4"/>
  <c r="Q231" i="4"/>
  <c r="P231" i="4"/>
  <c r="Q230" i="4"/>
  <c r="P230" i="4"/>
  <c r="Q228" i="4"/>
  <c r="P228" i="4"/>
  <c r="Q227" i="4"/>
  <c r="P227" i="4"/>
  <c r="Q223" i="4"/>
  <c r="Q222" i="4"/>
  <c r="P222" i="4"/>
  <c r="Q221" i="4"/>
  <c r="P221" i="4"/>
  <c r="Q220" i="4"/>
  <c r="P220" i="4"/>
  <c r="Q219" i="4"/>
  <c r="P219" i="4"/>
  <c r="Q218" i="4"/>
  <c r="P218" i="4"/>
  <c r="Q217" i="4"/>
  <c r="P217" i="4"/>
  <c r="Q216" i="4"/>
  <c r="P216" i="4"/>
  <c r="Q215" i="4"/>
  <c r="P215" i="4"/>
  <c r="Q214" i="4"/>
  <c r="P214" i="4"/>
  <c r="Q213" i="4"/>
  <c r="P213" i="4"/>
  <c r="Q212" i="4"/>
  <c r="P212" i="4"/>
  <c r="Q211" i="4"/>
  <c r="P211" i="4"/>
  <c r="Q210" i="4"/>
  <c r="P210" i="4"/>
  <c r="Q209" i="4"/>
  <c r="P209" i="4"/>
  <c r="Q208" i="4"/>
  <c r="P208" i="4"/>
  <c r="Q205" i="4"/>
  <c r="P205" i="4"/>
  <c r="Q204" i="4"/>
  <c r="P204" i="4"/>
  <c r="Q203" i="4"/>
  <c r="P203" i="4"/>
  <c r="Q202" i="4"/>
  <c r="P202" i="4"/>
  <c r="Q201" i="4"/>
  <c r="P201" i="4"/>
  <c r="Q200" i="4"/>
  <c r="P200" i="4"/>
  <c r="Q199" i="4"/>
  <c r="P199" i="4"/>
  <c r="Q198" i="4"/>
  <c r="P198" i="4"/>
  <c r="Q197" i="4"/>
  <c r="P197" i="4"/>
  <c r="Q196" i="4"/>
  <c r="P196" i="4"/>
  <c r="Q195" i="4"/>
  <c r="P195" i="4"/>
  <c r="Q194" i="4"/>
  <c r="P194" i="4"/>
  <c r="Q193" i="4"/>
  <c r="P193" i="4"/>
  <c r="Q192" i="4"/>
  <c r="P192" i="4"/>
  <c r="Q188" i="4"/>
  <c r="P188" i="4"/>
  <c r="Q187" i="4"/>
  <c r="P187" i="4"/>
  <c r="Q186" i="4"/>
  <c r="P186" i="4"/>
  <c r="Q185" i="4"/>
  <c r="P185" i="4"/>
  <c r="Q184" i="4"/>
  <c r="P184" i="4"/>
  <c r="Q183" i="4"/>
  <c r="P183" i="4"/>
  <c r="Q182" i="4"/>
  <c r="P182" i="4"/>
  <c r="Q181" i="4"/>
  <c r="P181" i="4"/>
  <c r="Q180" i="4"/>
  <c r="P180" i="4"/>
  <c r="Q179" i="4"/>
  <c r="P179" i="4"/>
  <c r="Q178" i="4"/>
  <c r="P178" i="4"/>
  <c r="Q177" i="4"/>
  <c r="P177" i="4"/>
  <c r="Q176" i="4"/>
  <c r="P176" i="4"/>
  <c r="Q172" i="4"/>
  <c r="P172" i="4"/>
  <c r="Q171" i="4"/>
  <c r="P171" i="4"/>
  <c r="Q170" i="4"/>
  <c r="P170" i="4"/>
  <c r="Q168" i="4"/>
  <c r="P168" i="4"/>
  <c r="Q167" i="4"/>
  <c r="P167" i="4"/>
  <c r="Q166" i="4"/>
  <c r="P166" i="4"/>
  <c r="Q165" i="4"/>
  <c r="P165" i="4"/>
  <c r="Q164" i="4"/>
  <c r="P164" i="4"/>
  <c r="Q163" i="4"/>
  <c r="P163" i="4"/>
  <c r="Q162" i="4"/>
  <c r="P162" i="4"/>
  <c r="Q161" i="4"/>
  <c r="P161" i="4"/>
  <c r="Q160" i="4"/>
  <c r="P160" i="4"/>
  <c r="Q159" i="4"/>
  <c r="P159" i="4"/>
  <c r="Q158" i="4"/>
  <c r="P158" i="4"/>
  <c r="Q157" i="4"/>
  <c r="P157" i="4"/>
  <c r="Q156" i="4"/>
  <c r="P156" i="4"/>
  <c r="Q155" i="4"/>
  <c r="P155" i="4"/>
  <c r="Q154" i="4"/>
  <c r="P154" i="4"/>
  <c r="Q153" i="4"/>
  <c r="P153" i="4"/>
  <c r="Q152" i="4"/>
  <c r="P152" i="4"/>
  <c r="Q151" i="4"/>
  <c r="P151" i="4"/>
  <c r="Q150" i="4"/>
  <c r="P150" i="4"/>
  <c r="Q149" i="4"/>
  <c r="P149" i="4"/>
  <c r="Q148" i="4"/>
  <c r="P148" i="4"/>
  <c r="Q147" i="4"/>
  <c r="P147" i="4"/>
  <c r="Q146" i="4"/>
  <c r="P146" i="4"/>
  <c r="Q145" i="4"/>
  <c r="P145" i="4"/>
  <c r="Q144" i="4"/>
  <c r="P144" i="4"/>
  <c r="Q143" i="4"/>
  <c r="P143" i="4"/>
  <c r="Q142" i="4"/>
  <c r="P142" i="4"/>
  <c r="Q141" i="4"/>
  <c r="P141" i="4"/>
  <c r="Q140" i="4"/>
  <c r="P140" i="4"/>
  <c r="Q139" i="4"/>
  <c r="P139" i="4"/>
  <c r="Q138" i="4"/>
  <c r="P138" i="4"/>
  <c r="Q137" i="4"/>
  <c r="P137" i="4"/>
  <c r="Q136" i="4"/>
  <c r="P136" i="4"/>
  <c r="Q135" i="4"/>
  <c r="P135" i="4"/>
  <c r="Q134" i="4"/>
  <c r="P134" i="4"/>
  <c r="Q133" i="4"/>
  <c r="P133" i="4"/>
  <c r="Q132" i="4"/>
  <c r="P132" i="4"/>
  <c r="Q131" i="4"/>
  <c r="P131" i="4"/>
  <c r="Q130" i="4"/>
  <c r="P130" i="4"/>
  <c r="Q129" i="4"/>
  <c r="P129" i="4"/>
  <c r="Q128" i="4"/>
  <c r="P128" i="4"/>
  <c r="Q127" i="4"/>
  <c r="P127" i="4"/>
  <c r="Q126" i="4"/>
  <c r="P126" i="4"/>
  <c r="Q125" i="4"/>
  <c r="P125" i="4"/>
  <c r="Q124" i="4"/>
  <c r="P124" i="4"/>
  <c r="Q123" i="4"/>
  <c r="P123" i="4"/>
  <c r="Q122" i="4"/>
  <c r="P122" i="4"/>
  <c r="Q121" i="4"/>
  <c r="P121" i="4"/>
  <c r="Q120" i="4"/>
  <c r="P120" i="4"/>
  <c r="Q119" i="4"/>
  <c r="P119" i="4"/>
  <c r="Q118" i="4"/>
  <c r="P118" i="4"/>
  <c r="Q117" i="4"/>
  <c r="P117" i="4"/>
  <c r="Q116" i="4"/>
  <c r="P116" i="4"/>
  <c r="Q115" i="4"/>
  <c r="P115" i="4"/>
  <c r="Q114" i="4"/>
  <c r="P114" i="4"/>
  <c r="Q113" i="4"/>
  <c r="P113" i="4"/>
  <c r="Q112" i="4"/>
  <c r="P112" i="4"/>
  <c r="Q111" i="4"/>
  <c r="P111" i="4"/>
  <c r="Q110" i="4"/>
  <c r="P110" i="4"/>
  <c r="Q109" i="4"/>
  <c r="P109" i="4"/>
  <c r="Q108" i="4"/>
  <c r="P108" i="4"/>
  <c r="Q107" i="4"/>
  <c r="P107" i="4"/>
  <c r="Q106" i="4"/>
  <c r="P106" i="4"/>
  <c r="Q103" i="4"/>
  <c r="P103" i="4"/>
  <c r="Q102" i="4"/>
  <c r="P102" i="4"/>
  <c r="Q101" i="4"/>
  <c r="P101" i="4"/>
  <c r="Q100" i="4"/>
  <c r="P100" i="4"/>
  <c r="Q99" i="4"/>
  <c r="P99" i="4"/>
  <c r="Q98" i="4"/>
  <c r="P98" i="4"/>
  <c r="Q97" i="4"/>
  <c r="P97" i="4"/>
  <c r="Q96" i="4"/>
  <c r="P96" i="4"/>
  <c r="Q95" i="4"/>
  <c r="P95" i="4"/>
  <c r="Q94" i="4"/>
  <c r="P94" i="4"/>
  <c r="Q93" i="4"/>
  <c r="P93" i="4"/>
  <c r="Q92" i="4"/>
  <c r="P92" i="4"/>
  <c r="Q91" i="4"/>
  <c r="P91" i="4"/>
  <c r="Q90" i="4"/>
  <c r="P90" i="4"/>
  <c r="Q89" i="4"/>
  <c r="P89" i="4"/>
  <c r="Q84" i="4"/>
  <c r="P84" i="4"/>
  <c r="Q83" i="4"/>
  <c r="P83" i="4"/>
  <c r="Q32" i="4"/>
  <c r="P32" i="4"/>
  <c r="Q31" i="4"/>
  <c r="P31" i="4"/>
  <c r="Q29" i="4"/>
  <c r="P29" i="4"/>
  <c r="Q28" i="4"/>
  <c r="P28" i="4"/>
  <c r="Q27" i="4"/>
  <c r="P27" i="4"/>
  <c r="Q26" i="4"/>
  <c r="P26" i="4"/>
  <c r="Q25" i="4"/>
  <c r="P25" i="4"/>
  <c r="Q24" i="4"/>
  <c r="P24" i="4"/>
  <c r="Q23" i="4"/>
  <c r="P23" i="4"/>
  <c r="Q22" i="4"/>
  <c r="P22" i="4"/>
  <c r="Q21" i="4"/>
  <c r="P21" i="4"/>
  <c r="Q20" i="4"/>
  <c r="P20" i="4"/>
  <c r="Q18" i="4"/>
  <c r="P18" i="4"/>
  <c r="Q17" i="4"/>
  <c r="P17" i="4"/>
  <c r="Q16" i="4"/>
  <c r="P16" i="4"/>
  <c r="Q13" i="4"/>
  <c r="P13" i="4"/>
  <c r="G106" i="8"/>
  <c r="G113" i="8" s="1"/>
  <c r="U220" i="4" l="1"/>
  <c r="E32" i="1" s="1"/>
  <c r="U123" i="4"/>
  <c r="E20" i="1" s="1"/>
  <c r="V106" i="4"/>
  <c r="F18" i="1" s="1"/>
  <c r="V178" i="4"/>
  <c r="F26" i="1" s="1"/>
  <c r="V237" i="4"/>
  <c r="F35" i="1" s="1"/>
  <c r="V220" i="4"/>
  <c r="F32" i="1" s="1"/>
  <c r="U215" i="4"/>
  <c r="E31" i="1" s="1"/>
  <c r="V132" i="4"/>
  <c r="F21" i="1" s="1"/>
  <c r="V215" i="4"/>
  <c r="F31" i="1" s="1"/>
  <c r="U93" i="4"/>
  <c r="E16" i="1" s="1"/>
  <c r="U102" i="4"/>
  <c r="E17" i="1" s="1"/>
  <c r="U132" i="4"/>
  <c r="E21" i="1" s="1"/>
  <c r="U145" i="4"/>
  <c r="E22" i="1" s="1"/>
  <c r="U151" i="4"/>
  <c r="E23" i="1" s="1"/>
  <c r="V93" i="4"/>
  <c r="F16" i="1" s="1"/>
  <c r="V102" i="4"/>
  <c r="F17" i="1" s="1"/>
  <c r="V145" i="4"/>
  <c r="F22" i="1" s="1"/>
  <c r="U116" i="4"/>
  <c r="E19" i="1" s="1"/>
  <c r="U194" i="4"/>
  <c r="E28" i="1" s="1"/>
  <c r="U199" i="4"/>
  <c r="E29" i="1" s="1"/>
  <c r="V116" i="4"/>
  <c r="F19" i="1" s="1"/>
  <c r="V151" i="4"/>
  <c r="F23" i="1" s="1"/>
  <c r="V194" i="4"/>
  <c r="F28" i="1" s="1"/>
  <c r="V199" i="4"/>
  <c r="F29" i="1" s="1"/>
  <c r="V123" i="4"/>
  <c r="F20" i="1" s="1"/>
  <c r="U106" i="4"/>
  <c r="E18" i="1" s="1"/>
  <c r="U178" i="4"/>
  <c r="E26" i="1" s="1"/>
  <c r="H44" i="29"/>
  <c r="H23" i="28"/>
  <c r="H14" i="28"/>
  <c r="H21" i="27"/>
  <c r="H13" i="27"/>
  <c r="H20" i="30"/>
  <c r="E12" i="21"/>
  <c r="H12" i="21" s="1"/>
  <c r="E11" i="21"/>
  <c r="H11" i="21" s="1"/>
  <c r="E10" i="21"/>
  <c r="H10" i="21" s="1"/>
  <c r="E9" i="21"/>
  <c r="H9" i="21" s="1"/>
  <c r="E26" i="21"/>
  <c r="H26" i="21" s="1"/>
  <c r="E62" i="12"/>
  <c r="H62" i="12" s="1"/>
  <c r="E61" i="12"/>
  <c r="E60" i="12"/>
  <c r="E59" i="12"/>
  <c r="H59" i="12" s="1"/>
  <c r="H27" i="12"/>
  <c r="E43" i="12"/>
  <c r="H43" i="12" s="1"/>
  <c r="E42" i="12"/>
  <c r="E41" i="12"/>
  <c r="E40" i="12"/>
  <c r="H40" i="12" s="1"/>
  <c r="E24" i="12"/>
  <c r="H24" i="12" s="1"/>
  <c r="E23" i="12"/>
  <c r="E22" i="12"/>
  <c r="E21" i="12"/>
  <c r="H21" i="12" s="1"/>
  <c r="G132" i="8"/>
  <c r="G145" i="8"/>
  <c r="G164" i="8"/>
  <c r="G91" i="8"/>
  <c r="G90" i="8"/>
  <c r="G75" i="8"/>
  <c r="G74" i="8"/>
  <c r="G147" i="8" l="1"/>
  <c r="G148" i="8" s="1"/>
  <c r="G135" i="8" s="1"/>
  <c r="G120" i="8"/>
  <c r="G93" i="8"/>
  <c r="G77" i="8"/>
  <c r="G52" i="8"/>
  <c r="G60" i="8"/>
  <c r="G59" i="8"/>
  <c r="G166" i="8" l="1"/>
  <c r="G167" i="8" s="1"/>
  <c r="G151" i="8" s="1"/>
  <c r="G56" i="8"/>
  <c r="G55" i="8"/>
  <c r="G54" i="8"/>
  <c r="G53" i="8"/>
  <c r="G62" i="8"/>
  <c r="G78" i="8" s="1"/>
  <c r="E37" i="21"/>
  <c r="E68" i="17"/>
  <c r="G80" i="8" l="1"/>
  <c r="C21" i="31"/>
  <c r="C27" i="31" s="1"/>
  <c r="B2" i="3" a="1"/>
  <c r="B2" i="3" s="1"/>
  <c r="B2" i="8" a="1"/>
  <c r="B2" i="8" s="1"/>
  <c r="B2" i="10" a="1"/>
  <c r="B2" i="10" s="1"/>
  <c r="B2" i="11" a="1"/>
  <c r="B2" i="11" s="1"/>
  <c r="B2" i="12" a="1"/>
  <c r="B2" i="12" s="1"/>
  <c r="B2" i="14" a="1"/>
  <c r="B2" i="14" s="1"/>
  <c r="B2" i="13" a="1"/>
  <c r="B2" i="13" s="1"/>
  <c r="B2" i="15" a="1"/>
  <c r="B2" i="15" s="1"/>
  <c r="B2" i="16" a="1"/>
  <c r="B2" i="16" s="1"/>
  <c r="B2" i="17" a="1"/>
  <c r="B2" i="17" s="1"/>
  <c r="B2" i="18" a="1"/>
  <c r="B2" i="18" s="1"/>
  <c r="B2" i="20" a="1"/>
  <c r="B2" i="20" s="1"/>
  <c r="B2" i="21" a="1"/>
  <c r="B2" i="21" s="1"/>
  <c r="B2" i="22" a="1"/>
  <c r="B2" i="22" s="1"/>
  <c r="B2" i="23" a="1"/>
  <c r="B2" i="23" s="1"/>
  <c r="B2" i="24" a="1"/>
  <c r="B2" i="24" s="1"/>
  <c r="B2" i="19" a="1"/>
  <c r="B2" i="19" s="1"/>
  <c r="B2" i="25" a="1"/>
  <c r="B2" i="25" s="1"/>
  <c r="B2" i="26" a="1"/>
  <c r="B2" i="26" s="1"/>
  <c r="B2" i="27" a="1"/>
  <c r="B2" i="27" s="1"/>
  <c r="B2" i="28" a="1"/>
  <c r="B2" i="28" s="1"/>
  <c r="B2" i="29" a="1"/>
  <c r="B2" i="29" s="1"/>
  <c r="B2" i="30" a="1"/>
  <c r="B2" i="30" s="1"/>
  <c r="D60" i="32"/>
  <c r="C60" i="32"/>
  <c r="D59" i="32"/>
  <c r="C59" i="32"/>
  <c r="D58" i="32"/>
  <c r="C58" i="32"/>
  <c r="C4" i="31"/>
  <c r="D10" i="31" s="1"/>
  <c r="C16" i="31"/>
  <c r="C28" i="31"/>
  <c r="D28" i="9"/>
  <c r="D21" i="9"/>
  <c r="D27" i="9" s="1"/>
  <c r="D29" i="9" s="1"/>
  <c r="D16" i="9"/>
  <c r="G67" i="8" l="1"/>
  <c r="G95" i="8"/>
  <c r="G96" i="8" s="1"/>
  <c r="G83" i="8" s="1"/>
  <c r="D9" i="31"/>
  <c r="D7" i="31"/>
  <c r="D11" i="31"/>
  <c r="D8" i="31"/>
  <c r="C29" i="31"/>
  <c r="H28" i="30" l="1"/>
  <c r="H13" i="30"/>
  <c r="I13" i="30" s="1"/>
  <c r="G21" i="30" s="1"/>
  <c r="H21" i="30" s="1"/>
  <c r="H7" i="30"/>
  <c r="N5" i="30"/>
  <c r="M5" i="30"/>
  <c r="L5" i="30"/>
  <c r="K5" i="30"/>
  <c r="J5" i="30"/>
  <c r="H37" i="29"/>
  <c r="I37" i="29" s="1"/>
  <c r="N5" i="29"/>
  <c r="M5" i="29"/>
  <c r="L5" i="29"/>
  <c r="K5" i="29"/>
  <c r="J5" i="29"/>
  <c r="H45" i="28"/>
  <c r="H7" i="28"/>
  <c r="I7" i="28" s="1"/>
  <c r="G15" i="28" s="1"/>
  <c r="H15" i="28" s="1"/>
  <c r="N5" i="28"/>
  <c r="M5" i="28"/>
  <c r="L5" i="28"/>
  <c r="K5" i="28"/>
  <c r="J5" i="28"/>
  <c r="J57" i="28" s="1"/>
  <c r="H7" i="27"/>
  <c r="N5" i="27"/>
  <c r="M5" i="27"/>
  <c r="L5" i="27"/>
  <c r="K5" i="27"/>
  <c r="J5" i="27"/>
  <c r="J26" i="27" s="1"/>
  <c r="N5" i="26"/>
  <c r="M5" i="26"/>
  <c r="L5" i="26"/>
  <c r="K5" i="26"/>
  <c r="J5" i="26"/>
  <c r="H61" i="25"/>
  <c r="H44" i="25"/>
  <c r="N5" i="25"/>
  <c r="M5" i="25"/>
  <c r="L5" i="25"/>
  <c r="K5" i="25"/>
  <c r="J5" i="25"/>
  <c r="N5" i="24"/>
  <c r="M5" i="24"/>
  <c r="L5" i="24"/>
  <c r="K5" i="24"/>
  <c r="J5" i="24"/>
  <c r="H15" i="23"/>
  <c r="H8" i="23"/>
  <c r="I8" i="23" s="1"/>
  <c r="N5" i="23"/>
  <c r="M5" i="23"/>
  <c r="L5" i="23"/>
  <c r="K5" i="23"/>
  <c r="J5" i="23"/>
  <c r="K57" i="28" l="1"/>
  <c r="L57" i="28"/>
  <c r="J25" i="30"/>
  <c r="K25" i="30" s="1"/>
  <c r="L25" i="30" s="1"/>
  <c r="J32" i="30"/>
  <c r="J10" i="30"/>
  <c r="J17" i="30"/>
  <c r="K10" i="30"/>
  <c r="L10" i="30" s="1"/>
  <c r="M10" i="30" s="1"/>
  <c r="N10" i="30" s="1"/>
  <c r="O10" i="30" s="1"/>
  <c r="P10" i="30" s="1"/>
  <c r="G46" i="29"/>
  <c r="H46" i="29" s="1"/>
  <c r="I46" i="29" s="1"/>
  <c r="J46" i="29" s="1"/>
  <c r="J40" i="29"/>
  <c r="J51" i="29"/>
  <c r="K40" i="29"/>
  <c r="L40" i="29" s="1"/>
  <c r="M40" i="29" s="1"/>
  <c r="J27" i="29"/>
  <c r="J34" i="29"/>
  <c r="J12" i="29"/>
  <c r="J19" i="29"/>
  <c r="J42" i="28"/>
  <c r="J48" i="28"/>
  <c r="K42" i="28"/>
  <c r="L42" i="28" s="1"/>
  <c r="M42" i="28" s="1"/>
  <c r="N42" i="28" s="1"/>
  <c r="J28" i="28"/>
  <c r="K28" i="28" s="1"/>
  <c r="L28" i="28" s="1"/>
  <c r="M28" i="28" s="1"/>
  <c r="J31" i="28"/>
  <c r="J34" i="28"/>
  <c r="J10" i="28"/>
  <c r="K10" i="28" s="1"/>
  <c r="L10" i="28" s="1"/>
  <c r="M10" i="28" s="1"/>
  <c r="N10" i="28" s="1"/>
  <c r="J19" i="28"/>
  <c r="J64" i="26"/>
  <c r="J57" i="26"/>
  <c r="J42" i="26"/>
  <c r="J49" i="26"/>
  <c r="J27" i="26"/>
  <c r="J34" i="26"/>
  <c r="J12" i="26"/>
  <c r="J19" i="26"/>
  <c r="K26" i="27"/>
  <c r="L26" i="27" s="1"/>
  <c r="J10" i="27"/>
  <c r="K10" i="27" s="1"/>
  <c r="L10" i="27" s="1"/>
  <c r="J18" i="27"/>
  <c r="J83" i="25"/>
  <c r="J98" i="25"/>
  <c r="K83" i="25"/>
  <c r="L83" i="25" s="1"/>
  <c r="J51" i="25"/>
  <c r="K51" i="25" s="1"/>
  <c r="L51" i="25" s="1"/>
  <c r="J68" i="25"/>
  <c r="J128" i="25"/>
  <c r="J121" i="25"/>
  <c r="J106" i="25"/>
  <c r="J113" i="25"/>
  <c r="J27" i="25"/>
  <c r="J34" i="25"/>
  <c r="J19" i="25"/>
  <c r="J12" i="25"/>
  <c r="J72" i="24"/>
  <c r="J79" i="24"/>
  <c r="J64" i="24"/>
  <c r="J57" i="24"/>
  <c r="J42" i="24"/>
  <c r="J49" i="24"/>
  <c r="J27" i="24"/>
  <c r="J34" i="24"/>
  <c r="J12" i="24"/>
  <c r="J19" i="24"/>
  <c r="J43" i="23"/>
  <c r="J36" i="23"/>
  <c r="J27" i="23"/>
  <c r="K27" i="23"/>
  <c r="L27" i="23" s="1"/>
  <c r="J11" i="23"/>
  <c r="K11" i="23" s="1"/>
  <c r="L11" i="23" s="1"/>
  <c r="J18" i="23"/>
  <c r="I7" i="27"/>
  <c r="I15" i="28"/>
  <c r="I45" i="28"/>
  <c r="I21" i="30"/>
  <c r="J21" i="30" s="1"/>
  <c r="J7" i="30"/>
  <c r="K7" i="30" s="1"/>
  <c r="L7" i="30" s="1"/>
  <c r="I28" i="30"/>
  <c r="J28" i="30" s="1"/>
  <c r="I44" i="25"/>
  <c r="G58" i="25" s="1"/>
  <c r="H58" i="25" s="1"/>
  <c r="I61" i="25" s="1"/>
  <c r="I15" i="23"/>
  <c r="J15" i="23" s="1"/>
  <c r="K15" i="23" s="1"/>
  <c r="I23" i="23"/>
  <c r="J23" i="23" s="1"/>
  <c r="K23" i="23" s="1"/>
  <c r="L23" i="23" s="1"/>
  <c r="J13" i="30"/>
  <c r="J37" i="29"/>
  <c r="J7" i="28"/>
  <c r="K7" i="28" s="1"/>
  <c r="J8" i="23"/>
  <c r="H127" i="22"/>
  <c r="N5" i="22"/>
  <c r="M5" i="22"/>
  <c r="L5" i="22"/>
  <c r="K5" i="22"/>
  <c r="J5" i="22"/>
  <c r="H37" i="21"/>
  <c r="H27" i="21"/>
  <c r="H13" i="21"/>
  <c r="I13" i="21" s="1"/>
  <c r="N5" i="21"/>
  <c r="M5" i="21"/>
  <c r="L5" i="21"/>
  <c r="K5" i="21"/>
  <c r="J5" i="21"/>
  <c r="N5" i="20"/>
  <c r="M5" i="20"/>
  <c r="L5" i="20"/>
  <c r="K5" i="20"/>
  <c r="J5" i="20"/>
  <c r="M57" i="28" l="1"/>
  <c r="N57" i="28" s="1"/>
  <c r="K32" i="30"/>
  <c r="L32" i="30" s="1"/>
  <c r="M25" i="30"/>
  <c r="N25" i="30" s="1"/>
  <c r="O25" i="30" s="1"/>
  <c r="P25" i="30" s="1"/>
  <c r="K17" i="30"/>
  <c r="L17" i="30" s="1"/>
  <c r="K51" i="29"/>
  <c r="L51" i="29" s="1"/>
  <c r="M51" i="29" s="1"/>
  <c r="N51" i="29" s="1"/>
  <c r="O51" i="29" s="1"/>
  <c r="P51" i="29" s="1"/>
  <c r="O235" i="4" s="1"/>
  <c r="N40" i="29"/>
  <c r="O40" i="29" s="1"/>
  <c r="P40" i="29" s="1"/>
  <c r="K34" i="29"/>
  <c r="L34" i="29" s="1"/>
  <c r="K27" i="29"/>
  <c r="L27" i="29" s="1"/>
  <c r="M27" i="29" s="1"/>
  <c r="K19" i="29"/>
  <c r="L19" i="29" s="1"/>
  <c r="M19" i="29" s="1"/>
  <c r="K12" i="29"/>
  <c r="L12" i="29" s="1"/>
  <c r="K48" i="28"/>
  <c r="L48" i="28" s="1"/>
  <c r="O42" i="28"/>
  <c r="O228" i="4" s="1"/>
  <c r="K34" i="28"/>
  <c r="L34" i="28" s="1"/>
  <c r="M34" i="28" s="1"/>
  <c r="N34" i="28" s="1"/>
  <c r="O34" i="28" s="1"/>
  <c r="K31" i="28"/>
  <c r="L31" i="28" s="1"/>
  <c r="N28" i="28"/>
  <c r="O28" i="28" s="1"/>
  <c r="P28" i="28" s="1"/>
  <c r="O226" i="4" s="1"/>
  <c r="Q226" i="4" s="1"/>
  <c r="K19" i="28"/>
  <c r="L19" i="28" s="1"/>
  <c r="M19" i="28" s="1"/>
  <c r="N19" i="28" s="1"/>
  <c r="O19" i="28" s="1"/>
  <c r="P19" i="28" s="1"/>
  <c r="O225" i="4" s="1"/>
  <c r="Q225" i="4" s="1"/>
  <c r="O10" i="28"/>
  <c r="P10" i="28" s="1"/>
  <c r="O224" i="4" s="1"/>
  <c r="Q224" i="4" s="1"/>
  <c r="H38" i="28"/>
  <c r="I38" i="28" s="1"/>
  <c r="J38" i="28" s="1"/>
  <c r="K38" i="28" s="1"/>
  <c r="K57" i="26"/>
  <c r="L57" i="26"/>
  <c r="M57" i="26"/>
  <c r="N57" i="26" s="1"/>
  <c r="O57" i="26" s="1"/>
  <c r="P57" i="26" s="1"/>
  <c r="K64" i="26"/>
  <c r="L64" i="26" s="1"/>
  <c r="M64" i="26"/>
  <c r="N64" i="26" s="1"/>
  <c r="K49" i="26"/>
  <c r="L49" i="26" s="1"/>
  <c r="M49" i="26" s="1"/>
  <c r="N49" i="26" s="1"/>
  <c r="K42" i="26"/>
  <c r="L42" i="26" s="1"/>
  <c r="M42" i="26" s="1"/>
  <c r="N42" i="26" s="1"/>
  <c r="O42" i="26" s="1"/>
  <c r="P42" i="26" s="1"/>
  <c r="N217" i="4" s="1"/>
  <c r="K34" i="26"/>
  <c r="L34" i="26" s="1"/>
  <c r="M34" i="26" s="1"/>
  <c r="K27" i="26"/>
  <c r="L27" i="26" s="1"/>
  <c r="M27" i="26" s="1"/>
  <c r="N27" i="26" s="1"/>
  <c r="O27" i="26" s="1"/>
  <c r="P27" i="26" s="1"/>
  <c r="N216" i="4" s="1"/>
  <c r="K19" i="26"/>
  <c r="L19" i="26" s="1"/>
  <c r="M19" i="26" s="1"/>
  <c r="K12" i="26"/>
  <c r="L12" i="26" s="1"/>
  <c r="M26" i="27"/>
  <c r="N26" i="27" s="1"/>
  <c r="O26" i="27" s="1"/>
  <c r="P26" i="27" s="1"/>
  <c r="K18" i="27"/>
  <c r="L18" i="27" s="1"/>
  <c r="M10" i="27"/>
  <c r="N10" i="27" s="1"/>
  <c r="J7" i="27"/>
  <c r="K7" i="27" s="1"/>
  <c r="G14" i="27"/>
  <c r="H14" i="27" s="1"/>
  <c r="I14" i="27" s="1"/>
  <c r="G22" i="27" s="1"/>
  <c r="H22" i="27" s="1"/>
  <c r="I22" i="27" s="1"/>
  <c r="J22" i="27" s="1"/>
  <c r="K22" i="27" s="1"/>
  <c r="K98" i="25"/>
  <c r="L98" i="25" s="1"/>
  <c r="M98" i="25" s="1"/>
  <c r="N98" i="25" s="1"/>
  <c r="O98" i="25" s="1"/>
  <c r="P98" i="25" s="1"/>
  <c r="M83" i="25"/>
  <c r="N83" i="25" s="1"/>
  <c r="O83" i="25" s="1"/>
  <c r="P83" i="25" s="1"/>
  <c r="J61" i="25"/>
  <c r="K61" i="25" s="1"/>
  <c r="L61" i="25" s="1"/>
  <c r="G75" i="25"/>
  <c r="H75" i="25" s="1"/>
  <c r="I76" i="25" s="1"/>
  <c r="K68" i="25"/>
  <c r="L68" i="25" s="1"/>
  <c r="M51" i="25"/>
  <c r="N51" i="25" s="1"/>
  <c r="O51" i="25" s="1"/>
  <c r="P51" i="25" s="1"/>
  <c r="K121" i="25"/>
  <c r="L121" i="25" s="1"/>
  <c r="M121" i="25" s="1"/>
  <c r="N121" i="25" s="1"/>
  <c r="O121" i="25" s="1"/>
  <c r="P121" i="25" s="1"/>
  <c r="K128" i="25"/>
  <c r="L128" i="25" s="1"/>
  <c r="K113" i="25"/>
  <c r="L113" i="25" s="1"/>
  <c r="M113" i="25" s="1"/>
  <c r="N113" i="25" s="1"/>
  <c r="O113" i="25" s="1"/>
  <c r="P113" i="25" s="1"/>
  <c r="K106" i="25"/>
  <c r="L106" i="25" s="1"/>
  <c r="M106" i="25" s="1"/>
  <c r="N106" i="25" s="1"/>
  <c r="O106" i="25" s="1"/>
  <c r="P106" i="25" s="1"/>
  <c r="K34" i="25"/>
  <c r="K27" i="25"/>
  <c r="L27" i="25" s="1"/>
  <c r="K12" i="25"/>
  <c r="L12" i="25" s="1"/>
  <c r="M12" i="25" s="1"/>
  <c r="N12" i="25" s="1"/>
  <c r="K19" i="25"/>
  <c r="J44" i="25"/>
  <c r="K44" i="25" s="1"/>
  <c r="L44" i="25" s="1"/>
  <c r="M44" i="25" s="1"/>
  <c r="N44" i="25" s="1"/>
  <c r="K79" i="24"/>
  <c r="L79" i="24"/>
  <c r="K72" i="24"/>
  <c r="L72" i="24"/>
  <c r="M72" i="24"/>
  <c r="N72" i="24" s="1"/>
  <c r="O72" i="24" s="1"/>
  <c r="P72" i="24" s="1"/>
  <c r="K57" i="24"/>
  <c r="L57" i="24"/>
  <c r="M57" i="24" s="1"/>
  <c r="K64" i="24"/>
  <c r="L64" i="24" s="1"/>
  <c r="K49" i="24"/>
  <c r="K42" i="24"/>
  <c r="K34" i="24"/>
  <c r="L34" i="24"/>
  <c r="M34" i="24"/>
  <c r="N34" i="24" s="1"/>
  <c r="K27" i="24"/>
  <c r="L27" i="24" s="1"/>
  <c r="K19" i="24"/>
  <c r="L19" i="24"/>
  <c r="M19" i="24" s="1"/>
  <c r="N19" i="24" s="1"/>
  <c r="K12" i="24"/>
  <c r="L12" i="24" s="1"/>
  <c r="K36" i="23"/>
  <c r="L36" i="23" s="1"/>
  <c r="M36" i="23" s="1"/>
  <c r="K43" i="23"/>
  <c r="L43" i="23" s="1"/>
  <c r="M27" i="23"/>
  <c r="N27" i="23" s="1"/>
  <c r="O27" i="23" s="1"/>
  <c r="P27" i="23" s="1"/>
  <c r="O191" i="4" s="1"/>
  <c r="Q191" i="4" s="1"/>
  <c r="J87" i="22"/>
  <c r="J64" i="22"/>
  <c r="J42" i="22"/>
  <c r="J94" i="22"/>
  <c r="J49" i="22"/>
  <c r="J109" i="22"/>
  <c r="J102" i="22"/>
  <c r="J57" i="22"/>
  <c r="J117" i="22"/>
  <c r="J124" i="22"/>
  <c r="J19" i="22"/>
  <c r="J34" i="22"/>
  <c r="J151" i="22"/>
  <c r="J72" i="22"/>
  <c r="J27" i="22"/>
  <c r="J144" i="22"/>
  <c r="J12" i="22"/>
  <c r="J79" i="22"/>
  <c r="J40" i="21"/>
  <c r="K40" i="21" s="1"/>
  <c r="L40" i="21" s="1"/>
  <c r="J55" i="21"/>
  <c r="J48" i="21"/>
  <c r="J190" i="20"/>
  <c r="J183" i="20"/>
  <c r="J176" i="20"/>
  <c r="J169" i="20"/>
  <c r="J162" i="20"/>
  <c r="J155" i="20"/>
  <c r="J148" i="20"/>
  <c r="J141" i="20"/>
  <c r="J126" i="20"/>
  <c r="J133" i="20"/>
  <c r="J119" i="20"/>
  <c r="J112" i="20"/>
  <c r="J98" i="20"/>
  <c r="J105" i="20"/>
  <c r="J91" i="20"/>
  <c r="J84" i="20"/>
  <c r="J77" i="20"/>
  <c r="J70" i="20"/>
  <c r="J56" i="20"/>
  <c r="J63" i="20"/>
  <c r="J49" i="20"/>
  <c r="J42" i="20"/>
  <c r="J34" i="20"/>
  <c r="J27" i="20"/>
  <c r="J12" i="20"/>
  <c r="J19" i="20"/>
  <c r="K18" i="23"/>
  <c r="L18" i="23" s="1"/>
  <c r="M18" i="23" s="1"/>
  <c r="M11" i="23"/>
  <c r="N11" i="23" s="1"/>
  <c r="O11" i="23" s="1"/>
  <c r="P11" i="23" s="1"/>
  <c r="O189" i="4" s="1"/>
  <c r="Q189" i="4" s="1"/>
  <c r="J21" i="21"/>
  <c r="K21" i="21" s="1"/>
  <c r="J32" i="21"/>
  <c r="J15" i="28"/>
  <c r="K15" i="28" s="1"/>
  <c r="G24" i="28"/>
  <c r="H24" i="28" s="1"/>
  <c r="I24" i="28" s="1"/>
  <c r="J24" i="28" s="1"/>
  <c r="K24" i="28" s="1"/>
  <c r="L24" i="28" s="1"/>
  <c r="M24" i="28" s="1"/>
  <c r="J45" i="28"/>
  <c r="K45" i="28" s="1"/>
  <c r="G53" i="28"/>
  <c r="H53" i="28" s="1"/>
  <c r="I53" i="28" s="1"/>
  <c r="J53" i="28" s="1"/>
  <c r="K53" i="28" s="1"/>
  <c r="I127" i="22"/>
  <c r="J127" i="22" s="1"/>
  <c r="K127" i="22" s="1"/>
  <c r="I37" i="21"/>
  <c r="J37" i="21" s="1"/>
  <c r="K37" i="21" s="1"/>
  <c r="I27" i="21"/>
  <c r="J27" i="21" s="1"/>
  <c r="M7" i="30"/>
  <c r="K28" i="30"/>
  <c r="L28" i="30" s="1"/>
  <c r="K21" i="30"/>
  <c r="K13" i="30"/>
  <c r="L13" i="30" s="1"/>
  <c r="K46" i="29"/>
  <c r="L46" i="29" s="1"/>
  <c r="K37" i="29"/>
  <c r="L7" i="28"/>
  <c r="M7" i="28" s="1"/>
  <c r="N7" i="28" s="1"/>
  <c r="O7" i="28" s="1"/>
  <c r="P7" i="28" s="1"/>
  <c r="N224" i="4" s="1"/>
  <c r="P224" i="4" s="1"/>
  <c r="M23" i="23"/>
  <c r="N23" i="23" s="1"/>
  <c r="O23" i="23" s="1"/>
  <c r="K8" i="23"/>
  <c r="L15" i="23"/>
  <c r="J13" i="21"/>
  <c r="K13" i="21" s="1"/>
  <c r="K226" i="4"/>
  <c r="K225" i="4"/>
  <c r="O57" i="28" l="1"/>
  <c r="P57" i="28" s="1"/>
  <c r="G90" i="25"/>
  <c r="H90" i="25" s="1"/>
  <c r="I91" i="25" s="1"/>
  <c r="M32" i="30"/>
  <c r="N32" i="30"/>
  <c r="M17" i="30"/>
  <c r="N17" i="30" s="1"/>
  <c r="N27" i="29"/>
  <c r="O27" i="29" s="1"/>
  <c r="P27" i="29" s="1"/>
  <c r="M12" i="29"/>
  <c r="M34" i="29"/>
  <c r="N12" i="29"/>
  <c r="O12" i="29" s="1"/>
  <c r="P12" i="29" s="1"/>
  <c r="N19" i="29"/>
  <c r="O19" i="29" s="1"/>
  <c r="P19" i="29" s="1"/>
  <c r="O232" i="4" s="1"/>
  <c r="Q232" i="4" s="1"/>
  <c r="V232" i="4" s="1"/>
  <c r="F34" i="1" s="1"/>
  <c r="M48" i="28"/>
  <c r="N48" i="28" s="1"/>
  <c r="O48" i="28" s="1"/>
  <c r="P48" i="28" s="1"/>
  <c r="O229" i="4" s="1"/>
  <c r="Q229" i="4" s="1"/>
  <c r="V224" i="4" s="1"/>
  <c r="F33" i="1" s="1"/>
  <c r="M31" i="28"/>
  <c r="N31" i="28" s="1"/>
  <c r="O31" i="28" s="1"/>
  <c r="L38" i="28"/>
  <c r="M38" i="28" s="1"/>
  <c r="O64" i="26"/>
  <c r="P64" i="26" s="1"/>
  <c r="O49" i="26"/>
  <c r="P49" i="26" s="1"/>
  <c r="O217" i="4" s="1"/>
  <c r="N34" i="26"/>
  <c r="O34" i="26" s="1"/>
  <c r="P34" i="26" s="1"/>
  <c r="O216" i="4" s="1"/>
  <c r="M12" i="26"/>
  <c r="N12" i="26" s="1"/>
  <c r="N19" i="26"/>
  <c r="O19" i="26" s="1"/>
  <c r="P19" i="26" s="1"/>
  <c r="M18" i="27"/>
  <c r="N18" i="27" s="1"/>
  <c r="J14" i="27"/>
  <c r="K14" i="27" s="1"/>
  <c r="J76" i="25"/>
  <c r="K76" i="25" s="1"/>
  <c r="M68" i="25"/>
  <c r="N68" i="25" s="1"/>
  <c r="M128" i="25"/>
  <c r="N128" i="25" s="1"/>
  <c r="O128" i="25" s="1"/>
  <c r="P128" i="25" s="1"/>
  <c r="M27" i="25"/>
  <c r="N27" i="25" s="1"/>
  <c r="O27" i="25" s="1"/>
  <c r="P27" i="25" s="1"/>
  <c r="L34" i="25"/>
  <c r="L19" i="25"/>
  <c r="O12" i="25"/>
  <c r="P12" i="25" s="1"/>
  <c r="N207" i="4" s="1"/>
  <c r="N57" i="24"/>
  <c r="O57" i="24" s="1"/>
  <c r="P57" i="24" s="1"/>
  <c r="L42" i="24"/>
  <c r="M42" i="24" s="1"/>
  <c r="N42" i="24" s="1"/>
  <c r="O42" i="24" s="1"/>
  <c r="P42" i="24" s="1"/>
  <c r="M79" i="24"/>
  <c r="M64" i="24"/>
  <c r="N64" i="24" s="1"/>
  <c r="O64" i="24" s="1"/>
  <c r="P64" i="24" s="1"/>
  <c r="L49" i="24"/>
  <c r="M49" i="24" s="1"/>
  <c r="N49" i="24" s="1"/>
  <c r="O49" i="24" s="1"/>
  <c r="P49" i="24" s="1"/>
  <c r="M27" i="24"/>
  <c r="N27" i="24" s="1"/>
  <c r="O27" i="24"/>
  <c r="P27" i="24" s="1"/>
  <c r="O34" i="24"/>
  <c r="P34" i="24" s="1"/>
  <c r="O19" i="24"/>
  <c r="P19" i="24" s="1"/>
  <c r="M12" i="24"/>
  <c r="N12" i="24" s="1"/>
  <c r="M43" i="23"/>
  <c r="N36" i="23"/>
  <c r="O36" i="23" s="1"/>
  <c r="P36" i="23" s="1"/>
  <c r="N192" i="4" s="1"/>
  <c r="K87" i="22"/>
  <c r="K124" i="22"/>
  <c r="L124" i="22" s="1"/>
  <c r="K117" i="22"/>
  <c r="L117" i="22" s="1"/>
  <c r="M117" i="22" s="1"/>
  <c r="N117" i="22" s="1"/>
  <c r="K57" i="22"/>
  <c r="L57" i="22" s="1"/>
  <c r="M57" i="22" s="1"/>
  <c r="K102" i="22"/>
  <c r="L102" i="22" s="1"/>
  <c r="M102" i="22" s="1"/>
  <c r="K109" i="22"/>
  <c r="L109" i="22" s="1"/>
  <c r="M109" i="22" s="1"/>
  <c r="K49" i="22"/>
  <c r="L49" i="22" s="1"/>
  <c r="M49" i="22" s="1"/>
  <c r="K94" i="22"/>
  <c r="L94" i="22" s="1"/>
  <c r="K42" i="22"/>
  <c r="L42" i="22" s="1"/>
  <c r="K64" i="22"/>
  <c r="L64" i="22" s="1"/>
  <c r="K144" i="22"/>
  <c r="L144" i="22" s="1"/>
  <c r="M144" i="22" s="1"/>
  <c r="K12" i="22"/>
  <c r="L12" i="22" s="1"/>
  <c r="K72" i="22"/>
  <c r="L72" i="22" s="1"/>
  <c r="M72" i="22" s="1"/>
  <c r="N72" i="22" s="1"/>
  <c r="K151" i="22"/>
  <c r="K27" i="22"/>
  <c r="L27" i="22" s="1"/>
  <c r="M27" i="22" s="1"/>
  <c r="N27" i="22" s="1"/>
  <c r="O27" i="22" s="1"/>
  <c r="P27" i="22" s="1"/>
  <c r="N179" i="4" s="1"/>
  <c r="K34" i="22"/>
  <c r="L34" i="22" s="1"/>
  <c r="K79" i="22"/>
  <c r="L79" i="22" s="1"/>
  <c r="K19" i="22"/>
  <c r="L19" i="22" s="1"/>
  <c r="K48" i="21"/>
  <c r="L48" i="21" s="1"/>
  <c r="K55" i="21"/>
  <c r="L55" i="21" s="1"/>
  <c r="M55" i="21" s="1"/>
  <c r="K183" i="20"/>
  <c r="L183" i="20" s="1"/>
  <c r="M183" i="20" s="1"/>
  <c r="N183" i="20" s="1"/>
  <c r="O183" i="20" s="1"/>
  <c r="P183" i="20" s="1"/>
  <c r="K190" i="20"/>
  <c r="L190" i="20" s="1"/>
  <c r="M190" i="20" s="1"/>
  <c r="K169" i="20"/>
  <c r="K176" i="20"/>
  <c r="L176" i="20" s="1"/>
  <c r="M176" i="20" s="1"/>
  <c r="N176" i="20" s="1"/>
  <c r="O176" i="20" s="1"/>
  <c r="P176" i="20" s="1"/>
  <c r="K155" i="20"/>
  <c r="L155" i="20" s="1"/>
  <c r="M155" i="20" s="1"/>
  <c r="K162" i="20"/>
  <c r="L162" i="20" s="1"/>
  <c r="K141" i="20"/>
  <c r="L141" i="20" s="1"/>
  <c r="K148" i="20"/>
  <c r="L148" i="20" s="1"/>
  <c r="M148" i="20" s="1"/>
  <c r="K133" i="20"/>
  <c r="L133" i="20" s="1"/>
  <c r="K126" i="20"/>
  <c r="L126" i="20" s="1"/>
  <c r="M126" i="20" s="1"/>
  <c r="N126" i="20" s="1"/>
  <c r="K112" i="20"/>
  <c r="L112" i="20" s="1"/>
  <c r="K119" i="20"/>
  <c r="L119" i="20" s="1"/>
  <c r="M119" i="20" s="1"/>
  <c r="N119" i="20" s="1"/>
  <c r="K105" i="20"/>
  <c r="L105" i="20" s="1"/>
  <c r="K98" i="20"/>
  <c r="L98" i="20" s="1"/>
  <c r="M98" i="20" s="1"/>
  <c r="N98" i="20" s="1"/>
  <c r="O98" i="20" s="1"/>
  <c r="P98" i="20" s="1"/>
  <c r="K84" i="20"/>
  <c r="L84" i="20" s="1"/>
  <c r="M84" i="20" s="1"/>
  <c r="N84" i="20" s="1"/>
  <c r="O84" i="20" s="1"/>
  <c r="P84" i="20" s="1"/>
  <c r="K91" i="20"/>
  <c r="L91" i="20" s="1"/>
  <c r="K70" i="20"/>
  <c r="L70" i="20" s="1"/>
  <c r="M70" i="20" s="1"/>
  <c r="K77" i="20"/>
  <c r="L77" i="20" s="1"/>
  <c r="M77" i="20" s="1"/>
  <c r="N77" i="20" s="1"/>
  <c r="K63" i="20"/>
  <c r="L63" i="20" s="1"/>
  <c r="M63" i="20" s="1"/>
  <c r="K56" i="20"/>
  <c r="L56" i="20" s="1"/>
  <c r="M56" i="20" s="1"/>
  <c r="K42" i="20"/>
  <c r="L42" i="20" s="1"/>
  <c r="K49" i="20"/>
  <c r="L49" i="20" s="1"/>
  <c r="K27" i="20"/>
  <c r="L27" i="20" s="1"/>
  <c r="M27" i="20" s="1"/>
  <c r="K34" i="20"/>
  <c r="L34" i="20" s="1"/>
  <c r="M34" i="20" s="1"/>
  <c r="K19" i="20"/>
  <c r="L19" i="20" s="1"/>
  <c r="K12" i="20"/>
  <c r="L12" i="20" s="1"/>
  <c r="M12" i="20" s="1"/>
  <c r="N12" i="20" s="1"/>
  <c r="O12" i="20" s="1"/>
  <c r="P12" i="20" s="1"/>
  <c r="M40" i="21"/>
  <c r="N18" i="23"/>
  <c r="O18" i="23" s="1"/>
  <c r="P18" i="23" s="1"/>
  <c r="O190" i="4" s="1"/>
  <c r="Q190" i="4" s="1"/>
  <c r="V189" i="4" s="1"/>
  <c r="F27" i="1" s="1"/>
  <c r="P23" i="23"/>
  <c r="N191" i="4" s="1"/>
  <c r="P191" i="4" s="1"/>
  <c r="L21" i="21"/>
  <c r="M21" i="21" s="1"/>
  <c r="N21" i="21" s="1"/>
  <c r="O21" i="21" s="1"/>
  <c r="P21" i="21" s="1"/>
  <c r="O173" i="4" s="1"/>
  <c r="Q173" i="4" s="1"/>
  <c r="K32" i="21"/>
  <c r="L32" i="21" s="1"/>
  <c r="M32" i="21" s="1"/>
  <c r="N32" i="21" s="1"/>
  <c r="O32" i="21" s="1"/>
  <c r="P32" i="21" s="1"/>
  <c r="O174" i="4" s="1"/>
  <c r="Q174" i="4" s="1"/>
  <c r="L53" i="28"/>
  <c r="M53" i="28" s="1"/>
  <c r="L22" i="27"/>
  <c r="M22" i="27" s="1"/>
  <c r="M13" i="30"/>
  <c r="N13" i="30" s="1"/>
  <c r="N24" i="28"/>
  <c r="O24" i="28" s="1"/>
  <c r="P24" i="28" s="1"/>
  <c r="N226" i="4" s="1"/>
  <c r="P226" i="4" s="1"/>
  <c r="L45" i="28"/>
  <c r="M45" i="28" s="1"/>
  <c r="N7" i="30"/>
  <c r="O7" i="30" s="1"/>
  <c r="P7" i="30" s="1"/>
  <c r="N237" i="4" s="1"/>
  <c r="P237" i="4" s="1"/>
  <c r="U237" i="4" s="1"/>
  <c r="E35" i="1" s="1"/>
  <c r="L13" i="21"/>
  <c r="M13" i="21" s="1"/>
  <c r="N13" i="21" s="1"/>
  <c r="L37" i="21"/>
  <c r="M37" i="21" s="1"/>
  <c r="N37" i="21" s="1"/>
  <c r="O37" i="21" s="1"/>
  <c r="M28" i="30"/>
  <c r="N28" i="30" s="1"/>
  <c r="L21" i="30"/>
  <c r="M46" i="29"/>
  <c r="N46" i="29" s="1"/>
  <c r="O46" i="29" s="1"/>
  <c r="P46" i="29" s="1"/>
  <c r="N235" i="4" s="1"/>
  <c r="L37" i="29"/>
  <c r="L15" i="28"/>
  <c r="M15" i="28" s="1"/>
  <c r="L7" i="27"/>
  <c r="M61" i="25"/>
  <c r="N61" i="25" s="1"/>
  <c r="O44" i="25"/>
  <c r="P44" i="25" s="1"/>
  <c r="L8" i="23"/>
  <c r="M8" i="23" s="1"/>
  <c r="M15" i="23"/>
  <c r="L127" i="22"/>
  <c r="K27" i="21"/>
  <c r="L27" i="21" s="1"/>
  <c r="K121" i="4"/>
  <c r="K114" i="4"/>
  <c r="K100" i="4"/>
  <c r="K83" i="4"/>
  <c r="K241" i="4"/>
  <c r="K240" i="4"/>
  <c r="K239" i="4"/>
  <c r="K238" i="4"/>
  <c r="K237" i="4"/>
  <c r="K235" i="4"/>
  <c r="K234" i="4"/>
  <c r="K233" i="4"/>
  <c r="K232" i="4"/>
  <c r="K230" i="4"/>
  <c r="K229" i="4"/>
  <c r="K228" i="4"/>
  <c r="K227" i="4"/>
  <c r="K224" i="4"/>
  <c r="K222" i="4"/>
  <c r="K221" i="4"/>
  <c r="K220" i="4"/>
  <c r="K218" i="4"/>
  <c r="K217" i="4"/>
  <c r="K216" i="4"/>
  <c r="K215" i="4"/>
  <c r="K213" i="4"/>
  <c r="K212" i="4"/>
  <c r="K211" i="4"/>
  <c r="K210" i="4"/>
  <c r="K209" i="4"/>
  <c r="K208" i="4"/>
  <c r="K207" i="4"/>
  <c r="K205" i="4"/>
  <c r="K204" i="4"/>
  <c r="K203" i="4"/>
  <c r="K202" i="4"/>
  <c r="K201" i="4"/>
  <c r="K200" i="4"/>
  <c r="K199" i="4"/>
  <c r="S199" i="4" s="1"/>
  <c r="D29" i="1" s="1"/>
  <c r="K197" i="4"/>
  <c r="K196" i="4"/>
  <c r="K195" i="4"/>
  <c r="K194" i="4"/>
  <c r="K192" i="4"/>
  <c r="K191" i="4"/>
  <c r="K190" i="4"/>
  <c r="K189" i="4"/>
  <c r="K187" i="4"/>
  <c r="K186" i="4"/>
  <c r="S178" i="4" s="1"/>
  <c r="D26" i="1" s="1"/>
  <c r="K185" i="4"/>
  <c r="K184" i="4"/>
  <c r="K183" i="4"/>
  <c r="K182" i="4"/>
  <c r="K181" i="4"/>
  <c r="K180" i="4"/>
  <c r="K179" i="4"/>
  <c r="K178" i="4"/>
  <c r="K176" i="4"/>
  <c r="K175" i="4"/>
  <c r="K174" i="4"/>
  <c r="K173" i="4"/>
  <c r="K171" i="4"/>
  <c r="K170" i="4"/>
  <c r="K169" i="4"/>
  <c r="S165" i="4" s="1"/>
  <c r="D24" i="1" s="1"/>
  <c r="K168" i="4"/>
  <c r="K167" i="4"/>
  <c r="K166" i="4"/>
  <c r="K165" i="4"/>
  <c r="K163" i="4"/>
  <c r="K162" i="4"/>
  <c r="K161" i="4"/>
  <c r="K160" i="4"/>
  <c r="K159" i="4"/>
  <c r="K158" i="4"/>
  <c r="K157" i="4"/>
  <c r="K156" i="4"/>
  <c r="K155" i="4"/>
  <c r="K154" i="4"/>
  <c r="K153" i="4"/>
  <c r="K152" i="4"/>
  <c r="K151" i="4"/>
  <c r="K149" i="4"/>
  <c r="K148" i="4"/>
  <c r="K147" i="4"/>
  <c r="K146" i="4"/>
  <c r="K145" i="4"/>
  <c r="K143" i="4"/>
  <c r="K142" i="4"/>
  <c r="K141" i="4"/>
  <c r="K140" i="4"/>
  <c r="K139" i="4"/>
  <c r="K138" i="4"/>
  <c r="K137" i="4"/>
  <c r="K136" i="4"/>
  <c r="K135" i="4"/>
  <c r="K134" i="4"/>
  <c r="K133" i="4"/>
  <c r="K132" i="4"/>
  <c r="K130" i="4"/>
  <c r="K129" i="4"/>
  <c r="K128" i="4"/>
  <c r="K127" i="4"/>
  <c r="K126" i="4"/>
  <c r="K125" i="4"/>
  <c r="K124" i="4"/>
  <c r="K123" i="4"/>
  <c r="K120" i="4"/>
  <c r="K119" i="4"/>
  <c r="K118" i="4"/>
  <c r="K117" i="4"/>
  <c r="K116" i="4"/>
  <c r="K113" i="4"/>
  <c r="K112" i="4"/>
  <c r="K111" i="4"/>
  <c r="K110" i="4"/>
  <c r="K109" i="4"/>
  <c r="K108" i="4"/>
  <c r="K107" i="4"/>
  <c r="K106" i="4"/>
  <c r="K103" i="4"/>
  <c r="K102" i="4"/>
  <c r="K99" i="4"/>
  <c r="K98" i="4"/>
  <c r="K97" i="4"/>
  <c r="K96" i="4"/>
  <c r="K95" i="4"/>
  <c r="K94" i="4"/>
  <c r="K93" i="4"/>
  <c r="K91" i="4"/>
  <c r="K90" i="4"/>
  <c r="K89" i="4"/>
  <c r="K32" i="4"/>
  <c r="K31" i="4"/>
  <c r="K30" i="4"/>
  <c r="K29" i="4"/>
  <c r="K28" i="4"/>
  <c r="K27" i="4"/>
  <c r="K26" i="4"/>
  <c r="K25" i="4"/>
  <c r="K24" i="4"/>
  <c r="K23" i="4"/>
  <c r="K22" i="4"/>
  <c r="K21" i="4"/>
  <c r="K20" i="4"/>
  <c r="K19" i="4"/>
  <c r="K18" i="4"/>
  <c r="K17" i="4"/>
  <c r="K16" i="4"/>
  <c r="L14" i="27" l="1"/>
  <c r="M14" i="27" s="1"/>
  <c r="J91" i="25"/>
  <c r="K91" i="25" s="1"/>
  <c r="L91" i="25" s="1"/>
  <c r="M91" i="25" s="1"/>
  <c r="O32" i="30"/>
  <c r="P32" i="30" s="1"/>
  <c r="O17" i="30"/>
  <c r="P17" i="30" s="1"/>
  <c r="N34" i="29"/>
  <c r="O34" i="29" s="1"/>
  <c r="P34" i="29" s="1"/>
  <c r="N38" i="28"/>
  <c r="O38" i="28" s="1"/>
  <c r="N228" i="4" s="1"/>
  <c r="O12" i="26"/>
  <c r="P12" i="26" s="1"/>
  <c r="O18" i="27"/>
  <c r="P18" i="27" s="1"/>
  <c r="L76" i="25"/>
  <c r="M76" i="25" s="1"/>
  <c r="N76" i="25" s="1"/>
  <c r="O76" i="25" s="1"/>
  <c r="P76" i="25" s="1"/>
  <c r="O68" i="25"/>
  <c r="P68" i="25" s="1"/>
  <c r="M34" i="25"/>
  <c r="N34" i="25" s="1"/>
  <c r="M19" i="25"/>
  <c r="N19" i="25" s="1"/>
  <c r="O19" i="25" s="1"/>
  <c r="P19" i="25" s="1"/>
  <c r="O207" i="4" s="1"/>
  <c r="N79" i="24"/>
  <c r="O79" i="24" s="1"/>
  <c r="P79" i="24" s="1"/>
  <c r="O12" i="24"/>
  <c r="P12" i="24" s="1"/>
  <c r="N43" i="23"/>
  <c r="O43" i="23" s="1"/>
  <c r="P43" i="23" s="1"/>
  <c r="O192" i="4" s="1"/>
  <c r="M94" i="22"/>
  <c r="N94" i="22" s="1"/>
  <c r="O94" i="22" s="1"/>
  <c r="P94" i="22" s="1"/>
  <c r="O183" i="4" s="1"/>
  <c r="N102" i="22"/>
  <c r="O102" i="22" s="1"/>
  <c r="P102" i="22" s="1"/>
  <c r="N184" i="4" s="1"/>
  <c r="M64" i="22"/>
  <c r="N64" i="22" s="1"/>
  <c r="O64" i="22" s="1"/>
  <c r="P64" i="22" s="1"/>
  <c r="O181" i="4" s="1"/>
  <c r="N49" i="22"/>
  <c r="O49" i="22" s="1"/>
  <c r="P49" i="22" s="1"/>
  <c r="O180" i="4" s="1"/>
  <c r="N109" i="22"/>
  <c r="O109" i="22" s="1"/>
  <c r="P109" i="22" s="1"/>
  <c r="O184" i="4" s="1"/>
  <c r="N57" i="22"/>
  <c r="O57" i="22" s="1"/>
  <c r="P57" i="22" s="1"/>
  <c r="N181" i="4" s="1"/>
  <c r="M42" i="22"/>
  <c r="N42" i="22" s="1"/>
  <c r="O42" i="22" s="1"/>
  <c r="P42" i="22" s="1"/>
  <c r="N180" i="4" s="1"/>
  <c r="O117" i="22"/>
  <c r="P117" i="22" s="1"/>
  <c r="N185" i="4" s="1"/>
  <c r="M124" i="22"/>
  <c r="L87" i="22"/>
  <c r="M87" i="22" s="1"/>
  <c r="M79" i="22"/>
  <c r="N79" i="22" s="1"/>
  <c r="O79" i="22" s="1"/>
  <c r="P79" i="22" s="1"/>
  <c r="O182" i="4" s="1"/>
  <c r="O72" i="22"/>
  <c r="P72" i="22" s="1"/>
  <c r="N182" i="4" s="1"/>
  <c r="N144" i="22"/>
  <c r="O144" i="22" s="1"/>
  <c r="P144" i="22" s="1"/>
  <c r="N187" i="4" s="1"/>
  <c r="M19" i="22"/>
  <c r="N19" i="22" s="1"/>
  <c r="M12" i="22"/>
  <c r="N12" i="22" s="1"/>
  <c r="O12" i="22" s="1"/>
  <c r="P12" i="22" s="1"/>
  <c r="N178" i="4" s="1"/>
  <c r="O19" i="22"/>
  <c r="P19" i="22" s="1"/>
  <c r="O178" i="4" s="1"/>
  <c r="L151" i="22"/>
  <c r="M34" i="22"/>
  <c r="N34" i="22" s="1"/>
  <c r="O34" i="22" s="1"/>
  <c r="P34" i="22" s="1"/>
  <c r="O179" i="4" s="1"/>
  <c r="M48" i="21"/>
  <c r="N48" i="21"/>
  <c r="O48" i="21" s="1"/>
  <c r="P48" i="21" s="1"/>
  <c r="N55" i="21"/>
  <c r="O55" i="21" s="1"/>
  <c r="P55" i="21" s="1"/>
  <c r="S173" i="4"/>
  <c r="D25" i="1" s="1"/>
  <c r="N190" i="20"/>
  <c r="O190" i="20" s="1"/>
  <c r="P190" i="20" s="1"/>
  <c r="L169" i="20"/>
  <c r="M162" i="20"/>
  <c r="N162" i="20" s="1"/>
  <c r="O162" i="20" s="1"/>
  <c r="P162" i="20" s="1"/>
  <c r="N155" i="20"/>
  <c r="O155" i="20" s="1"/>
  <c r="P155" i="20" s="1"/>
  <c r="N148" i="20"/>
  <c r="O148" i="20" s="1"/>
  <c r="P148" i="20" s="1"/>
  <c r="M141" i="20"/>
  <c r="N141" i="20" s="1"/>
  <c r="O141" i="20" s="1"/>
  <c r="P141" i="20" s="1"/>
  <c r="M133" i="20"/>
  <c r="N133" i="20" s="1"/>
  <c r="O133" i="20" s="1"/>
  <c r="P133" i="20" s="1"/>
  <c r="O126" i="20"/>
  <c r="P126" i="20" s="1"/>
  <c r="M112" i="20"/>
  <c r="N112" i="20" s="1"/>
  <c r="O119" i="20"/>
  <c r="P119" i="20" s="1"/>
  <c r="M105" i="20"/>
  <c r="N105" i="20" s="1"/>
  <c r="M91" i="20"/>
  <c r="N91" i="20" s="1"/>
  <c r="O91" i="20" s="1"/>
  <c r="P91" i="20" s="1"/>
  <c r="O77" i="20"/>
  <c r="P77" i="20" s="1"/>
  <c r="N70" i="20"/>
  <c r="O70" i="20" s="1"/>
  <c r="P70" i="20" s="1"/>
  <c r="N56" i="20"/>
  <c r="O56" i="20" s="1"/>
  <c r="P56" i="20" s="1"/>
  <c r="N63" i="20"/>
  <c r="O63" i="20" s="1"/>
  <c r="P63" i="20" s="1"/>
  <c r="M42" i="20"/>
  <c r="N42" i="20" s="1"/>
  <c r="M49" i="20"/>
  <c r="N34" i="20"/>
  <c r="O34" i="20" s="1"/>
  <c r="P34" i="20" s="1"/>
  <c r="N27" i="20"/>
  <c r="O27" i="20" s="1"/>
  <c r="P27" i="20" s="1"/>
  <c r="S189" i="4"/>
  <c r="D27" i="1" s="1"/>
  <c r="R194" i="4"/>
  <c r="M19" i="20"/>
  <c r="N19" i="20" s="1"/>
  <c r="S102" i="4"/>
  <c r="D17" i="1" s="1"/>
  <c r="R102" i="4"/>
  <c r="C17" i="1" s="1"/>
  <c r="R178" i="4"/>
  <c r="R151" i="4"/>
  <c r="N40" i="21"/>
  <c r="O40" i="21" s="1"/>
  <c r="P40" i="21" s="1"/>
  <c r="O175" i="4" s="1"/>
  <c r="Q175" i="4" s="1"/>
  <c r="V173" i="4" s="1"/>
  <c r="F25" i="1" s="1"/>
  <c r="R165" i="4"/>
  <c r="R16" i="4"/>
  <c r="C13" i="1" s="1"/>
  <c r="R199" i="4"/>
  <c r="R145" i="4"/>
  <c r="R123" i="4"/>
  <c r="S207" i="4"/>
  <c r="D30" i="1" s="1"/>
  <c r="R207" i="4"/>
  <c r="C30" i="1" s="1"/>
  <c r="S220" i="4"/>
  <c r="D32" i="1" s="1"/>
  <c r="R220" i="4"/>
  <c r="C32" i="1" s="1"/>
  <c r="R237" i="4"/>
  <c r="C35" i="1" s="1"/>
  <c r="S237" i="4"/>
  <c r="D35" i="1" s="1"/>
  <c r="R93" i="4"/>
  <c r="S16" i="4"/>
  <c r="D13" i="1" s="1"/>
  <c r="S224" i="4"/>
  <c r="D33" i="1" s="1"/>
  <c r="R224" i="4"/>
  <c r="C33" i="1" s="1"/>
  <c r="R116" i="4"/>
  <c r="R132" i="4"/>
  <c r="R173" i="4"/>
  <c r="R106" i="4"/>
  <c r="R189" i="4"/>
  <c r="S215" i="4"/>
  <c r="D31" i="1" s="1"/>
  <c r="R215" i="4"/>
  <c r="C31" i="1" s="1"/>
  <c r="R232" i="4"/>
  <c r="C34" i="1" s="1"/>
  <c r="S232" i="4"/>
  <c r="D34" i="1" s="1"/>
  <c r="P37" i="21"/>
  <c r="N175" i="4" s="1"/>
  <c r="P175" i="4" s="1"/>
  <c r="N53" i="28"/>
  <c r="O53" i="28" s="1"/>
  <c r="P53" i="28" s="1"/>
  <c r="N230" i="4" s="1"/>
  <c r="N22" i="27"/>
  <c r="O22" i="27" s="1"/>
  <c r="P22" i="27" s="1"/>
  <c r="O13" i="30"/>
  <c r="P13" i="30" s="1"/>
  <c r="N14" i="27"/>
  <c r="O14" i="27" s="1"/>
  <c r="P14" i="27" s="1"/>
  <c r="N45" i="28"/>
  <c r="O45" i="28" s="1"/>
  <c r="P45" i="28" s="1"/>
  <c r="N229" i="4" s="1"/>
  <c r="P229" i="4" s="1"/>
  <c r="O28" i="30"/>
  <c r="P28" i="30" s="1"/>
  <c r="O13" i="21"/>
  <c r="M21" i="30"/>
  <c r="N21" i="30" s="1"/>
  <c r="M37" i="29"/>
  <c r="N37" i="29" s="1"/>
  <c r="N15" i="28"/>
  <c r="O15" i="28" s="1"/>
  <c r="P15" i="28" s="1"/>
  <c r="N225" i="4" s="1"/>
  <c r="P225" i="4" s="1"/>
  <c r="M7" i="27"/>
  <c r="N7" i="27" s="1"/>
  <c r="O61" i="25"/>
  <c r="P61" i="25" s="1"/>
  <c r="N15" i="23"/>
  <c r="O15" i="23" s="1"/>
  <c r="N8" i="23"/>
  <c r="O8" i="23" s="1"/>
  <c r="M127" i="22"/>
  <c r="N127" i="22" s="1"/>
  <c r="M27" i="21"/>
  <c r="N27" i="21" s="1"/>
  <c r="O27" i="21" s="1"/>
  <c r="N5" i="19"/>
  <c r="M5" i="19"/>
  <c r="L5" i="19"/>
  <c r="K5" i="19"/>
  <c r="J5" i="19"/>
  <c r="U224" i="4" l="1"/>
  <c r="E33" i="1" s="1"/>
  <c r="N91" i="25"/>
  <c r="O91" i="25" s="1"/>
  <c r="P91" i="25" s="1"/>
  <c r="O34" i="25"/>
  <c r="P34" i="25" s="1"/>
  <c r="J109" i="19"/>
  <c r="J102" i="19"/>
  <c r="J94" i="19"/>
  <c r="J87" i="19"/>
  <c r="J72" i="19"/>
  <c r="J79" i="19"/>
  <c r="J57" i="19"/>
  <c r="J64" i="19"/>
  <c r="J49" i="19"/>
  <c r="J42" i="19"/>
  <c r="J27" i="19"/>
  <c r="J34" i="19"/>
  <c r="J12" i="19"/>
  <c r="J19" i="19"/>
  <c r="N87" i="22"/>
  <c r="N124" i="22"/>
  <c r="O124" i="22" s="1"/>
  <c r="P124" i="22" s="1"/>
  <c r="O185" i="4" s="1"/>
  <c r="O87" i="22"/>
  <c r="P87" i="22" s="1"/>
  <c r="N183" i="4" s="1"/>
  <c r="M151" i="22"/>
  <c r="N151" i="22" s="1"/>
  <c r="O151" i="22" s="1"/>
  <c r="P151" i="22" s="1"/>
  <c r="O187" i="4" s="1"/>
  <c r="M169" i="20"/>
  <c r="N169" i="20" s="1"/>
  <c r="O169" i="20" s="1"/>
  <c r="P169" i="20" s="1"/>
  <c r="O112" i="20"/>
  <c r="P112" i="20" s="1"/>
  <c r="O105" i="20"/>
  <c r="P105" i="20" s="1"/>
  <c r="O42" i="20"/>
  <c r="P42" i="20" s="1"/>
  <c r="N49" i="20"/>
  <c r="O49" i="20" s="1"/>
  <c r="P49" i="20" s="1"/>
  <c r="T106" i="4"/>
  <c r="C18" i="1"/>
  <c r="T173" i="4"/>
  <c r="C25" i="1"/>
  <c r="T132" i="4"/>
  <c r="C21" i="1"/>
  <c r="T123" i="4"/>
  <c r="C20" i="1"/>
  <c r="T151" i="4"/>
  <c r="C23" i="1"/>
  <c r="T189" i="4"/>
  <c r="C27" i="1"/>
  <c r="T116" i="4"/>
  <c r="C19" i="1"/>
  <c r="T145" i="4"/>
  <c r="C22" i="1"/>
  <c r="T178" i="4"/>
  <c r="C26" i="1"/>
  <c r="T199" i="4"/>
  <c r="C29" i="1"/>
  <c r="T165" i="4"/>
  <c r="C24" i="1"/>
  <c r="T93" i="4"/>
  <c r="C16" i="1"/>
  <c r="T194" i="4"/>
  <c r="C28" i="1"/>
  <c r="O19" i="20"/>
  <c r="P19" i="20" s="1"/>
  <c r="T237" i="4"/>
  <c r="T102" i="4"/>
  <c r="P232" i="4"/>
  <c r="U232" i="4" s="1"/>
  <c r="E34" i="1" s="1"/>
  <c r="P8" i="23"/>
  <c r="N189" i="4" s="1"/>
  <c r="P189" i="4" s="1"/>
  <c r="P15" i="23"/>
  <c r="N190" i="4" s="1"/>
  <c r="P190" i="4" s="1"/>
  <c r="T16" i="4"/>
  <c r="T220" i="4"/>
  <c r="T207" i="4"/>
  <c r="T232" i="4"/>
  <c r="T224" i="4"/>
  <c r="T215" i="4"/>
  <c r="P13" i="21"/>
  <c r="N173" i="4" s="1"/>
  <c r="P173" i="4" s="1"/>
  <c r="P27" i="21"/>
  <c r="N174" i="4" s="1"/>
  <c r="P174" i="4" s="1"/>
  <c r="O21" i="30"/>
  <c r="P21" i="30" s="1"/>
  <c r="O37" i="29"/>
  <c r="P37" i="29" s="1"/>
  <c r="O7" i="27"/>
  <c r="P7" i="27" s="1"/>
  <c r="O127" i="22"/>
  <c r="P127" i="22" s="1"/>
  <c r="K102" i="19" l="1"/>
  <c r="L102" i="19" s="1"/>
  <c r="M102" i="19"/>
  <c r="N102" i="19" s="1"/>
  <c r="O102" i="19"/>
  <c r="P102" i="19" s="1"/>
  <c r="K109" i="19"/>
  <c r="K87" i="19"/>
  <c r="L87" i="19"/>
  <c r="M87" i="19" s="1"/>
  <c r="K94" i="19"/>
  <c r="M94" i="19" s="1"/>
  <c r="L94" i="19"/>
  <c r="K79" i="19"/>
  <c r="L79" i="19"/>
  <c r="M79" i="19" s="1"/>
  <c r="N79" i="19" s="1"/>
  <c r="K72" i="19"/>
  <c r="L72" i="19" s="1"/>
  <c r="K64" i="19"/>
  <c r="L64" i="19" s="1"/>
  <c r="K57" i="19"/>
  <c r="L57" i="19" s="1"/>
  <c r="K42" i="19"/>
  <c r="L42" i="19" s="1"/>
  <c r="K49" i="19"/>
  <c r="L49" i="19" s="1"/>
  <c r="M49" i="19" s="1"/>
  <c r="N49" i="19" s="1"/>
  <c r="O49" i="19" s="1"/>
  <c r="P49" i="19" s="1"/>
  <c r="K34" i="19"/>
  <c r="L34" i="19" s="1"/>
  <c r="K27" i="19"/>
  <c r="L27" i="19" s="1"/>
  <c r="M27" i="19" s="1"/>
  <c r="K19" i="19"/>
  <c r="L19" i="19" s="1"/>
  <c r="M19" i="19" s="1"/>
  <c r="K12" i="19"/>
  <c r="L12" i="19" s="1"/>
  <c r="U189" i="4"/>
  <c r="E27" i="1" s="1"/>
  <c r="U173" i="4"/>
  <c r="E25" i="1" s="1"/>
  <c r="P207" i="4"/>
  <c r="U207" i="4" s="1"/>
  <c r="E30" i="1" s="1"/>
  <c r="Q207" i="4"/>
  <c r="V207" i="4" s="1"/>
  <c r="F30" i="1" s="1"/>
  <c r="N94" i="19" l="1"/>
  <c r="L109" i="19"/>
  <c r="O94" i="19"/>
  <c r="P94" i="19" s="1"/>
  <c r="N87" i="19"/>
  <c r="O87" i="19" s="1"/>
  <c r="P87" i="19" s="1"/>
  <c r="M72" i="19"/>
  <c r="N72" i="19" s="1"/>
  <c r="O72" i="19" s="1"/>
  <c r="P72" i="19" s="1"/>
  <c r="N203" i="4" s="1"/>
  <c r="O79" i="19"/>
  <c r="P79" i="19" s="1"/>
  <c r="O203" i="4" s="1"/>
  <c r="M57" i="19"/>
  <c r="M64" i="19"/>
  <c r="N64" i="19" s="1"/>
  <c r="O64" i="19" s="1"/>
  <c r="P64" i="19" s="1"/>
  <c r="M42" i="19"/>
  <c r="N27" i="19"/>
  <c r="O27" i="19" s="1"/>
  <c r="P27" i="19" s="1"/>
  <c r="M34" i="19"/>
  <c r="N34" i="19" s="1"/>
  <c r="O34" i="19" s="1"/>
  <c r="P34" i="19" s="1"/>
  <c r="N19" i="19"/>
  <c r="O19" i="19" s="1"/>
  <c r="P19" i="19" s="1"/>
  <c r="M12" i="19"/>
  <c r="N12" i="19" s="1"/>
  <c r="M109" i="19" l="1"/>
  <c r="N57" i="19"/>
  <c r="O57" i="19" s="1"/>
  <c r="P57" i="19" s="1"/>
  <c r="N42" i="19"/>
  <c r="O42" i="19" s="1"/>
  <c r="P42" i="19" s="1"/>
  <c r="O12" i="19"/>
  <c r="P12" i="19" s="1"/>
  <c r="N109" i="19" l="1"/>
  <c r="O109" i="19" s="1"/>
  <c r="P109" i="19" s="1"/>
  <c r="H43" i="18"/>
  <c r="I43" i="18"/>
  <c r="H40" i="18"/>
  <c r="I40" i="18"/>
  <c r="H37" i="18"/>
  <c r="I37" i="18"/>
  <c r="H34" i="18"/>
  <c r="I34" i="18" s="1"/>
  <c r="H31" i="18"/>
  <c r="H28" i="18"/>
  <c r="H25" i="18"/>
  <c r="H22" i="18"/>
  <c r="H19" i="18"/>
  <c r="H16" i="18"/>
  <c r="H13" i="18"/>
  <c r="H10" i="18"/>
  <c r="H7" i="18"/>
  <c r="N5" i="18"/>
  <c r="M5" i="18"/>
  <c r="L5" i="18"/>
  <c r="K5" i="18"/>
  <c r="J5" i="18"/>
  <c r="J43" i="18" l="1"/>
  <c r="K43" i="18" s="1"/>
  <c r="L43" i="18" s="1"/>
  <c r="J37" i="18"/>
  <c r="J40" i="18"/>
  <c r="I31" i="18"/>
  <c r="J31" i="18" s="1"/>
  <c r="K37" i="18"/>
  <c r="J34" i="18"/>
  <c r="I28" i="18"/>
  <c r="J28" i="18" s="1"/>
  <c r="K28" i="18" s="1"/>
  <c r="I10" i="18"/>
  <c r="J10" i="18" s="1"/>
  <c r="I19" i="18"/>
  <c r="J19" i="18" s="1"/>
  <c r="K19" i="18" s="1"/>
  <c r="I22" i="18"/>
  <c r="I13" i="18"/>
  <c r="J13" i="18" s="1"/>
  <c r="I7" i="18"/>
  <c r="J7" i="18" s="1"/>
  <c r="I16" i="18"/>
  <c r="J16" i="18" s="1"/>
  <c r="I25" i="18"/>
  <c r="M43" i="18" l="1"/>
  <c r="N43" i="18" s="1"/>
  <c r="K31" i="18"/>
  <c r="L31" i="18" s="1"/>
  <c r="L37" i="18"/>
  <c r="M37" i="18" s="1"/>
  <c r="K40" i="18"/>
  <c r="L40" i="18" s="1"/>
  <c r="N37" i="18"/>
  <c r="M31" i="18"/>
  <c r="K34" i="18"/>
  <c r="L28" i="18"/>
  <c r="K7" i="18"/>
  <c r="L7" i="18" s="1"/>
  <c r="M7" i="18" s="1"/>
  <c r="J25" i="18"/>
  <c r="J22" i="18"/>
  <c r="K22" i="18" s="1"/>
  <c r="L19" i="18"/>
  <c r="M19" i="18" s="1"/>
  <c r="N19" i="18" s="1"/>
  <c r="K16" i="18"/>
  <c r="K10" i="18"/>
  <c r="K13" i="18"/>
  <c r="O43" i="18" l="1"/>
  <c r="P43" i="18" s="1"/>
  <c r="N31" i="18"/>
  <c r="O31" i="18" s="1"/>
  <c r="P31" i="18" s="1"/>
  <c r="M40" i="18"/>
  <c r="N40" i="18" s="1"/>
  <c r="O40" i="18" s="1"/>
  <c r="P40" i="18" s="1"/>
  <c r="O37" i="18"/>
  <c r="P37" i="18" s="1"/>
  <c r="L34" i="18"/>
  <c r="M34" i="18" s="1"/>
  <c r="M28" i="18"/>
  <c r="N28" i="18" s="1"/>
  <c r="O28" i="18" s="1"/>
  <c r="P28" i="18" s="1"/>
  <c r="N7" i="18"/>
  <c r="O7" i="18" s="1"/>
  <c r="P7" i="18" s="1"/>
  <c r="L22" i="18"/>
  <c r="O19" i="18"/>
  <c r="P19" i="18" s="1"/>
  <c r="K25" i="18"/>
  <c r="L25" i="18" s="1"/>
  <c r="L13" i="18"/>
  <c r="L10" i="18"/>
  <c r="M10" i="18" s="1"/>
  <c r="L16" i="18"/>
  <c r="N34" i="18" l="1"/>
  <c r="O34" i="18" s="1"/>
  <c r="P34" i="18" s="1"/>
  <c r="M25" i="18"/>
  <c r="N25" i="18"/>
  <c r="O25" i="18" s="1"/>
  <c r="P25" i="18" s="1"/>
  <c r="M22" i="18"/>
  <c r="M16" i="18"/>
  <c r="N16" i="18" s="1"/>
  <c r="O16" i="18" s="1"/>
  <c r="P16" i="18" s="1"/>
  <c r="M13" i="18"/>
  <c r="N13" i="18"/>
  <c r="O13" i="18" s="1"/>
  <c r="P13" i="18" s="1"/>
  <c r="N10" i="18"/>
  <c r="O10" i="18" s="1"/>
  <c r="P10" i="18" s="1"/>
  <c r="N22" i="18" l="1"/>
  <c r="O22" i="18" s="1"/>
  <c r="P22" i="18" s="1"/>
  <c r="C34" i="31" l="1"/>
  <c r="H39" i="1"/>
  <c r="E41" i="31" l="1"/>
  <c r="E54" i="31"/>
  <c r="E43" i="31"/>
  <c r="E47" i="31"/>
  <c r="E42" i="31"/>
  <c r="E51" i="31"/>
  <c r="E45" i="31"/>
  <c r="E55" i="31"/>
  <c r="E40" i="31"/>
  <c r="E44" i="31"/>
  <c r="E56" i="31"/>
  <c r="E48" i="31"/>
  <c r="E37" i="31"/>
  <c r="E52" i="31"/>
  <c r="E49" i="31"/>
  <c r="E38" i="31"/>
  <c r="E50" i="31"/>
  <c r="E53" i="31"/>
  <c r="E46" i="31"/>
  <c r="E39" i="31"/>
  <c r="H68" i="17"/>
  <c r="I68" i="17" s="1"/>
  <c r="N5" i="17"/>
  <c r="M5" i="17"/>
  <c r="L5" i="17"/>
  <c r="K5" i="17"/>
  <c r="J5" i="17"/>
  <c r="N5" i="16"/>
  <c r="M5" i="16"/>
  <c r="L5" i="16"/>
  <c r="K5" i="16"/>
  <c r="J5" i="16"/>
  <c r="J102" i="17" l="1"/>
  <c r="J95" i="17"/>
  <c r="J80" i="17"/>
  <c r="J87" i="17"/>
  <c r="J57" i="17"/>
  <c r="J64" i="17"/>
  <c r="J42" i="17"/>
  <c r="J49" i="17"/>
  <c r="J34" i="17"/>
  <c r="J27" i="17"/>
  <c r="J71" i="17"/>
  <c r="J19" i="17"/>
  <c r="J12" i="17"/>
  <c r="J72" i="16"/>
  <c r="J79" i="16"/>
  <c r="J64" i="16"/>
  <c r="J57" i="16"/>
  <c r="J42" i="16"/>
  <c r="J49" i="16"/>
  <c r="J34" i="16"/>
  <c r="J27" i="16"/>
  <c r="J19" i="16"/>
  <c r="J12" i="16"/>
  <c r="K71" i="17"/>
  <c r="L71" i="17" s="1"/>
  <c r="J68" i="17"/>
  <c r="K95" i="17" l="1"/>
  <c r="L95" i="17" s="1"/>
  <c r="K102" i="17"/>
  <c r="L102" i="17" s="1"/>
  <c r="K87" i="17"/>
  <c r="K80" i="17"/>
  <c r="L80" i="17"/>
  <c r="M80" i="17" s="1"/>
  <c r="K64" i="17"/>
  <c r="L64" i="17" s="1"/>
  <c r="M64" i="17" s="1"/>
  <c r="N64" i="17" s="1"/>
  <c r="O64" i="17" s="1"/>
  <c r="P64" i="17" s="1"/>
  <c r="K57" i="17"/>
  <c r="L57" i="17"/>
  <c r="M57" i="17" s="1"/>
  <c r="K49" i="17"/>
  <c r="L49" i="17" s="1"/>
  <c r="K42" i="17"/>
  <c r="L42" i="17" s="1"/>
  <c r="K27" i="17"/>
  <c r="K34" i="17"/>
  <c r="L34" i="17" s="1"/>
  <c r="K12" i="17"/>
  <c r="L12" i="17"/>
  <c r="M12" i="17" s="1"/>
  <c r="N12" i="17" s="1"/>
  <c r="K19" i="17"/>
  <c r="L19" i="17" s="1"/>
  <c r="M71" i="17"/>
  <c r="N71" i="17" s="1"/>
  <c r="O71" i="17" s="1"/>
  <c r="P71" i="17" s="1"/>
  <c r="O169" i="4" s="1"/>
  <c r="Q169" i="4" s="1"/>
  <c r="V165" i="4" s="1"/>
  <c r="F24" i="1" s="1"/>
  <c r="K79" i="16"/>
  <c r="L79" i="16"/>
  <c r="M79" i="16" s="1"/>
  <c r="N79" i="16"/>
  <c r="O79" i="16" s="1"/>
  <c r="P79" i="16" s="1"/>
  <c r="K72" i="16"/>
  <c r="L72" i="16" s="1"/>
  <c r="K57" i="16"/>
  <c r="L57" i="16"/>
  <c r="K64" i="16"/>
  <c r="K49" i="16"/>
  <c r="L49" i="16"/>
  <c r="M49" i="16" s="1"/>
  <c r="N49" i="16" s="1"/>
  <c r="O49" i="16" s="1"/>
  <c r="P49" i="16" s="1"/>
  <c r="K42" i="16"/>
  <c r="K27" i="16"/>
  <c r="L27" i="16" s="1"/>
  <c r="K34" i="16"/>
  <c r="L34" i="16"/>
  <c r="M34" i="16" s="1"/>
  <c r="K12" i="16"/>
  <c r="L12" i="16" s="1"/>
  <c r="K19" i="16"/>
  <c r="K68" i="17"/>
  <c r="L68" i="17" s="1"/>
  <c r="M95" i="17" l="1"/>
  <c r="N95" i="17" s="1"/>
  <c r="O95" i="17" s="1"/>
  <c r="P95" i="17" s="1"/>
  <c r="N171" i="4" s="1"/>
  <c r="M102" i="17"/>
  <c r="N102" i="17" s="1"/>
  <c r="L87" i="17"/>
  <c r="N57" i="17"/>
  <c r="O57" i="17" s="1"/>
  <c r="P57" i="17" s="1"/>
  <c r="M42" i="17"/>
  <c r="N42" i="17" s="1"/>
  <c r="O42" i="17" s="1"/>
  <c r="P42" i="17" s="1"/>
  <c r="N80" i="17"/>
  <c r="O80" i="17" s="1"/>
  <c r="P80" i="17" s="1"/>
  <c r="M34" i="17"/>
  <c r="N34" i="17" s="1"/>
  <c r="O34" i="17" s="1"/>
  <c r="P34" i="17" s="1"/>
  <c r="M49" i="17"/>
  <c r="N49" i="17"/>
  <c r="O49" i="17" s="1"/>
  <c r="P49" i="17" s="1"/>
  <c r="L27" i="17"/>
  <c r="M27" i="17" s="1"/>
  <c r="N27" i="17" s="1"/>
  <c r="O27" i="17" s="1"/>
  <c r="P27" i="17" s="1"/>
  <c r="O12" i="17"/>
  <c r="P12" i="17" s="1"/>
  <c r="M19" i="17"/>
  <c r="N19" i="17" s="1"/>
  <c r="O19" i="17" s="1"/>
  <c r="P19" i="17" s="1"/>
  <c r="L64" i="16"/>
  <c r="N64" i="16" s="1"/>
  <c r="O64" i="16" s="1"/>
  <c r="P64" i="16" s="1"/>
  <c r="M72" i="16"/>
  <c r="N72" i="16" s="1"/>
  <c r="O72" i="16" s="1"/>
  <c r="P72" i="16" s="1"/>
  <c r="M64" i="16"/>
  <c r="M57" i="16"/>
  <c r="N57" i="16" s="1"/>
  <c r="L42" i="16"/>
  <c r="M27" i="16"/>
  <c r="N27" i="16" s="1"/>
  <c r="O27" i="16" s="1"/>
  <c r="P27" i="16" s="1"/>
  <c r="L19" i="16"/>
  <c r="M19" i="16" s="1"/>
  <c r="M12" i="16"/>
  <c r="N12" i="16" s="1"/>
  <c r="O12" i="16" s="1"/>
  <c r="P12" i="16" s="1"/>
  <c r="N34" i="16"/>
  <c r="O34" i="16"/>
  <c r="P34" i="16" s="1"/>
  <c r="M68" i="17"/>
  <c r="O102" i="17" l="1"/>
  <c r="P102" i="17" s="1"/>
  <c r="O171" i="4" s="1"/>
  <c r="M87" i="17"/>
  <c r="O57" i="16"/>
  <c r="P57" i="16" s="1"/>
  <c r="N19" i="16"/>
  <c r="O19" i="16"/>
  <c r="P19" i="16" s="1"/>
  <c r="M42" i="16"/>
  <c r="N68" i="17"/>
  <c r="O68" i="17" s="1"/>
  <c r="N87" i="17" l="1"/>
  <c r="O87" i="17" s="1"/>
  <c r="P87" i="17" s="1"/>
  <c r="N42" i="16"/>
  <c r="O42" i="16" s="1"/>
  <c r="P42" i="16" s="1"/>
  <c r="P68" i="17"/>
  <c r="N169" i="4" s="1"/>
  <c r="P169" i="4" s="1"/>
  <c r="U165" i="4" s="1"/>
  <c r="E24" i="1" s="1"/>
  <c r="N5" i="15"/>
  <c r="M5" i="15"/>
  <c r="L5" i="15"/>
  <c r="K5" i="15"/>
  <c r="J5" i="15"/>
  <c r="N5" i="14"/>
  <c r="M5" i="14"/>
  <c r="L5" i="14"/>
  <c r="K5" i="14"/>
  <c r="J5" i="14"/>
  <c r="N5" i="13"/>
  <c r="M5" i="13"/>
  <c r="L5" i="13"/>
  <c r="K5" i="13"/>
  <c r="J5" i="13"/>
  <c r="H64" i="12"/>
  <c r="H46" i="12"/>
  <c r="N5" i="12"/>
  <c r="M5" i="12"/>
  <c r="L5" i="12"/>
  <c r="K5" i="12"/>
  <c r="J5" i="12"/>
  <c r="H31" i="11"/>
  <c r="H20" i="11"/>
  <c r="H10" i="11"/>
  <c r="I10" i="11" s="1"/>
  <c r="N5" i="11"/>
  <c r="M5" i="11"/>
  <c r="L5" i="11"/>
  <c r="K5" i="11"/>
  <c r="J5" i="11"/>
  <c r="H9" i="10"/>
  <c r="N5" i="10"/>
  <c r="M5" i="10"/>
  <c r="L5" i="10"/>
  <c r="K5" i="10"/>
  <c r="J5" i="10"/>
  <c r="K14" i="4"/>
  <c r="K13" i="4"/>
  <c r="K9" i="4"/>
  <c r="J192" i="15" l="1"/>
  <c r="J185" i="15"/>
  <c r="J176" i="15"/>
  <c r="J169" i="15"/>
  <c r="J154" i="15"/>
  <c r="J161" i="15"/>
  <c r="J138" i="15"/>
  <c r="J145" i="15"/>
  <c r="J123" i="15"/>
  <c r="J130" i="15"/>
  <c r="J114" i="15"/>
  <c r="J107" i="15"/>
  <c r="J91" i="15"/>
  <c r="J98" i="15"/>
  <c r="J75" i="15"/>
  <c r="J82" i="15"/>
  <c r="J60" i="15"/>
  <c r="J67" i="15"/>
  <c r="J44" i="15"/>
  <c r="J51" i="15"/>
  <c r="J35" i="15"/>
  <c r="J28" i="15"/>
  <c r="J12" i="15"/>
  <c r="J19" i="15"/>
  <c r="J133" i="13"/>
  <c r="J140" i="13"/>
  <c r="J115" i="13"/>
  <c r="J122" i="13"/>
  <c r="J104" i="13"/>
  <c r="J97" i="13"/>
  <c r="J87" i="13"/>
  <c r="J80" i="13"/>
  <c r="J63" i="13"/>
  <c r="J70" i="13"/>
  <c r="J46" i="13"/>
  <c r="J53" i="13"/>
  <c r="J36" i="13"/>
  <c r="J29" i="13"/>
  <c r="J13" i="13"/>
  <c r="J20" i="13"/>
  <c r="J93" i="14"/>
  <c r="J100" i="14"/>
  <c r="J85" i="14"/>
  <c r="J77" i="14"/>
  <c r="J61" i="14"/>
  <c r="J69" i="14"/>
  <c r="J53" i="14"/>
  <c r="J44" i="14"/>
  <c r="J28" i="14"/>
  <c r="K28" i="14" s="1"/>
  <c r="J35" i="14"/>
  <c r="J12" i="14"/>
  <c r="J19" i="14"/>
  <c r="J140" i="12"/>
  <c r="J132" i="12"/>
  <c r="J115" i="12"/>
  <c r="J124" i="12"/>
  <c r="J106" i="12"/>
  <c r="J97" i="12"/>
  <c r="J80" i="12"/>
  <c r="K80" i="12" s="1"/>
  <c r="L80" i="12" s="1"/>
  <c r="J88" i="12"/>
  <c r="J55" i="12"/>
  <c r="K55" i="12" s="1"/>
  <c r="L55" i="12" s="1"/>
  <c r="M55" i="12" s="1"/>
  <c r="N55" i="12" s="1"/>
  <c r="J72" i="12"/>
  <c r="J19" i="12"/>
  <c r="K19" i="12" s="1"/>
  <c r="L19" i="12" s="1"/>
  <c r="J36" i="12"/>
  <c r="G19" i="11"/>
  <c r="H19" i="11" s="1"/>
  <c r="I20" i="11" s="1"/>
  <c r="J20" i="11" s="1"/>
  <c r="J15" i="11"/>
  <c r="K15" i="11" s="1"/>
  <c r="L15" i="11" s="1"/>
  <c r="J47" i="11"/>
  <c r="J37" i="11"/>
  <c r="J25" i="11"/>
  <c r="J13" i="10"/>
  <c r="K13" i="10" s="1"/>
  <c r="L13" i="10" s="1"/>
  <c r="M13" i="10" s="1"/>
  <c r="N13" i="10" s="1"/>
  <c r="O13" i="10" s="1"/>
  <c r="P13" i="10" s="1"/>
  <c r="O89" i="4" s="1"/>
  <c r="J18" i="10"/>
  <c r="J22" i="10"/>
  <c r="Q87" i="4"/>
  <c r="P87" i="4"/>
  <c r="P85" i="4"/>
  <c r="Q86" i="4"/>
  <c r="P86" i="4"/>
  <c r="I12" i="12"/>
  <c r="G25" i="12" s="1"/>
  <c r="H25" i="12" s="1"/>
  <c r="I27" i="12" s="1"/>
  <c r="D13" i="9"/>
  <c r="D17" i="9" s="1"/>
  <c r="D18" i="9" s="1"/>
  <c r="D22" i="9" s="1"/>
  <c r="J10" i="11"/>
  <c r="K10" i="11" s="1"/>
  <c r="L10" i="11" s="1"/>
  <c r="K8" i="4"/>
  <c r="K7" i="4"/>
  <c r="K6" i="4"/>
  <c r="K5" i="4"/>
  <c r="K4" i="4"/>
  <c r="K185" i="15" l="1"/>
  <c r="L185" i="15" s="1"/>
  <c r="M185" i="15"/>
  <c r="N185" i="15" s="1"/>
  <c r="O185" i="15" s="1"/>
  <c r="P185" i="15" s="1"/>
  <c r="K192" i="15"/>
  <c r="L192" i="15"/>
  <c r="M192" i="15" s="1"/>
  <c r="N192" i="15" s="1"/>
  <c r="O192" i="15" s="1"/>
  <c r="P192" i="15" s="1"/>
  <c r="K169" i="15"/>
  <c r="L169" i="15" s="1"/>
  <c r="M169" i="15" s="1"/>
  <c r="N169" i="15" s="1"/>
  <c r="O169" i="15" s="1"/>
  <c r="P169" i="15" s="1"/>
  <c r="K176" i="15"/>
  <c r="L176" i="15" s="1"/>
  <c r="K161" i="15"/>
  <c r="L161" i="15" s="1"/>
  <c r="M161" i="15" s="1"/>
  <c r="K154" i="15"/>
  <c r="L154" i="15" s="1"/>
  <c r="M154" i="15" s="1"/>
  <c r="N154" i="15" s="1"/>
  <c r="O154" i="15" s="1"/>
  <c r="P154" i="15" s="1"/>
  <c r="K145" i="15"/>
  <c r="L145" i="15" s="1"/>
  <c r="K138" i="15"/>
  <c r="L138" i="15" s="1"/>
  <c r="K130" i="15"/>
  <c r="L130" i="15" s="1"/>
  <c r="K123" i="15"/>
  <c r="L123" i="15" s="1"/>
  <c r="K107" i="15"/>
  <c r="L107" i="15" s="1"/>
  <c r="M107" i="15" s="1"/>
  <c r="N107" i="15" s="1"/>
  <c r="O107" i="15" s="1"/>
  <c r="P107" i="15" s="1"/>
  <c r="K114" i="15"/>
  <c r="L114" i="15" s="1"/>
  <c r="M114" i="15" s="1"/>
  <c r="N114" i="15" s="1"/>
  <c r="O114" i="15" s="1"/>
  <c r="P114" i="15" s="1"/>
  <c r="K98" i="15"/>
  <c r="L98" i="15" s="1"/>
  <c r="M98" i="15" s="1"/>
  <c r="K91" i="15"/>
  <c r="L91" i="15" s="1"/>
  <c r="M91" i="15" s="1"/>
  <c r="K82" i="15"/>
  <c r="L82" i="15" s="1"/>
  <c r="M82" i="15" s="1"/>
  <c r="K75" i="15"/>
  <c r="L75" i="15" s="1"/>
  <c r="K67" i="15"/>
  <c r="L67" i="15" s="1"/>
  <c r="K60" i="15"/>
  <c r="L60" i="15" s="1"/>
  <c r="K51" i="15"/>
  <c r="L51" i="15" s="1"/>
  <c r="K44" i="15"/>
  <c r="L44" i="15" s="1"/>
  <c r="M44" i="15" s="1"/>
  <c r="N44" i="15" s="1"/>
  <c r="O44" i="15" s="1"/>
  <c r="P44" i="15" s="1"/>
  <c r="K28" i="15"/>
  <c r="L28" i="15" s="1"/>
  <c r="K35" i="15"/>
  <c r="L35" i="15" s="1"/>
  <c r="K19" i="15"/>
  <c r="L19" i="15" s="1"/>
  <c r="M19" i="15" s="1"/>
  <c r="N19" i="15" s="1"/>
  <c r="K12" i="15"/>
  <c r="L12" i="15" s="1"/>
  <c r="K140" i="13"/>
  <c r="L140" i="13" s="1"/>
  <c r="K133" i="13"/>
  <c r="L133" i="13" s="1"/>
  <c r="K115" i="13"/>
  <c r="L115" i="13" s="1"/>
  <c r="K122" i="13"/>
  <c r="L122" i="13" s="1"/>
  <c r="K97" i="13"/>
  <c r="L97" i="13" s="1"/>
  <c r="M97" i="13" s="1"/>
  <c r="K104" i="13"/>
  <c r="L104" i="13" s="1"/>
  <c r="K87" i="13"/>
  <c r="L87" i="13" s="1"/>
  <c r="M87" i="13" s="1"/>
  <c r="K80" i="13"/>
  <c r="L80" i="13" s="1"/>
  <c r="M80" i="13" s="1"/>
  <c r="N80" i="13" s="1"/>
  <c r="O80" i="13" s="1"/>
  <c r="K63" i="13"/>
  <c r="L63" i="13" s="1"/>
  <c r="K70" i="13"/>
  <c r="L70" i="13" s="1"/>
  <c r="K53" i="13"/>
  <c r="L53" i="13" s="1"/>
  <c r="M53" i="13" s="1"/>
  <c r="K46" i="13"/>
  <c r="L46" i="13" s="1"/>
  <c r="K29" i="13"/>
  <c r="L29" i="13" s="1"/>
  <c r="M29" i="13" s="1"/>
  <c r="K36" i="13"/>
  <c r="L36" i="13" s="1"/>
  <c r="K20" i="13"/>
  <c r="L20" i="13" s="1"/>
  <c r="M20" i="13" s="1"/>
  <c r="K13" i="13"/>
  <c r="L13" i="13" s="1"/>
  <c r="K100" i="14"/>
  <c r="M100" i="14" s="1"/>
  <c r="L100" i="14"/>
  <c r="K93" i="14"/>
  <c r="L93" i="14"/>
  <c r="M93" i="14" s="1"/>
  <c r="N93" i="14"/>
  <c r="O93" i="14" s="1"/>
  <c r="P93" i="14" s="1"/>
  <c r="K77" i="14"/>
  <c r="L77" i="14" s="1"/>
  <c r="M77" i="14" s="1"/>
  <c r="N77" i="14" s="1"/>
  <c r="O77" i="14" s="1"/>
  <c r="P77" i="14" s="1"/>
  <c r="K85" i="14"/>
  <c r="L85" i="14" s="1"/>
  <c r="K69" i="14"/>
  <c r="K61" i="14"/>
  <c r="L61" i="14" s="1"/>
  <c r="M61" i="14" s="1"/>
  <c r="K44" i="14"/>
  <c r="L44" i="14" s="1"/>
  <c r="M44" i="14" s="1"/>
  <c r="K53" i="14"/>
  <c r="K35" i="14"/>
  <c r="L35" i="14" s="1"/>
  <c r="M35" i="14" s="1"/>
  <c r="L28" i="14"/>
  <c r="K19" i="14"/>
  <c r="L19" i="14" s="1"/>
  <c r="K12" i="14"/>
  <c r="L12" i="14" s="1"/>
  <c r="M12" i="14" s="1"/>
  <c r="K132" i="12"/>
  <c r="L132" i="12" s="1"/>
  <c r="K140" i="12"/>
  <c r="K124" i="12"/>
  <c r="L124" i="12" s="1"/>
  <c r="M124" i="12" s="1"/>
  <c r="N124" i="12" s="1"/>
  <c r="K115" i="12"/>
  <c r="L115" i="12" s="1"/>
  <c r="K97" i="12"/>
  <c r="L97" i="12" s="1"/>
  <c r="K106" i="12"/>
  <c r="K88" i="12"/>
  <c r="L88" i="12" s="1"/>
  <c r="M80" i="12"/>
  <c r="N80" i="12" s="1"/>
  <c r="O80" i="12" s="1"/>
  <c r="P80" i="12" s="1"/>
  <c r="K72" i="12"/>
  <c r="L72" i="12" s="1"/>
  <c r="O55" i="12"/>
  <c r="P55" i="12" s="1"/>
  <c r="K36" i="12"/>
  <c r="L36" i="12" s="1"/>
  <c r="M36" i="12" s="1"/>
  <c r="M19" i="12"/>
  <c r="N19" i="12" s="1"/>
  <c r="O19" i="12" s="1"/>
  <c r="P19" i="12" s="1"/>
  <c r="G29" i="11"/>
  <c r="H29" i="11" s="1"/>
  <c r="K25" i="11"/>
  <c r="L25" i="11" s="1"/>
  <c r="K37" i="11"/>
  <c r="L37" i="11" s="1"/>
  <c r="K47" i="11"/>
  <c r="L47" i="11" s="1"/>
  <c r="M47" i="11" s="1"/>
  <c r="M15" i="11"/>
  <c r="N15" i="11" s="1"/>
  <c r="O15" i="11" s="1"/>
  <c r="P15" i="11" s="1"/>
  <c r="K22" i="10"/>
  <c r="L22" i="10" s="1"/>
  <c r="K18" i="10"/>
  <c r="L18" i="10" s="1"/>
  <c r="S4" i="4"/>
  <c r="D12" i="1" s="1"/>
  <c r="R4" i="4"/>
  <c r="C12" i="1" s="1"/>
  <c r="J27" i="12"/>
  <c r="K27" i="12" s="1"/>
  <c r="G44" i="12"/>
  <c r="H44" i="12" s="1"/>
  <c r="I46" i="12" s="1"/>
  <c r="J46" i="12" s="1"/>
  <c r="K46" i="12" s="1"/>
  <c r="J12" i="12"/>
  <c r="K12" i="12" s="1"/>
  <c r="D24" i="9"/>
  <c r="D31" i="9" s="1"/>
  <c r="D37" i="9" s="1"/>
  <c r="M10" i="11"/>
  <c r="K20" i="11"/>
  <c r="L20" i="11" s="1"/>
  <c r="I9" i="10"/>
  <c r="J9" i="10" s="1"/>
  <c r="K9" i="10" s="1"/>
  <c r="K87" i="4"/>
  <c r="K86" i="4"/>
  <c r="M140" i="13" l="1"/>
  <c r="N140" i="13" s="1"/>
  <c r="O140" i="13" s="1"/>
  <c r="P140" i="13" s="1"/>
  <c r="O130" i="4" s="1"/>
  <c r="M176" i="15"/>
  <c r="N176" i="15" s="1"/>
  <c r="N161" i="15"/>
  <c r="O161" i="15" s="1"/>
  <c r="P161" i="15" s="1"/>
  <c r="M145" i="15"/>
  <c r="N145" i="15" s="1"/>
  <c r="O145" i="15" s="1"/>
  <c r="P145" i="15" s="1"/>
  <c r="M138" i="15"/>
  <c r="N138" i="15" s="1"/>
  <c r="O138" i="15" s="1"/>
  <c r="P138" i="15" s="1"/>
  <c r="M123" i="15"/>
  <c r="N123" i="15" s="1"/>
  <c r="M130" i="15"/>
  <c r="N130" i="15" s="1"/>
  <c r="O130" i="15" s="1"/>
  <c r="P130" i="15" s="1"/>
  <c r="N98" i="15"/>
  <c r="O98" i="15" s="1"/>
  <c r="P98" i="15" s="1"/>
  <c r="N91" i="15"/>
  <c r="O91" i="15" s="1"/>
  <c r="P91" i="15" s="1"/>
  <c r="M75" i="15"/>
  <c r="N75" i="15" s="1"/>
  <c r="O75" i="15" s="1"/>
  <c r="P75" i="15" s="1"/>
  <c r="N82" i="15"/>
  <c r="O82" i="15" s="1"/>
  <c r="P82" i="15" s="1"/>
  <c r="M67" i="15"/>
  <c r="N67" i="15" s="1"/>
  <c r="M60" i="15"/>
  <c r="N60" i="15" s="1"/>
  <c r="O60" i="15" s="1"/>
  <c r="P60" i="15" s="1"/>
  <c r="M51" i="15"/>
  <c r="N51" i="15" s="1"/>
  <c r="O51" i="15" s="1"/>
  <c r="P51" i="15" s="1"/>
  <c r="M35" i="15"/>
  <c r="N35" i="15" s="1"/>
  <c r="O35" i="15" s="1"/>
  <c r="P35" i="15" s="1"/>
  <c r="M28" i="15"/>
  <c r="N28" i="15" s="1"/>
  <c r="M12" i="15"/>
  <c r="N12" i="15" s="1"/>
  <c r="O19" i="15"/>
  <c r="P19" i="15" s="1"/>
  <c r="M133" i="13"/>
  <c r="N133" i="13" s="1"/>
  <c r="O133" i="13" s="1"/>
  <c r="P133" i="13" s="1"/>
  <c r="N130" i="4" s="1"/>
  <c r="M115" i="13"/>
  <c r="N115" i="13" s="1"/>
  <c r="O115" i="13" s="1"/>
  <c r="N129" i="4" s="1"/>
  <c r="M122" i="13"/>
  <c r="N97" i="13"/>
  <c r="O97" i="13" s="1"/>
  <c r="P97" i="13" s="1"/>
  <c r="N128" i="4" s="1"/>
  <c r="M104" i="13"/>
  <c r="N104" i="13" s="1"/>
  <c r="O104" i="13" s="1"/>
  <c r="P104" i="13" s="1"/>
  <c r="O128" i="4" s="1"/>
  <c r="N87" i="13"/>
  <c r="O87" i="13" s="1"/>
  <c r="M70" i="13"/>
  <c r="N70" i="13" s="1"/>
  <c r="O70" i="13" s="1"/>
  <c r="M63" i="13"/>
  <c r="M46" i="13"/>
  <c r="N46" i="13" s="1"/>
  <c r="N53" i="13"/>
  <c r="O53" i="13" s="1"/>
  <c r="M36" i="13"/>
  <c r="N36" i="13" s="1"/>
  <c r="O36" i="13" s="1"/>
  <c r="N29" i="13"/>
  <c r="O29" i="13" s="1"/>
  <c r="M13" i="13"/>
  <c r="N13" i="13" s="1"/>
  <c r="O13" i="13" s="1"/>
  <c r="N20" i="13"/>
  <c r="O20" i="13" s="1"/>
  <c r="N100" i="14"/>
  <c r="O100" i="14"/>
  <c r="P100" i="14" s="1"/>
  <c r="M85" i="14"/>
  <c r="N85" i="14" s="1"/>
  <c r="O85" i="14" s="1"/>
  <c r="P85" i="14" s="1"/>
  <c r="L69" i="14"/>
  <c r="M69" i="14" s="1"/>
  <c r="N61" i="14"/>
  <c r="O61" i="14" s="1"/>
  <c r="P61" i="14" s="1"/>
  <c r="N44" i="14"/>
  <c r="O44" i="14" s="1"/>
  <c r="P44" i="14" s="1"/>
  <c r="L53" i="14"/>
  <c r="M53" i="14" s="1"/>
  <c r="N35" i="14"/>
  <c r="O35" i="14" s="1"/>
  <c r="P35" i="14" s="1"/>
  <c r="M28" i="14"/>
  <c r="N28" i="14" s="1"/>
  <c r="O28" i="14" s="1"/>
  <c r="P28" i="14" s="1"/>
  <c r="N12" i="14"/>
  <c r="O12" i="14" s="1"/>
  <c r="P12" i="14" s="1"/>
  <c r="M19" i="14"/>
  <c r="N19" i="14" s="1"/>
  <c r="O19" i="14" s="1"/>
  <c r="P19" i="14" s="1"/>
  <c r="M132" i="12"/>
  <c r="N132" i="12" s="1"/>
  <c r="O132" i="12" s="1"/>
  <c r="P132" i="12" s="1"/>
  <c r="L140" i="12"/>
  <c r="O124" i="12"/>
  <c r="P124" i="12" s="1"/>
  <c r="M115" i="12"/>
  <c r="N115" i="12" s="1"/>
  <c r="O115" i="12" s="1"/>
  <c r="P115" i="12" s="1"/>
  <c r="L106" i="12"/>
  <c r="M106" i="12" s="1"/>
  <c r="M97" i="12"/>
  <c r="N97" i="12" s="1"/>
  <c r="M88" i="12"/>
  <c r="N88" i="12" s="1"/>
  <c r="M72" i="12"/>
  <c r="N72" i="12" s="1"/>
  <c r="N36" i="12"/>
  <c r="O36" i="12" s="1"/>
  <c r="P36" i="12" s="1"/>
  <c r="L27" i="12"/>
  <c r="M27" i="12" s="1"/>
  <c r="L12" i="12"/>
  <c r="M12" i="12" s="1"/>
  <c r="N12" i="12" s="1"/>
  <c r="L46" i="12"/>
  <c r="M46" i="12" s="1"/>
  <c r="N46" i="12" s="1"/>
  <c r="I31" i="11"/>
  <c r="G41" i="11" s="1"/>
  <c r="H41" i="11" s="1"/>
  <c r="I42" i="11" s="1"/>
  <c r="M37" i="11"/>
  <c r="N37" i="11" s="1"/>
  <c r="N47" i="11"/>
  <c r="O47" i="11" s="1"/>
  <c r="P47" i="11" s="1"/>
  <c r="M25" i="11"/>
  <c r="N25" i="11" s="1"/>
  <c r="M22" i="10"/>
  <c r="N22" i="10" s="1"/>
  <c r="M18" i="10"/>
  <c r="N18" i="10" s="1"/>
  <c r="O18" i="10" s="1"/>
  <c r="P18" i="10" s="1"/>
  <c r="G63" i="12"/>
  <c r="H63" i="12" s="1"/>
  <c r="I64" i="12" s="1"/>
  <c r="J64" i="12" s="1"/>
  <c r="K64" i="12" s="1"/>
  <c r="T4" i="4"/>
  <c r="D38" i="9"/>
  <c r="D39" i="9" s="1"/>
  <c r="D40" i="9" s="1"/>
  <c r="D41" i="9" s="1"/>
  <c r="D42" i="9" s="1"/>
  <c r="D43" i="9" s="1"/>
  <c r="D44" i="9" s="1"/>
  <c r="D45" i="9" s="1"/>
  <c r="D46" i="9" s="1"/>
  <c r="D47" i="9" s="1"/>
  <c r="D48" i="9" s="1"/>
  <c r="D49" i="9" s="1"/>
  <c r="D50" i="9" s="1"/>
  <c r="D51" i="9" s="1"/>
  <c r="D52" i="9" s="1"/>
  <c r="D53" i="9" s="1"/>
  <c r="D54" i="9" s="1"/>
  <c r="D55" i="9" s="1"/>
  <c r="D56" i="9" s="1"/>
  <c r="E37" i="9"/>
  <c r="K85" i="4"/>
  <c r="N10" i="11"/>
  <c r="O10" i="11" s="1"/>
  <c r="M20" i="11"/>
  <c r="L9" i="10"/>
  <c r="Q85" i="4"/>
  <c r="G175" i="8"/>
  <c r="G176" i="8" s="1"/>
  <c r="G177" i="8" s="1"/>
  <c r="E11" i="9"/>
  <c r="E10" i="9"/>
  <c r="E9" i="9"/>
  <c r="E8" i="9"/>
  <c r="E7" i="9"/>
  <c r="E196" i="8"/>
  <c r="E194" i="8"/>
  <c r="E193" i="8"/>
  <c r="G193" i="8"/>
  <c r="E192" i="8"/>
  <c r="E151" i="8"/>
  <c r="E135" i="8"/>
  <c r="E120" i="8"/>
  <c r="E178" i="8"/>
  <c r="E176" i="8"/>
  <c r="E175" i="8"/>
  <c r="E174" i="8"/>
  <c r="G114" i="8"/>
  <c r="G115" i="8" s="1"/>
  <c r="G116" i="8" s="1"/>
  <c r="G117" i="8" s="1"/>
  <c r="G107" i="8"/>
  <c r="G108" i="8" s="1"/>
  <c r="G109" i="8" s="1"/>
  <c r="G110" i="8" s="1"/>
  <c r="G84" i="8"/>
  <c r="G85" i="8" s="1"/>
  <c r="G86" i="8" s="1"/>
  <c r="G87" i="8" s="1"/>
  <c r="G68" i="8"/>
  <c r="G69" i="8" s="1"/>
  <c r="G70" i="8" s="1"/>
  <c r="G71" i="8" s="1"/>
  <c r="E117" i="8"/>
  <c r="E115" i="8"/>
  <c r="E114" i="8"/>
  <c r="E113" i="8"/>
  <c r="H113" i="8" s="1"/>
  <c r="E110" i="8"/>
  <c r="E108" i="8"/>
  <c r="E107" i="8"/>
  <c r="E106" i="8"/>
  <c r="H106" i="8" s="1"/>
  <c r="E101" i="8"/>
  <c r="H101" i="8" s="1"/>
  <c r="E100" i="8"/>
  <c r="H100" i="8" s="1"/>
  <c r="E99" i="8"/>
  <c r="H99" i="8" s="1"/>
  <c r="E103" i="8"/>
  <c r="H103" i="8" s="1"/>
  <c r="E87" i="8"/>
  <c r="E85" i="8"/>
  <c r="E84" i="8"/>
  <c r="E83" i="8"/>
  <c r="H83" i="8" s="1"/>
  <c r="E71" i="8"/>
  <c r="E69" i="8"/>
  <c r="E68" i="8"/>
  <c r="E67" i="8"/>
  <c r="H67" i="8" s="1"/>
  <c r="E56" i="8"/>
  <c r="E54" i="8"/>
  <c r="E53" i="8"/>
  <c r="E52" i="8"/>
  <c r="H52" i="8" s="1"/>
  <c r="B28" i="6"/>
  <c r="G49" i="8"/>
  <c r="E49" i="8"/>
  <c r="E48" i="8" s="1"/>
  <c r="G48" i="8"/>
  <c r="G45" i="8"/>
  <c r="E45" i="8"/>
  <c r="G44" i="8"/>
  <c r="E44" i="8"/>
  <c r="G40" i="8"/>
  <c r="E40" i="8"/>
  <c r="E102" i="8" s="1"/>
  <c r="H102" i="8" s="1"/>
  <c r="G39" i="8"/>
  <c r="G36" i="8"/>
  <c r="E36" i="8"/>
  <c r="G35" i="8"/>
  <c r="E35" i="8"/>
  <c r="G31" i="8"/>
  <c r="E31" i="8"/>
  <c r="E30" i="8" s="1"/>
  <c r="G30" i="8"/>
  <c r="G27" i="8"/>
  <c r="E27" i="8"/>
  <c r="G26" i="8"/>
  <c r="E26" i="8"/>
  <c r="G22" i="8"/>
  <c r="E22" i="8"/>
  <c r="E21" i="8" s="1"/>
  <c r="G21" i="8"/>
  <c r="G18" i="8"/>
  <c r="E18" i="8"/>
  <c r="G17" i="8"/>
  <c r="E17" i="8"/>
  <c r="E13" i="8"/>
  <c r="E12" i="8" s="1"/>
  <c r="G13" i="8"/>
  <c r="G12" i="8"/>
  <c r="G9" i="8"/>
  <c r="G8" i="8"/>
  <c r="E9" i="8"/>
  <c r="E8" i="8"/>
  <c r="O176" i="15" l="1"/>
  <c r="P176" i="15" s="1"/>
  <c r="O123" i="15"/>
  <c r="P123" i="15" s="1"/>
  <c r="O67" i="15"/>
  <c r="P67" i="15" s="1"/>
  <c r="O12" i="15"/>
  <c r="P12" i="15" s="1"/>
  <c r="O28" i="15"/>
  <c r="P28" i="15" s="1"/>
  <c r="N122" i="13"/>
  <c r="O122" i="13" s="1"/>
  <c r="O129" i="4" s="1"/>
  <c r="N63" i="13"/>
  <c r="O63" i="13" s="1"/>
  <c r="O46" i="13"/>
  <c r="N69" i="14"/>
  <c r="O69" i="14" s="1"/>
  <c r="P69" i="14" s="1"/>
  <c r="N53" i="14"/>
  <c r="O53" i="14" s="1"/>
  <c r="P53" i="14" s="1"/>
  <c r="M140" i="12"/>
  <c r="N140" i="12" s="1"/>
  <c r="O140" i="12" s="1"/>
  <c r="P140" i="12" s="1"/>
  <c r="O97" i="12"/>
  <c r="P97" i="12" s="1"/>
  <c r="N106" i="12"/>
  <c r="O106" i="12" s="1"/>
  <c r="P106" i="12" s="1"/>
  <c r="O88" i="12"/>
  <c r="P88" i="12" s="1"/>
  <c r="O72" i="12"/>
  <c r="P72" i="12" s="1"/>
  <c r="N27" i="12"/>
  <c r="O27" i="12" s="1"/>
  <c r="P27" i="12" s="1"/>
  <c r="L64" i="12"/>
  <c r="M64" i="12" s="1"/>
  <c r="N64" i="12" s="1"/>
  <c r="O46" i="12"/>
  <c r="P46" i="12" s="1"/>
  <c r="O99" i="4"/>
  <c r="J31" i="11"/>
  <c r="K31" i="11" s="1"/>
  <c r="L31" i="11" s="1"/>
  <c r="M31" i="11" s="1"/>
  <c r="N31" i="11" s="1"/>
  <c r="J42" i="11"/>
  <c r="K42" i="11" s="1"/>
  <c r="L42" i="11" s="1"/>
  <c r="O25" i="11"/>
  <c r="P25" i="11" s="1"/>
  <c r="O37" i="11"/>
  <c r="P37" i="11" s="1"/>
  <c r="O22" i="10"/>
  <c r="P22" i="10" s="1"/>
  <c r="P10" i="11"/>
  <c r="H54" i="8"/>
  <c r="H53" i="8"/>
  <c r="H56" i="8"/>
  <c r="O12" i="12"/>
  <c r="N20" i="11"/>
  <c r="O20" i="11" s="1"/>
  <c r="M9" i="10"/>
  <c r="H192" i="8"/>
  <c r="G194" i="8"/>
  <c r="H193" i="8"/>
  <c r="H114" i="8"/>
  <c r="H174" i="8"/>
  <c r="H175" i="8"/>
  <c r="H176" i="8"/>
  <c r="G178" i="8"/>
  <c r="H178" i="8" s="1"/>
  <c r="H8" i="8"/>
  <c r="H84" i="8"/>
  <c r="H115" i="8"/>
  <c r="H117" i="8"/>
  <c r="H107" i="8"/>
  <c r="H108" i="8"/>
  <c r="H110" i="8"/>
  <c r="H85" i="8"/>
  <c r="H87" i="8"/>
  <c r="H68" i="8"/>
  <c r="H69" i="8"/>
  <c r="H71" i="8"/>
  <c r="E109" i="8"/>
  <c r="H109" i="8" s="1"/>
  <c r="H9" i="8"/>
  <c r="E116" i="8"/>
  <c r="H116" i="8" s="1"/>
  <c r="H26" i="8"/>
  <c r="H40" i="8"/>
  <c r="H45" i="8"/>
  <c r="H35" i="8"/>
  <c r="H17" i="8"/>
  <c r="H30" i="8"/>
  <c r="H48" i="8"/>
  <c r="H44" i="8"/>
  <c r="H36" i="8"/>
  <c r="H49" i="8"/>
  <c r="H21" i="8"/>
  <c r="E39" i="8"/>
  <c r="H27" i="8"/>
  <c r="H31" i="8"/>
  <c r="H18" i="8"/>
  <c r="H22" i="8"/>
  <c r="O64" i="12" l="1"/>
  <c r="P64" i="12" s="1"/>
  <c r="O31" i="11"/>
  <c r="P31" i="11" s="1"/>
  <c r="M42" i="11"/>
  <c r="N42" i="11" s="1"/>
  <c r="O42" i="11" s="1"/>
  <c r="P42" i="11" s="1"/>
  <c r="P20" i="11"/>
  <c r="P12" i="12"/>
  <c r="E202" i="8"/>
  <c r="H202" i="8" s="1"/>
  <c r="I203" i="8" s="1"/>
  <c r="E217" i="8"/>
  <c r="H217" i="8" s="1"/>
  <c r="I218" i="8" s="1"/>
  <c r="E210" i="8"/>
  <c r="H210" i="8" s="1"/>
  <c r="I211" i="8" s="1"/>
  <c r="E195" i="8"/>
  <c r="E187" i="8"/>
  <c r="H187" i="8" s="1"/>
  <c r="I188" i="8" s="1"/>
  <c r="C13" i="31"/>
  <c r="C17" i="31" s="1"/>
  <c r="C18" i="31" s="1"/>
  <c r="C22" i="31" s="1"/>
  <c r="C31" i="31" s="1"/>
  <c r="N9" i="10"/>
  <c r="O9" i="10" s="1"/>
  <c r="P9" i="10" s="1"/>
  <c r="N89" i="4" s="1"/>
  <c r="I117" i="8"/>
  <c r="G195" i="8"/>
  <c r="H194" i="8"/>
  <c r="I103" i="8"/>
  <c r="E177" i="8"/>
  <c r="H177" i="8" s="1"/>
  <c r="I110" i="8"/>
  <c r="I49" i="8"/>
  <c r="I31" i="8"/>
  <c r="E55" i="8"/>
  <c r="E86" i="8"/>
  <c r="H86" i="8" s="1"/>
  <c r="I87" i="8" s="1"/>
  <c r="E70" i="8"/>
  <c r="H70" i="8" s="1"/>
  <c r="I71" i="8" s="1"/>
  <c r="H39" i="8"/>
  <c r="I40" i="8" s="1"/>
  <c r="I22" i="8"/>
  <c r="H12" i="8"/>
  <c r="H13" i="8"/>
  <c r="H55" i="8" l="1"/>
  <c r="I56" i="8" s="1"/>
  <c r="C24" i="31"/>
  <c r="C37" i="31"/>
  <c r="H195" i="8"/>
  <c r="G196" i="8"/>
  <c r="H196" i="8" s="1"/>
  <c r="I13" i="8"/>
  <c r="D37" i="31" l="1"/>
  <c r="C38" i="31"/>
  <c r="I196" i="8"/>
  <c r="E38" i="9"/>
  <c r="C39" i="31" l="1"/>
  <c r="D38" i="31"/>
  <c r="E39" i="9"/>
  <c r="C40" i="31" l="1"/>
  <c r="D39" i="31"/>
  <c r="E40" i="9"/>
  <c r="D40" i="31" l="1"/>
  <c r="C41" i="31"/>
  <c r="E41" i="9"/>
  <c r="D41" i="31" l="1"/>
  <c r="C42" i="31"/>
  <c r="E42" i="9"/>
  <c r="E43" i="9" s="1"/>
  <c r="E44" i="9" s="1"/>
  <c r="E45" i="9" s="1"/>
  <c r="E46" i="9" s="1"/>
  <c r="E47" i="9" s="1"/>
  <c r="E48" i="9" s="1"/>
  <c r="E49" i="9" s="1"/>
  <c r="E50" i="9" s="1"/>
  <c r="E51" i="9" s="1"/>
  <c r="E52" i="9" s="1"/>
  <c r="E53" i="9" s="1"/>
  <c r="E54" i="9" s="1"/>
  <c r="E55" i="9" s="1"/>
  <c r="E56" i="9" s="1"/>
  <c r="H151" i="8"/>
  <c r="I151" i="8" s="1"/>
  <c r="H135" i="8"/>
  <c r="I135" i="8" s="1"/>
  <c r="H120" i="8"/>
  <c r="I120" i="8" s="1"/>
  <c r="N5" i="8"/>
  <c r="M5" i="8"/>
  <c r="L5" i="8"/>
  <c r="K5" i="8"/>
  <c r="J5" i="8"/>
  <c r="H110" i="3"/>
  <c r="I117" i="3" s="1"/>
  <c r="H34" i="3"/>
  <c r="I34" i="3" s="1"/>
  <c r="H8" i="3"/>
  <c r="I8" i="3" s="1"/>
  <c r="H107" i="3"/>
  <c r="E45" i="3"/>
  <c r="H45" i="3" s="1"/>
  <c r="E21" i="3"/>
  <c r="E20" i="3"/>
  <c r="E19" i="3"/>
  <c r="E18" i="3"/>
  <c r="E17" i="3"/>
  <c r="E16" i="3"/>
  <c r="G16" i="3"/>
  <c r="N5" i="3"/>
  <c r="M5" i="3"/>
  <c r="L5" i="3"/>
  <c r="K5" i="3"/>
  <c r="J5" i="3"/>
  <c r="D20" i="6"/>
  <c r="D19" i="6"/>
  <c r="B3" i="6"/>
  <c r="E43" i="3" s="1"/>
  <c r="H43" i="3" s="1"/>
  <c r="J649" i="8" l="1"/>
  <c r="J609" i="8"/>
  <c r="J604" i="8"/>
  <c r="J644" i="8"/>
  <c r="J619" i="8"/>
  <c r="J614" i="8"/>
  <c r="J629" i="8"/>
  <c r="J624" i="8"/>
  <c r="J634" i="8"/>
  <c r="J639" i="8"/>
  <c r="J549" i="8"/>
  <c r="J504" i="8"/>
  <c r="J544" i="8"/>
  <c r="J554" i="8"/>
  <c r="J559" i="8"/>
  <c r="J519" i="8"/>
  <c r="J534" i="8"/>
  <c r="J514" i="8"/>
  <c r="J509" i="8"/>
  <c r="J539" i="8"/>
  <c r="J569" i="8"/>
  <c r="J524" i="8"/>
  <c r="J529" i="8"/>
  <c r="J564" i="8"/>
  <c r="J574" i="8"/>
  <c r="J579" i="8"/>
  <c r="J584" i="8"/>
  <c r="J589" i="8"/>
  <c r="J594" i="8"/>
  <c r="J599" i="8"/>
  <c r="J478" i="8"/>
  <c r="J488" i="8"/>
  <c r="J473" i="8"/>
  <c r="J493" i="8"/>
  <c r="J498" i="8"/>
  <c r="J483" i="8"/>
  <c r="J448" i="8"/>
  <c r="J443" i="8"/>
  <c r="J458" i="8"/>
  <c r="J468" i="8"/>
  <c r="J453" i="8"/>
  <c r="J463" i="8"/>
  <c r="J402" i="8"/>
  <c r="J407" i="8"/>
  <c r="J412" i="8"/>
  <c r="J417" i="8"/>
  <c r="J423" i="8"/>
  <c r="J428" i="8"/>
  <c r="J433" i="8"/>
  <c r="J438" i="8"/>
  <c r="J272" i="8"/>
  <c r="J267" i="8"/>
  <c r="J350" i="8"/>
  <c r="J371" i="8"/>
  <c r="J361" i="8"/>
  <c r="J366" i="8"/>
  <c r="J355" i="8"/>
  <c r="J376" i="8"/>
  <c r="J382" i="8"/>
  <c r="J387" i="8"/>
  <c r="J392" i="8"/>
  <c r="J397" i="8"/>
  <c r="J287" i="8"/>
  <c r="J292" i="8"/>
  <c r="J298" i="8"/>
  <c r="J303" i="8"/>
  <c r="J314" i="8"/>
  <c r="J309" i="8"/>
  <c r="J320" i="8"/>
  <c r="J325" i="8"/>
  <c r="J345" i="8"/>
  <c r="J330" i="8"/>
  <c r="J340" i="8"/>
  <c r="J335" i="8"/>
  <c r="J262" i="8"/>
  <c r="J282" i="8"/>
  <c r="J257" i="8"/>
  <c r="J277" i="8"/>
  <c r="J251" i="8"/>
  <c r="J246" i="8"/>
  <c r="J240" i="8"/>
  <c r="J235" i="8"/>
  <c r="J224" i="8"/>
  <c r="J229" i="8"/>
  <c r="J85" i="3"/>
  <c r="J73" i="3"/>
  <c r="J76" i="3"/>
  <c r="J81" i="3"/>
  <c r="K81" i="3" s="1"/>
  <c r="K85" i="3"/>
  <c r="K73" i="3"/>
  <c r="L73" i="3" s="1"/>
  <c r="K76" i="3"/>
  <c r="J101" i="3"/>
  <c r="K101" i="3" s="1"/>
  <c r="L101" i="3" s="1"/>
  <c r="J94" i="3"/>
  <c r="J90" i="3"/>
  <c r="J65" i="3"/>
  <c r="J68" i="3"/>
  <c r="J54" i="3"/>
  <c r="J61" i="3"/>
  <c r="J58" i="3"/>
  <c r="K54" i="3"/>
  <c r="J11" i="3"/>
  <c r="K11" i="3" s="1"/>
  <c r="L11" i="3" s="1"/>
  <c r="M11" i="3" s="1"/>
  <c r="N11" i="3" s="1"/>
  <c r="O11" i="3" s="1"/>
  <c r="J37" i="3"/>
  <c r="G21" i="3"/>
  <c r="H29" i="3"/>
  <c r="H28" i="3"/>
  <c r="H30" i="3"/>
  <c r="H27" i="3"/>
  <c r="H26" i="3"/>
  <c r="I98" i="3"/>
  <c r="E42" i="3"/>
  <c r="H42" i="3" s="1"/>
  <c r="I46" i="3" s="1"/>
  <c r="J203" i="8"/>
  <c r="K203" i="8" s="1"/>
  <c r="L203" i="8" s="1"/>
  <c r="J211" i="8"/>
  <c r="K211" i="8" s="1"/>
  <c r="L211" i="8" s="1"/>
  <c r="M211" i="8" s="1"/>
  <c r="J218" i="8"/>
  <c r="K218" i="8" s="1"/>
  <c r="L218" i="8" s="1"/>
  <c r="J196" i="8"/>
  <c r="K196" i="8" s="1"/>
  <c r="L196" i="8" s="1"/>
  <c r="J188" i="8"/>
  <c r="J117" i="3"/>
  <c r="K117" i="3" s="1"/>
  <c r="L117" i="3" s="1"/>
  <c r="C43" i="31"/>
  <c r="D42" i="31"/>
  <c r="J110" i="8"/>
  <c r="K110" i="8" s="1"/>
  <c r="L110" i="8" s="1"/>
  <c r="J117" i="8"/>
  <c r="J87" i="8"/>
  <c r="K87" i="8" s="1"/>
  <c r="L87" i="8" s="1"/>
  <c r="M87" i="8" s="1"/>
  <c r="J103" i="8"/>
  <c r="K103" i="8" s="1"/>
  <c r="J56" i="8"/>
  <c r="K56" i="8" s="1"/>
  <c r="L56" i="8" s="1"/>
  <c r="J71" i="8"/>
  <c r="K71" i="8" s="1"/>
  <c r="J40" i="8"/>
  <c r="K40" i="8" s="1"/>
  <c r="L40" i="8" s="1"/>
  <c r="J49" i="8"/>
  <c r="K49" i="8" s="1"/>
  <c r="J22" i="8"/>
  <c r="K22" i="8" s="1"/>
  <c r="J31" i="8"/>
  <c r="K31" i="8" s="1"/>
  <c r="L31" i="8" s="1"/>
  <c r="J151" i="8"/>
  <c r="K151" i="8" s="1"/>
  <c r="I178" i="8"/>
  <c r="J135" i="8"/>
  <c r="J13" i="8"/>
  <c r="K13" i="8" s="1"/>
  <c r="L13" i="8" s="1"/>
  <c r="J120" i="8"/>
  <c r="E109" i="3"/>
  <c r="H109" i="3" s="1"/>
  <c r="I110" i="3" s="1"/>
  <c r="J110" i="3" s="1"/>
  <c r="J8" i="3"/>
  <c r="G18" i="3"/>
  <c r="G19" i="3"/>
  <c r="J34" i="3"/>
  <c r="G17" i="3"/>
  <c r="G20" i="3"/>
  <c r="H16" i="3"/>
  <c r="K639" i="8" l="1"/>
  <c r="L639" i="8"/>
  <c r="M639" i="8"/>
  <c r="N639" i="8"/>
  <c r="O639" i="8" s="1"/>
  <c r="P639" i="8" s="1"/>
  <c r="O81" i="4" s="1"/>
  <c r="K634" i="8"/>
  <c r="L634" i="8"/>
  <c r="M634" i="8"/>
  <c r="N634" i="8" s="1"/>
  <c r="O634" i="8" s="1"/>
  <c r="P634" i="8" s="1"/>
  <c r="N81" i="4" s="1"/>
  <c r="K624" i="8"/>
  <c r="L624" i="8" s="1"/>
  <c r="M624" i="8" s="1"/>
  <c r="N624" i="8" s="1"/>
  <c r="K629" i="8"/>
  <c r="L629" i="8"/>
  <c r="M629" i="8"/>
  <c r="N629" i="8" s="1"/>
  <c r="O629" i="8"/>
  <c r="P629" i="8" s="1"/>
  <c r="O80" i="4" s="1"/>
  <c r="K614" i="8"/>
  <c r="L614" i="8"/>
  <c r="M614" i="8"/>
  <c r="N614" i="8" s="1"/>
  <c r="O614" i="8" s="1"/>
  <c r="P614" i="8" s="1"/>
  <c r="N79" i="4" s="1"/>
  <c r="K619" i="8"/>
  <c r="L619" i="8" s="1"/>
  <c r="K644" i="8"/>
  <c r="L644" i="8" s="1"/>
  <c r="K604" i="8"/>
  <c r="L604" i="8" s="1"/>
  <c r="K609" i="8"/>
  <c r="L609" i="8" s="1"/>
  <c r="K649" i="8"/>
  <c r="L649" i="8" s="1"/>
  <c r="M649" i="8" s="1"/>
  <c r="N649" i="8" s="1"/>
  <c r="O649" i="8" s="1"/>
  <c r="P649" i="8" s="1"/>
  <c r="O83" i="4" s="1"/>
  <c r="K569" i="8"/>
  <c r="L569" i="8" s="1"/>
  <c r="K539" i="8"/>
  <c r="L539" i="8" s="1"/>
  <c r="M539" i="8"/>
  <c r="N539" i="8" s="1"/>
  <c r="O539" i="8" s="1"/>
  <c r="P539" i="8" s="1"/>
  <c r="O69" i="4" s="1"/>
  <c r="K509" i="8"/>
  <c r="L509" i="8" s="1"/>
  <c r="K524" i="8"/>
  <c r="L524" i="8" s="1"/>
  <c r="M524" i="8" s="1"/>
  <c r="K599" i="8"/>
  <c r="L599" i="8" s="1"/>
  <c r="K514" i="8"/>
  <c r="K594" i="8"/>
  <c r="L594" i="8" s="1"/>
  <c r="M594" i="8" s="1"/>
  <c r="K534" i="8"/>
  <c r="L534" i="8" s="1"/>
  <c r="K589" i="8"/>
  <c r="L589" i="8"/>
  <c r="M589" i="8" s="1"/>
  <c r="K519" i="8"/>
  <c r="L519" i="8"/>
  <c r="M519" i="8"/>
  <c r="N519" i="8" s="1"/>
  <c r="O519" i="8"/>
  <c r="P519" i="8" s="1"/>
  <c r="O67" i="4" s="1"/>
  <c r="K584" i="8"/>
  <c r="L584" i="8" s="1"/>
  <c r="K559" i="8"/>
  <c r="L559" i="8" s="1"/>
  <c r="K579" i="8"/>
  <c r="L579" i="8" s="1"/>
  <c r="M579" i="8" s="1"/>
  <c r="K554" i="8"/>
  <c r="L554" i="8" s="1"/>
  <c r="K574" i="8"/>
  <c r="L574" i="8" s="1"/>
  <c r="M574" i="8" s="1"/>
  <c r="N574" i="8" s="1"/>
  <c r="O574" i="8" s="1"/>
  <c r="P574" i="8" s="1"/>
  <c r="N74" i="4" s="1"/>
  <c r="K544" i="8"/>
  <c r="L544" i="8"/>
  <c r="M544" i="8"/>
  <c r="N544" i="8" s="1"/>
  <c r="O544" i="8" s="1"/>
  <c r="P544" i="8" s="1"/>
  <c r="N71" i="4" s="1"/>
  <c r="K564" i="8"/>
  <c r="L564" i="8" s="1"/>
  <c r="M564" i="8" s="1"/>
  <c r="N564" i="8" s="1"/>
  <c r="O564" i="8" s="1"/>
  <c r="P564" i="8" s="1"/>
  <c r="N73" i="4" s="1"/>
  <c r="K504" i="8"/>
  <c r="L504" i="8"/>
  <c r="M504" i="8" s="1"/>
  <c r="K529" i="8"/>
  <c r="L529" i="8" s="1"/>
  <c r="K549" i="8"/>
  <c r="L549" i="8"/>
  <c r="M549" i="8"/>
  <c r="N549" i="8" s="1"/>
  <c r="K468" i="8"/>
  <c r="L468" i="8" s="1"/>
  <c r="K458" i="8"/>
  <c r="L458" i="8" s="1"/>
  <c r="M458" i="8" s="1"/>
  <c r="N458" i="8" s="1"/>
  <c r="O458" i="8" s="1"/>
  <c r="P458" i="8" s="1"/>
  <c r="O59" i="4" s="1"/>
  <c r="K443" i="8"/>
  <c r="L443" i="8" s="1"/>
  <c r="M443" i="8" s="1"/>
  <c r="N443" i="8" s="1"/>
  <c r="O443" i="8" s="1"/>
  <c r="P443" i="8" s="1"/>
  <c r="N58" i="4" s="1"/>
  <c r="K448" i="8"/>
  <c r="L448" i="8" s="1"/>
  <c r="M448" i="8" s="1"/>
  <c r="N448" i="8" s="1"/>
  <c r="O448" i="8" s="1"/>
  <c r="P448" i="8" s="1"/>
  <c r="O58" i="4" s="1"/>
  <c r="K483" i="8"/>
  <c r="L483" i="8" s="1"/>
  <c r="K463" i="8"/>
  <c r="L463" i="8" s="1"/>
  <c r="M463" i="8" s="1"/>
  <c r="K498" i="8"/>
  <c r="L498" i="8" s="1"/>
  <c r="M498" i="8" s="1"/>
  <c r="N498" i="8" s="1"/>
  <c r="O498" i="8" s="1"/>
  <c r="P498" i="8" s="1"/>
  <c r="O64" i="4" s="1"/>
  <c r="K493" i="8"/>
  <c r="L493" i="8" s="1"/>
  <c r="M493" i="8" s="1"/>
  <c r="K453" i="8"/>
  <c r="L453" i="8" s="1"/>
  <c r="M453" i="8" s="1"/>
  <c r="K473" i="8"/>
  <c r="L473" i="8" s="1"/>
  <c r="M473" i="8" s="1"/>
  <c r="K488" i="8"/>
  <c r="L488" i="8" s="1"/>
  <c r="K478" i="8"/>
  <c r="L478" i="8" s="1"/>
  <c r="K438" i="8"/>
  <c r="L438" i="8" s="1"/>
  <c r="M438" i="8" s="1"/>
  <c r="K433" i="8"/>
  <c r="L433" i="8" s="1"/>
  <c r="K428" i="8"/>
  <c r="L428" i="8" s="1"/>
  <c r="M428" i="8" s="1"/>
  <c r="N428" i="8" s="1"/>
  <c r="K423" i="8"/>
  <c r="K417" i="8"/>
  <c r="K412" i="8"/>
  <c r="L412" i="8" s="1"/>
  <c r="K407" i="8"/>
  <c r="L407" i="8" s="1"/>
  <c r="K402" i="8"/>
  <c r="L402" i="8" s="1"/>
  <c r="K267" i="8"/>
  <c r="L267" i="8" s="1"/>
  <c r="K272" i="8"/>
  <c r="L272" i="8" s="1"/>
  <c r="M272" i="8" s="1"/>
  <c r="N272" i="8" s="1"/>
  <c r="O272" i="8" s="1"/>
  <c r="P272" i="8" s="1"/>
  <c r="O38" i="4" s="1"/>
  <c r="K397" i="8"/>
  <c r="L397" i="8" s="1"/>
  <c r="K392" i="8"/>
  <c r="L392" i="8" s="1"/>
  <c r="M392" i="8" s="1"/>
  <c r="K387" i="8"/>
  <c r="L387" i="8" s="1"/>
  <c r="M387" i="8" s="1"/>
  <c r="N387" i="8" s="1"/>
  <c r="O387" i="8" s="1"/>
  <c r="P387" i="8" s="1"/>
  <c r="O51" i="4" s="1"/>
  <c r="K382" i="8"/>
  <c r="L382" i="8" s="1"/>
  <c r="K376" i="8"/>
  <c r="L376" i="8" s="1"/>
  <c r="M376" i="8" s="1"/>
  <c r="K355" i="8"/>
  <c r="L355" i="8" s="1"/>
  <c r="K366" i="8"/>
  <c r="L366" i="8" s="1"/>
  <c r="K361" i="8"/>
  <c r="L361" i="8" s="1"/>
  <c r="M361" i="8" s="1"/>
  <c r="K371" i="8"/>
  <c r="L371" i="8" s="1"/>
  <c r="M371" i="8" s="1"/>
  <c r="K350" i="8"/>
  <c r="L350" i="8" s="1"/>
  <c r="K335" i="8"/>
  <c r="K330" i="8"/>
  <c r="K309" i="8"/>
  <c r="L309" i="8" s="1"/>
  <c r="K314" i="8"/>
  <c r="L314" i="8" s="1"/>
  <c r="K325" i="8"/>
  <c r="L325" i="8" s="1"/>
  <c r="M325" i="8" s="1"/>
  <c r="N325" i="8" s="1"/>
  <c r="K303" i="8"/>
  <c r="L303" i="8" s="1"/>
  <c r="M303" i="8" s="1"/>
  <c r="K320" i="8"/>
  <c r="L320" i="8" s="1"/>
  <c r="K298" i="8"/>
  <c r="L298" i="8" s="1"/>
  <c r="K292" i="8"/>
  <c r="L292" i="8" s="1"/>
  <c r="K340" i="8"/>
  <c r="L340" i="8" s="1"/>
  <c r="K345" i="8"/>
  <c r="L345" i="8" s="1"/>
  <c r="K287" i="8"/>
  <c r="L287" i="8" s="1"/>
  <c r="M287" i="8" s="1"/>
  <c r="K277" i="8"/>
  <c r="L277" i="8" s="1"/>
  <c r="K257" i="8"/>
  <c r="L257" i="8" s="1"/>
  <c r="M257" i="8" s="1"/>
  <c r="K282" i="8"/>
  <c r="L282" i="8" s="1"/>
  <c r="K262" i="8"/>
  <c r="K246" i="8"/>
  <c r="L246" i="8" s="1"/>
  <c r="M246" i="8" s="1"/>
  <c r="N246" i="8" s="1"/>
  <c r="O246" i="8" s="1"/>
  <c r="P246" i="8" s="1"/>
  <c r="N36" i="4" s="1"/>
  <c r="K251" i="8"/>
  <c r="L251" i="8" s="1"/>
  <c r="K235" i="8"/>
  <c r="L235" i="8" s="1"/>
  <c r="K240" i="8"/>
  <c r="L240" i="8" s="1"/>
  <c r="K229" i="8"/>
  <c r="L229" i="8" s="1"/>
  <c r="K224" i="8"/>
  <c r="L224" i="8" s="1"/>
  <c r="M224" i="8" s="1"/>
  <c r="L81" i="3"/>
  <c r="L76" i="3"/>
  <c r="M76" i="3" s="1"/>
  <c r="M81" i="3"/>
  <c r="M73" i="3"/>
  <c r="N73" i="3" s="1"/>
  <c r="L85" i="3"/>
  <c r="M85" i="3" s="1"/>
  <c r="K94" i="3"/>
  <c r="K90" i="3"/>
  <c r="M101" i="3"/>
  <c r="N101" i="3" s="1"/>
  <c r="O101" i="3" s="1"/>
  <c r="K68" i="3"/>
  <c r="L68" i="3" s="1"/>
  <c r="M68" i="3" s="1"/>
  <c r="K65" i="3"/>
  <c r="K58" i="3"/>
  <c r="L58" i="3" s="1"/>
  <c r="M58" i="3" s="1"/>
  <c r="K61" i="3"/>
  <c r="L61" i="3" s="1"/>
  <c r="L54" i="3"/>
  <c r="M54" i="3" s="1"/>
  <c r="K37" i="3"/>
  <c r="L37" i="3" s="1"/>
  <c r="I30" i="3"/>
  <c r="J98" i="3"/>
  <c r="N211" i="8"/>
  <c r="O211" i="8" s="1"/>
  <c r="P211" i="8" s="1"/>
  <c r="N32" i="4" s="1"/>
  <c r="M218" i="8"/>
  <c r="N218" i="8" s="1"/>
  <c r="O218" i="8" s="1"/>
  <c r="P218" i="8" s="1"/>
  <c r="O32" i="4" s="1"/>
  <c r="M203" i="8"/>
  <c r="N203" i="8" s="1"/>
  <c r="O203" i="8" s="1"/>
  <c r="P203" i="8" s="1"/>
  <c r="O31" i="4" s="1"/>
  <c r="K188" i="8"/>
  <c r="L188" i="8" s="1"/>
  <c r="M188" i="8" s="1"/>
  <c r="N188" i="8" s="1"/>
  <c r="M117" i="3"/>
  <c r="C44" i="31"/>
  <c r="D43" i="31"/>
  <c r="M196" i="8"/>
  <c r="N196" i="8" s="1"/>
  <c r="O196" i="8" s="1"/>
  <c r="P196" i="8" s="1"/>
  <c r="K117" i="8"/>
  <c r="M110" i="8"/>
  <c r="N110" i="8" s="1"/>
  <c r="O110" i="8" s="1"/>
  <c r="P110" i="8" s="1"/>
  <c r="L103" i="8"/>
  <c r="M103" i="8" s="1"/>
  <c r="N87" i="8"/>
  <c r="O87" i="8" s="1"/>
  <c r="P87" i="8" s="1"/>
  <c r="L71" i="8"/>
  <c r="M71" i="8" s="1"/>
  <c r="M56" i="8"/>
  <c r="N56" i="8" s="1"/>
  <c r="L49" i="8"/>
  <c r="M49" i="8" s="1"/>
  <c r="M40" i="8"/>
  <c r="N40" i="8" s="1"/>
  <c r="M31" i="8"/>
  <c r="N31" i="8" s="1"/>
  <c r="O31" i="8" s="1"/>
  <c r="L22" i="8"/>
  <c r="M22" i="8" s="1"/>
  <c r="N22" i="8" s="1"/>
  <c r="O22" i="8" s="1"/>
  <c r="K120" i="8"/>
  <c r="K135" i="8"/>
  <c r="L135" i="8" s="1"/>
  <c r="M135" i="8" s="1"/>
  <c r="J178" i="8"/>
  <c r="K178" i="8" s="1"/>
  <c r="L151" i="8"/>
  <c r="M151" i="8" s="1"/>
  <c r="M13" i="8"/>
  <c r="K8" i="3"/>
  <c r="K110" i="3"/>
  <c r="L110" i="3" s="1"/>
  <c r="K46" i="3"/>
  <c r="K34" i="3"/>
  <c r="M509" i="8" l="1"/>
  <c r="N504" i="8"/>
  <c r="O504" i="8" s="1"/>
  <c r="P504" i="8" s="1"/>
  <c r="N66" i="4" s="1"/>
  <c r="O624" i="8"/>
  <c r="P624" i="8" s="1"/>
  <c r="N80" i="4" s="1"/>
  <c r="M584" i="8"/>
  <c r="N584" i="8" s="1"/>
  <c r="O584" i="8" s="1"/>
  <c r="P584" i="8" s="1"/>
  <c r="N75" i="4" s="1"/>
  <c r="M619" i="8"/>
  <c r="N619" i="8" s="1"/>
  <c r="M609" i="8"/>
  <c r="N609" i="8" s="1"/>
  <c r="O609" i="8" s="1"/>
  <c r="P609" i="8" s="1"/>
  <c r="O78" i="4" s="1"/>
  <c r="N509" i="8"/>
  <c r="O509" i="8" s="1"/>
  <c r="P509" i="8" s="1"/>
  <c r="O66" i="4" s="1"/>
  <c r="M604" i="8"/>
  <c r="N604" i="8" s="1"/>
  <c r="O604" i="8" s="1"/>
  <c r="P604" i="8" s="1"/>
  <c r="N78" i="4" s="1"/>
  <c r="O549" i="8"/>
  <c r="P549" i="8" s="1"/>
  <c r="O71" i="4" s="1"/>
  <c r="M644" i="8"/>
  <c r="N644" i="8" s="1"/>
  <c r="O644" i="8" s="1"/>
  <c r="P644" i="8" s="1"/>
  <c r="N83" i="4" s="1"/>
  <c r="N589" i="8"/>
  <c r="O589" i="8" s="1"/>
  <c r="P589" i="8" s="1"/>
  <c r="O75" i="4" s="1"/>
  <c r="M534" i="8"/>
  <c r="N534" i="8" s="1"/>
  <c r="O534" i="8" s="1"/>
  <c r="P534" i="8" s="1"/>
  <c r="N69" i="4" s="1"/>
  <c r="M569" i="8"/>
  <c r="N569" i="8" s="1"/>
  <c r="O569" i="8" s="1"/>
  <c r="P569" i="8" s="1"/>
  <c r="O73" i="4" s="1"/>
  <c r="M559" i="8"/>
  <c r="N559" i="8" s="1"/>
  <c r="O559" i="8" s="1"/>
  <c r="P559" i="8" s="1"/>
  <c r="O72" i="4" s="1"/>
  <c r="M599" i="8"/>
  <c r="N599" i="8" s="1"/>
  <c r="O599" i="8" s="1"/>
  <c r="P599" i="8" s="1"/>
  <c r="O76" i="4" s="1"/>
  <c r="N524" i="8"/>
  <c r="O524" i="8" s="1"/>
  <c r="P524" i="8" s="1"/>
  <c r="N68" i="4" s="1"/>
  <c r="M529" i="8"/>
  <c r="N529" i="8" s="1"/>
  <c r="O529" i="8" s="1"/>
  <c r="P529" i="8" s="1"/>
  <c r="O68" i="4" s="1"/>
  <c r="N594" i="8"/>
  <c r="O594" i="8" s="1"/>
  <c r="P594" i="8" s="1"/>
  <c r="N76" i="4" s="1"/>
  <c r="M554" i="8"/>
  <c r="N554" i="8" s="1"/>
  <c r="O554" i="8" s="1"/>
  <c r="P554" i="8" s="1"/>
  <c r="N72" i="4" s="1"/>
  <c r="N579" i="8"/>
  <c r="O579" i="8" s="1"/>
  <c r="P579" i="8" s="1"/>
  <c r="O74" i="4" s="1"/>
  <c r="L514" i="8"/>
  <c r="M478" i="8"/>
  <c r="N478" i="8" s="1"/>
  <c r="N453" i="8"/>
  <c r="O453" i="8" s="1"/>
  <c r="P453" i="8" s="1"/>
  <c r="N59" i="4" s="1"/>
  <c r="N493" i="8"/>
  <c r="O493" i="8" s="1"/>
  <c r="P493" i="8" s="1"/>
  <c r="N64" i="4" s="1"/>
  <c r="M468" i="8"/>
  <c r="N468" i="8" s="1"/>
  <c r="O468" i="8" s="1"/>
  <c r="P468" i="8" s="1"/>
  <c r="O60" i="4" s="1"/>
  <c r="M488" i="8"/>
  <c r="N488" i="8" s="1"/>
  <c r="O488" i="8" s="1"/>
  <c r="P488" i="8" s="1"/>
  <c r="O63" i="4" s="1"/>
  <c r="N463" i="8"/>
  <c r="O463" i="8" s="1"/>
  <c r="P463" i="8" s="1"/>
  <c r="N60" i="4" s="1"/>
  <c r="N473" i="8"/>
  <c r="O473" i="8" s="1"/>
  <c r="P473" i="8" s="1"/>
  <c r="N62" i="4" s="1"/>
  <c r="M483" i="8"/>
  <c r="N483" i="8" s="1"/>
  <c r="O483" i="8" s="1"/>
  <c r="P483" i="8" s="1"/>
  <c r="N63" i="4" s="1"/>
  <c r="M412" i="8"/>
  <c r="N412" i="8" s="1"/>
  <c r="O412" i="8" s="1"/>
  <c r="P412" i="8" s="1"/>
  <c r="N55" i="4" s="1"/>
  <c r="M433" i="8"/>
  <c r="N433" i="8" s="1"/>
  <c r="O433" i="8" s="1"/>
  <c r="P433" i="8" s="1"/>
  <c r="N57" i="4" s="1"/>
  <c r="O428" i="8"/>
  <c r="P428" i="8" s="1"/>
  <c r="O56" i="4" s="1"/>
  <c r="M267" i="8"/>
  <c r="N267" i="8" s="1"/>
  <c r="O267" i="8" s="1"/>
  <c r="P267" i="8" s="1"/>
  <c r="N38" i="4" s="1"/>
  <c r="M402" i="8"/>
  <c r="N402" i="8" s="1"/>
  <c r="O402" i="8" s="1"/>
  <c r="P402" i="8" s="1"/>
  <c r="N54" i="4" s="1"/>
  <c r="M407" i="8"/>
  <c r="N407" i="8" s="1"/>
  <c r="O407" i="8" s="1"/>
  <c r="P407" i="8" s="1"/>
  <c r="O54" i="4" s="1"/>
  <c r="L417" i="8"/>
  <c r="M417" i="8" s="1"/>
  <c r="N438" i="8"/>
  <c r="O438" i="8" s="1"/>
  <c r="P438" i="8" s="1"/>
  <c r="O57" i="4" s="1"/>
  <c r="L423" i="8"/>
  <c r="M423" i="8" s="1"/>
  <c r="M320" i="8"/>
  <c r="N320" i="8" s="1"/>
  <c r="O320" i="8" s="1"/>
  <c r="P320" i="8" s="1"/>
  <c r="N44" i="4" s="1"/>
  <c r="M366" i="8"/>
  <c r="N366" i="8" s="1"/>
  <c r="O366" i="8" s="1"/>
  <c r="P366" i="8" s="1"/>
  <c r="O49" i="4" s="1"/>
  <c r="N392" i="8"/>
  <c r="O392" i="8" s="1"/>
  <c r="P392" i="8" s="1"/>
  <c r="N52" i="4" s="1"/>
  <c r="N371" i="8"/>
  <c r="O371" i="8" s="1"/>
  <c r="P371" i="8" s="1"/>
  <c r="N50" i="4" s="1"/>
  <c r="M350" i="8"/>
  <c r="N350" i="8" s="1"/>
  <c r="O350" i="8" s="1"/>
  <c r="P350" i="8" s="1"/>
  <c r="N48" i="4" s="1"/>
  <c r="M382" i="8"/>
  <c r="M355" i="8"/>
  <c r="N355" i="8" s="1"/>
  <c r="O355" i="8" s="1"/>
  <c r="P355" i="8" s="1"/>
  <c r="O48" i="4" s="1"/>
  <c r="N287" i="8"/>
  <c r="O287" i="8" s="1"/>
  <c r="P287" i="8" s="1"/>
  <c r="N41" i="4" s="1"/>
  <c r="M309" i="8"/>
  <c r="N309" i="8" s="1"/>
  <c r="O309" i="8" s="1"/>
  <c r="P309" i="8" s="1"/>
  <c r="N43" i="4" s="1"/>
  <c r="M397" i="8"/>
  <c r="N397" i="8" s="1"/>
  <c r="O397" i="8" s="1"/>
  <c r="P397" i="8" s="1"/>
  <c r="O52" i="4" s="1"/>
  <c r="N361" i="8"/>
  <c r="O361" i="8" s="1"/>
  <c r="P361" i="8" s="1"/>
  <c r="N49" i="4" s="1"/>
  <c r="N376" i="8"/>
  <c r="O376" i="8" s="1"/>
  <c r="P376" i="8" s="1"/>
  <c r="O50" i="4" s="1"/>
  <c r="M345" i="8"/>
  <c r="N345" i="8" s="1"/>
  <c r="O345" i="8" s="1"/>
  <c r="P345" i="8" s="1"/>
  <c r="O46" i="4" s="1"/>
  <c r="N303" i="8"/>
  <c r="O303" i="8" s="1"/>
  <c r="P303" i="8" s="1"/>
  <c r="O42" i="4" s="1"/>
  <c r="M314" i="8"/>
  <c r="N314" i="8" s="1"/>
  <c r="M340" i="8"/>
  <c r="N340" i="8" s="1"/>
  <c r="O340" i="8" s="1"/>
  <c r="P340" i="8" s="1"/>
  <c r="N46" i="4" s="1"/>
  <c r="M292" i="8"/>
  <c r="N292" i="8" s="1"/>
  <c r="O292" i="8" s="1"/>
  <c r="P292" i="8" s="1"/>
  <c r="O41" i="4" s="1"/>
  <c r="O325" i="8"/>
  <c r="P325" i="8" s="1"/>
  <c r="O44" i="4" s="1"/>
  <c r="L330" i="8"/>
  <c r="M298" i="8"/>
  <c r="N298" i="8" s="1"/>
  <c r="O298" i="8" s="1"/>
  <c r="P298" i="8" s="1"/>
  <c r="N42" i="4" s="1"/>
  <c r="L335" i="8"/>
  <c r="M335" i="8" s="1"/>
  <c r="M277" i="8"/>
  <c r="N277" i="8" s="1"/>
  <c r="O277" i="8" s="1"/>
  <c r="P277" i="8" s="1"/>
  <c r="N39" i="4" s="1"/>
  <c r="M282" i="8"/>
  <c r="N282" i="8" s="1"/>
  <c r="O282" i="8" s="1"/>
  <c r="P282" i="8" s="1"/>
  <c r="O39" i="4" s="1"/>
  <c r="N257" i="8"/>
  <c r="O257" i="8" s="1"/>
  <c r="P257" i="8" s="1"/>
  <c r="N37" i="4" s="1"/>
  <c r="L262" i="8"/>
  <c r="M251" i="8"/>
  <c r="N251" i="8" s="1"/>
  <c r="O251" i="8" s="1"/>
  <c r="P251" i="8" s="1"/>
  <c r="O36" i="4" s="1"/>
  <c r="M240" i="8"/>
  <c r="N240" i="8" s="1"/>
  <c r="M235" i="8"/>
  <c r="N235" i="8" s="1"/>
  <c r="O235" i="8" s="1"/>
  <c r="P235" i="8" s="1"/>
  <c r="N35" i="4" s="1"/>
  <c r="N224" i="8"/>
  <c r="O224" i="8" s="1"/>
  <c r="P224" i="8" s="1"/>
  <c r="N34" i="4" s="1"/>
  <c r="M229" i="8"/>
  <c r="N229" i="8" s="1"/>
  <c r="O229" i="8" s="1"/>
  <c r="P229" i="8" s="1"/>
  <c r="O34" i="4" s="1"/>
  <c r="N81" i="3"/>
  <c r="O81" i="3" s="1"/>
  <c r="P81" i="3" s="1"/>
  <c r="N76" i="3"/>
  <c r="N85" i="3"/>
  <c r="O85" i="3" s="1"/>
  <c r="P85" i="3" s="1"/>
  <c r="O73" i="3"/>
  <c r="P73" i="3" s="1"/>
  <c r="O76" i="3"/>
  <c r="P76" i="3" s="1"/>
  <c r="L94" i="3"/>
  <c r="M94" i="3" s="1"/>
  <c r="L90" i="3"/>
  <c r="L65" i="3"/>
  <c r="N68" i="3"/>
  <c r="O68" i="3" s="1"/>
  <c r="N58" i="3"/>
  <c r="O58" i="3" s="1"/>
  <c r="M61" i="3"/>
  <c r="N61" i="3" s="1"/>
  <c r="O61" i="3" s="1"/>
  <c r="N54" i="3"/>
  <c r="O54" i="3" s="1"/>
  <c r="P54" i="3" s="1"/>
  <c r="M37" i="3"/>
  <c r="N37" i="3" s="1"/>
  <c r="J30" i="3"/>
  <c r="K30" i="3" s="1"/>
  <c r="K98" i="3"/>
  <c r="O188" i="8"/>
  <c r="P188" i="8" s="1"/>
  <c r="O30" i="4" s="1"/>
  <c r="N117" i="3"/>
  <c r="O117" i="3" s="1"/>
  <c r="P117" i="3" s="1"/>
  <c r="P31" i="8"/>
  <c r="N18" i="4" s="1"/>
  <c r="O18" i="4" s="1"/>
  <c r="P22" i="8"/>
  <c r="N17" i="4" s="1"/>
  <c r="O17" i="4" s="1"/>
  <c r="N23" i="4"/>
  <c r="O23" i="4" s="1"/>
  <c r="N25" i="4"/>
  <c r="O25" i="4" s="1"/>
  <c r="N31" i="4"/>
  <c r="C45" i="31"/>
  <c r="D44" i="31"/>
  <c r="L117" i="8"/>
  <c r="M117" i="8" s="1"/>
  <c r="N103" i="8"/>
  <c r="O103" i="8" s="1"/>
  <c r="P103" i="8" s="1"/>
  <c r="N71" i="8"/>
  <c r="O71" i="8" s="1"/>
  <c r="P71" i="8" s="1"/>
  <c r="O56" i="8"/>
  <c r="P56" i="8" s="1"/>
  <c r="N49" i="8"/>
  <c r="O49" i="8" s="1"/>
  <c r="O40" i="8"/>
  <c r="N151" i="8"/>
  <c r="O151" i="8" s="1"/>
  <c r="L120" i="8"/>
  <c r="N13" i="8"/>
  <c r="O13" i="8" s="1"/>
  <c r="N135" i="8"/>
  <c r="O135" i="8" s="1"/>
  <c r="L178" i="8"/>
  <c r="M178" i="8" s="1"/>
  <c r="L8" i="3"/>
  <c r="M8" i="3" s="1"/>
  <c r="N8" i="3" s="1"/>
  <c r="O8" i="3" s="1"/>
  <c r="M110" i="3"/>
  <c r="N110" i="3" s="1"/>
  <c r="O110" i="3" s="1"/>
  <c r="P110" i="3" s="1"/>
  <c r="L46" i="3"/>
  <c r="M46" i="3" s="1"/>
  <c r="L34" i="3"/>
  <c r="M34" i="3" s="1"/>
  <c r="N34" i="3" s="1"/>
  <c r="O619" i="8" l="1"/>
  <c r="P619" i="8" s="1"/>
  <c r="O79" i="4" s="1"/>
  <c r="M514" i="8"/>
  <c r="N514" i="8" s="1"/>
  <c r="O514" i="8" s="1"/>
  <c r="P514" i="8" s="1"/>
  <c r="N67" i="4" s="1"/>
  <c r="O478" i="8"/>
  <c r="P478" i="8" s="1"/>
  <c r="O62" i="4" s="1"/>
  <c r="N417" i="8"/>
  <c r="O417" i="8" s="1"/>
  <c r="P417" i="8" s="1"/>
  <c r="O55" i="4" s="1"/>
  <c r="N423" i="8"/>
  <c r="O423" i="8" s="1"/>
  <c r="P423" i="8" s="1"/>
  <c r="N56" i="4" s="1"/>
  <c r="N382" i="8"/>
  <c r="O382" i="8" s="1"/>
  <c r="P382" i="8" s="1"/>
  <c r="N51" i="4" s="1"/>
  <c r="O314" i="8"/>
  <c r="P314" i="8" s="1"/>
  <c r="O43" i="4" s="1"/>
  <c r="N335" i="8"/>
  <c r="O335" i="8" s="1"/>
  <c r="P335" i="8" s="1"/>
  <c r="O45" i="4" s="1"/>
  <c r="M330" i="8"/>
  <c r="N330" i="8" s="1"/>
  <c r="M262" i="8"/>
  <c r="N262" i="8" s="1"/>
  <c r="O262" i="8" s="1"/>
  <c r="P262" i="8" s="1"/>
  <c r="O37" i="4" s="1"/>
  <c r="O240" i="8"/>
  <c r="P240" i="8" s="1"/>
  <c r="O35" i="4" s="1"/>
  <c r="M90" i="3"/>
  <c r="N94" i="3"/>
  <c r="O94" i="3" s="1"/>
  <c r="P94" i="3" s="1"/>
  <c r="M65" i="3"/>
  <c r="N65" i="3" s="1"/>
  <c r="O65" i="3" s="1"/>
  <c r="O37" i="3"/>
  <c r="L30" i="3"/>
  <c r="M30" i="3" s="1"/>
  <c r="N30" i="3" s="1"/>
  <c r="O30" i="3" s="1"/>
  <c r="P30" i="3" s="1"/>
  <c r="L98" i="3"/>
  <c r="M98" i="3" s="1"/>
  <c r="N98" i="3" s="1"/>
  <c r="O98" i="3" s="1"/>
  <c r="P49" i="8"/>
  <c r="N20" i="4" s="1"/>
  <c r="O20" i="4" s="1"/>
  <c r="P40" i="8"/>
  <c r="N19" i="4" s="1"/>
  <c r="P135" i="8"/>
  <c r="N28" i="4" s="1"/>
  <c r="O28" i="4" s="1"/>
  <c r="P13" i="8"/>
  <c r="P151" i="8"/>
  <c r="N29" i="4" s="1"/>
  <c r="O29" i="4" s="1"/>
  <c r="D45" i="31"/>
  <c r="C46" i="31"/>
  <c r="N24" i="4"/>
  <c r="O24" i="4" s="1"/>
  <c r="N21" i="4"/>
  <c r="O21" i="4" s="1"/>
  <c r="N22" i="4"/>
  <c r="O22" i="4" s="1"/>
  <c r="P14" i="4"/>
  <c r="N117" i="8"/>
  <c r="O117" i="8" s="1"/>
  <c r="P117" i="8" s="1"/>
  <c r="M120" i="8"/>
  <c r="N120" i="8" s="1"/>
  <c r="O120" i="8" s="1"/>
  <c r="N178" i="8"/>
  <c r="O178" i="8" s="1"/>
  <c r="P178" i="8" s="1"/>
  <c r="N30" i="4" s="1"/>
  <c r="N46" i="3"/>
  <c r="O46" i="3" s="1"/>
  <c r="P46" i="3" s="1"/>
  <c r="O34" i="3"/>
  <c r="O330" i="8" l="1"/>
  <c r="P330" i="8" s="1"/>
  <c r="N45" i="4" s="1"/>
  <c r="N16" i="4"/>
  <c r="O16" i="4" s="1"/>
  <c r="N90" i="3"/>
  <c r="O90" i="3" s="1"/>
  <c r="P90" i="3" s="1"/>
  <c r="Q9" i="4"/>
  <c r="P19" i="4"/>
  <c r="O19" i="4"/>
  <c r="Q19" i="4" s="1"/>
  <c r="Q4" i="4"/>
  <c r="P4" i="4"/>
  <c r="Q14" i="4"/>
  <c r="P120" i="8"/>
  <c r="N27" i="4" s="1"/>
  <c r="O27" i="4" s="1"/>
  <c r="P30" i="4"/>
  <c r="N26" i="4"/>
  <c r="O26" i="4" s="1"/>
  <c r="C47" i="31"/>
  <c r="D46" i="31"/>
  <c r="P7" i="4"/>
  <c r="P8" i="4"/>
  <c r="P6" i="4"/>
  <c r="H20" i="3"/>
  <c r="H17" i="3"/>
  <c r="H21" i="3"/>
  <c r="H18" i="3"/>
  <c r="H19" i="3"/>
  <c r="U16" i="4" l="1"/>
  <c r="E13" i="1" s="1"/>
  <c r="Q7" i="4"/>
  <c r="Q8" i="4"/>
  <c r="Q6" i="4"/>
  <c r="C48" i="31"/>
  <c r="D47" i="31"/>
  <c r="I21" i="3"/>
  <c r="J21" i="3" s="1"/>
  <c r="D34" i="9" l="1"/>
  <c r="F37" i="9" s="1"/>
  <c r="Q30" i="4"/>
  <c r="V16" i="4" s="1"/>
  <c r="F13" i="1" s="1"/>
  <c r="D48" i="31"/>
  <c r="C49" i="31"/>
  <c r="K21" i="3"/>
  <c r="L21" i="3" s="1"/>
  <c r="F56" i="9" l="1"/>
  <c r="F50" i="9"/>
  <c r="F39" i="9"/>
  <c r="F42" i="9"/>
  <c r="F40" i="9"/>
  <c r="F46" i="9"/>
  <c r="F48" i="9"/>
  <c r="F49" i="9"/>
  <c r="F52" i="9"/>
  <c r="F41" i="9"/>
  <c r="F38" i="9"/>
  <c r="F47" i="9"/>
  <c r="F44" i="9"/>
  <c r="F53" i="9"/>
  <c r="F51" i="9"/>
  <c r="F54" i="9"/>
  <c r="F55" i="9"/>
  <c r="F43" i="9"/>
  <c r="F45" i="9"/>
  <c r="D49" i="31"/>
  <c r="C50" i="31"/>
  <c r="M21" i="3"/>
  <c r="N21" i="3" s="1"/>
  <c r="O21" i="3" s="1"/>
  <c r="P21" i="3" s="1"/>
  <c r="Q5" i="4" l="1"/>
  <c r="V4" i="4" s="1"/>
  <c r="F12" i="1" s="1"/>
  <c r="F41" i="1" s="1"/>
  <c r="P5" i="4"/>
  <c r="C51" i="31"/>
  <c r="D50" i="31"/>
  <c r="U4" i="4" l="1"/>
  <c r="E12" i="1" s="1"/>
  <c r="E41" i="1" s="1"/>
  <c r="C52" i="31"/>
  <c r="D51" i="31"/>
  <c r="D52" i="31" l="1"/>
  <c r="C53" i="31"/>
  <c r="D53" i="31" l="1"/>
  <c r="C54" i="31"/>
  <c r="C55" i="31" l="1"/>
  <c r="D54" i="31"/>
  <c r="C56" i="31" l="1"/>
  <c r="D55" i="31"/>
  <c r="D56" i="3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<sst xmlns="http://schemas.openxmlformats.org/spreadsheetml/2006/main" count="4267" uniqueCount="790">
  <si>
    <t>Assumed Construction Programme:</t>
  </si>
  <si>
    <t>Weeks</t>
  </si>
  <si>
    <t>On-Costs</t>
  </si>
  <si>
    <t>MC Prelims</t>
  </si>
  <si>
    <t>MC OH&amp;P</t>
  </si>
  <si>
    <t>Inflation</t>
  </si>
  <si>
    <t>Risks</t>
  </si>
  <si>
    <t>Fees</t>
  </si>
  <si>
    <t>GIFA</t>
  </si>
  <si>
    <t>m2</t>
  </si>
  <si>
    <t>Basement GIFA</t>
  </si>
  <si>
    <t>Nr of Levels</t>
  </si>
  <si>
    <t>nr</t>
  </si>
  <si>
    <t>Roof Area</t>
  </si>
  <si>
    <t>External Wall Area</t>
  </si>
  <si>
    <t>Overall</t>
  </si>
  <si>
    <t>Solid</t>
  </si>
  <si>
    <t>Glazed</t>
  </si>
  <si>
    <t>Solid Façade Rate</t>
  </si>
  <si>
    <t>£/m2</t>
  </si>
  <si>
    <t>Glazed Façade Rate</t>
  </si>
  <si>
    <t>Apartments/ Rooms</t>
  </si>
  <si>
    <t>Structural Volumes (Concrete)</t>
  </si>
  <si>
    <t>Foundations</t>
  </si>
  <si>
    <t>m3</t>
  </si>
  <si>
    <t>Lowest floor slab</t>
  </si>
  <si>
    <t>columns</t>
  </si>
  <si>
    <t>core walls</t>
  </si>
  <si>
    <t>upper floors</t>
  </si>
  <si>
    <t>roof slab</t>
  </si>
  <si>
    <t>Area breakdown</t>
  </si>
  <si>
    <t>Common Areas (Circulation)</t>
  </si>
  <si>
    <t>FoH</t>
  </si>
  <si>
    <t>BoH</t>
  </si>
  <si>
    <t>Operational Energy</t>
  </si>
  <si>
    <t>Start Position</t>
  </si>
  <si>
    <t>kWh/m2/year</t>
  </si>
  <si>
    <t>Target Reduciton</t>
  </si>
  <si>
    <t>Level 1</t>
  </si>
  <si>
    <t>Level 2</t>
  </si>
  <si>
    <t>Level 3</t>
  </si>
  <si>
    <t>Level 4</t>
  </si>
  <si>
    <t>Level 5</t>
  </si>
  <si>
    <t>Target Level</t>
  </si>
  <si>
    <t>From Matrix</t>
  </si>
  <si>
    <t>Achieved Level</t>
  </si>
  <si>
    <t>Manual Selection based on target level</t>
  </si>
  <si>
    <t>Base Reduciton</t>
  </si>
  <si>
    <t>Extra Reduction</t>
  </si>
  <si>
    <t>Amend formula to required levels</t>
  </si>
  <si>
    <t>Assumed Intervention</t>
  </si>
  <si>
    <t>Intervention</t>
  </si>
  <si>
    <t>GIFA (m2)</t>
  </si>
  <si>
    <t>From Key data</t>
  </si>
  <si>
    <t>Assumed KWH/year</t>
  </si>
  <si>
    <t>Energy £/kWh/year</t>
  </si>
  <si>
    <t>Assumed/ enter manually</t>
  </si>
  <si>
    <t>Year 01 Cost</t>
  </si>
  <si>
    <t>No Intervention</t>
  </si>
  <si>
    <t>Updates based on above</t>
  </si>
  <si>
    <t>Intervention Saving (Year 01)</t>
  </si>
  <si>
    <t>Assumed Yearly % Increase</t>
  </si>
  <si>
    <t>Cost of interventions</t>
  </si>
  <si>
    <t>Estimated Saving</t>
  </si>
  <si>
    <t>Cumulative</t>
  </si>
  <si>
    <t>Capital Cost</t>
  </si>
  <si>
    <t>Year 1</t>
  </si>
  <si>
    <t>Year 2</t>
  </si>
  <si>
    <t>Year 3</t>
  </si>
  <si>
    <t>Year 4</t>
  </si>
  <si>
    <t>Year 5</t>
  </si>
  <si>
    <t>Year 6</t>
  </si>
  <si>
    <t>Year 7</t>
  </si>
  <si>
    <t>Year 8</t>
  </si>
  <si>
    <t>Year 9</t>
  </si>
  <si>
    <t>Year 10</t>
  </si>
  <si>
    <t>Year 11</t>
  </si>
  <si>
    <t>Year 12</t>
  </si>
  <si>
    <t>Year 13</t>
  </si>
  <si>
    <t>Year 14</t>
  </si>
  <si>
    <t>Year 15</t>
  </si>
  <si>
    <t>Year 16</t>
  </si>
  <si>
    <t>Year 17</t>
  </si>
  <si>
    <t>Year 18</t>
  </si>
  <si>
    <t>Year 19</t>
  </si>
  <si>
    <t>Year 20</t>
  </si>
  <si>
    <t>Operational Water use</t>
  </si>
  <si>
    <t>do separate tab similar to above</t>
  </si>
  <si>
    <t>Operational carbon emissions</t>
  </si>
  <si>
    <t>Water Use</t>
  </si>
  <si>
    <t>m3/room/year</t>
  </si>
  <si>
    <t>litre/m2/year</t>
  </si>
  <si>
    <t>Number of Rooms</t>
  </si>
  <si>
    <t>Assumed m3/year</t>
  </si>
  <si>
    <t>Water Cost / m3</t>
  </si>
  <si>
    <t>P2035 - Sustainability Cost Matrix</t>
  </si>
  <si>
    <t>Notes:</t>
  </si>
  <si>
    <t>operational costs</t>
  </si>
  <si>
    <t xml:space="preserve">The costs provided over the next slides are indicative only and provided to aid discussions and act as a guide only.  </t>
  </si>
  <si>
    <t>Scope and extent of design interventions will be required prior to more reasoned estimates being provided/calculated.</t>
  </si>
  <si>
    <t>Matrix:</t>
  </si>
  <si>
    <t>Graph Data</t>
  </si>
  <si>
    <t>Class</t>
  </si>
  <si>
    <t>Themes</t>
  </si>
  <si>
    <t>Max Rating</t>
  </si>
  <si>
    <t>Target Rating</t>
  </si>
  <si>
    <t>Target Intervention Cost</t>
  </si>
  <si>
    <t>Duplicated Values</t>
  </si>
  <si>
    <t>Total Combined Cost</t>
  </si>
  <si>
    <t>Operational Cost Effect</t>
  </si>
  <si>
    <t>Current</t>
  </si>
  <si>
    <t>Target</t>
  </si>
  <si>
    <t>Not Targeted</t>
  </si>
  <si>
    <t>Low</t>
  </si>
  <si>
    <t>High</t>
  </si>
  <si>
    <t>Carbon Emissions</t>
  </si>
  <si>
    <t>Reducing Embodied Carbon</t>
  </si>
  <si>
    <t>Reducing Operational Carbon</t>
  </si>
  <si>
    <t>Renewable Energy Supply</t>
  </si>
  <si>
    <t>Smart energy solutions</t>
  </si>
  <si>
    <t>Energy Monitoring</t>
  </si>
  <si>
    <t>Health &amp; Wellbeing</t>
  </si>
  <si>
    <t>Indoor Air Quality</t>
  </si>
  <si>
    <t>Indoor Thermal Comfort</t>
  </si>
  <si>
    <t>Lighting &amp; Visual Comfort</t>
  </si>
  <si>
    <t>Acoustic Comfort</t>
  </si>
  <si>
    <t>Outdoor Microclimate</t>
  </si>
  <si>
    <t>Personal Safety &amp; Security</t>
  </si>
  <si>
    <t>Promote Physical Activity in Design</t>
  </si>
  <si>
    <t>Circular Economy</t>
  </si>
  <si>
    <t>Assessment of Circular Potentials</t>
  </si>
  <si>
    <t>Smart Demolition Planning</t>
  </si>
  <si>
    <t>Hazardous Substances</t>
  </si>
  <si>
    <t>Resilience</t>
  </si>
  <si>
    <t>Climate Risk Assessment</t>
  </si>
  <si>
    <t>Design for Physical Security</t>
  </si>
  <si>
    <t>Value &amp; Cost</t>
  </si>
  <si>
    <t>Biodiversity</t>
  </si>
  <si>
    <t>Increase local biodiversity</t>
  </si>
  <si>
    <t>Add duplicated values once</t>
  </si>
  <si>
    <t>Formula to pick up total of duplications</t>
  </si>
  <si>
    <t xml:space="preserve">Total Combined Cost </t>
  </si>
  <si>
    <t>Intervention cost</t>
  </si>
  <si>
    <t>Theme</t>
  </si>
  <si>
    <t>Intervention Category</t>
  </si>
  <si>
    <t>Interventions</t>
  </si>
  <si>
    <t>Intervention Description</t>
  </si>
  <si>
    <t>Priced</t>
  </si>
  <si>
    <t>Achieveable regardless of cost (Y/N)</t>
  </si>
  <si>
    <t>Achieveability</t>
  </si>
  <si>
    <t>Impact Rating</t>
  </si>
  <si>
    <t>Weighting</t>
  </si>
  <si>
    <t>Interventation Targeted (Y/N)</t>
  </si>
  <si>
    <t xml:space="preserve">Positive/Negative impact </t>
  </si>
  <si>
    <t>Low Cost</t>
  </si>
  <si>
    <t>High Cost</t>
  </si>
  <si>
    <t>Low Incl.</t>
  </si>
  <si>
    <t>High incl.</t>
  </si>
  <si>
    <t>Rating</t>
  </si>
  <si>
    <t xml:space="preserve"> Intervention Level</t>
  </si>
  <si>
    <t>Comments</t>
  </si>
  <si>
    <t>Development Comment (DELETE COLUMN)</t>
  </si>
  <si>
    <t>CARBON EMISSIONS</t>
  </si>
  <si>
    <t>Design Strategy</t>
  </si>
  <si>
    <t>Remove basement</t>
  </si>
  <si>
    <t>Removal of basement and utilise above ground space</t>
  </si>
  <si>
    <t>Can't</t>
  </si>
  <si>
    <t>N/A</t>
  </si>
  <si>
    <t>Positive</t>
  </si>
  <si>
    <t>Basement already removed from scheme</t>
  </si>
  <si>
    <t>Basement removal can impact height or value</t>
  </si>
  <si>
    <t>Procurement</t>
  </si>
  <si>
    <t>Low carbon concrete</t>
  </si>
  <si>
    <t>Use of low carbon concrete</t>
  </si>
  <si>
    <t>Yes</t>
  </si>
  <si>
    <t>No</t>
  </si>
  <si>
    <t>Low waste design strategy</t>
  </si>
  <si>
    <t>Alterations to room/ shape layouts including heights to minim ise material wasteage</t>
  </si>
  <si>
    <t>Part of design economics review and review at feasibility stage</t>
  </si>
  <si>
    <t>Construction Management</t>
  </si>
  <si>
    <t>Enhanced Construction Monitoring</t>
  </si>
  <si>
    <t xml:space="preserve">Monitoring during to ensure low material wastage </t>
  </si>
  <si>
    <t>Structural Enhancements</t>
  </si>
  <si>
    <t>Structural Optimisation</t>
  </si>
  <si>
    <t>Stage 01 - vertical improvement</t>
  </si>
  <si>
    <t>Stage 02 - Removing transfer structure and slab optimizing</t>
  </si>
  <si>
    <t>Local Procurement and use of low carbon materials including natural, recycled and refurbished materials</t>
  </si>
  <si>
    <t>Stage 01 - Low target use</t>
  </si>
  <si>
    <t>Nominal cost ranges/ targets</t>
  </si>
  <si>
    <t>Stage 02 - Medium target use</t>
  </si>
  <si>
    <t>Stage 03 - Maximum target use</t>
  </si>
  <si>
    <t>Retention of existign structures</t>
  </si>
  <si>
    <t>Retention of existing structures</t>
  </si>
  <si>
    <t>Assumed part of feasibility review</t>
  </si>
  <si>
    <t>Utilising exposed soffits</t>
  </si>
  <si>
    <t>Removal of suspended/ plasterboard ceilings and utilsie exposed soffits</t>
  </si>
  <si>
    <t>Dependant of % ceilings removed and treatement strategy of soffit</t>
  </si>
  <si>
    <t>Glazing ratio improvement</t>
  </si>
  <si>
    <t>~50% of façade glazed</t>
  </si>
  <si>
    <t>Negative</t>
  </si>
  <si>
    <t>~45% of façade glazed</t>
  </si>
  <si>
    <t>~40% of façade glazed</t>
  </si>
  <si>
    <t>~35% of façade glazed</t>
  </si>
  <si>
    <t>~30% of façade glazed</t>
  </si>
  <si>
    <t>Specification Change</t>
  </si>
  <si>
    <t>External Wall U-Value enhancements</t>
  </si>
  <si>
    <t>Stage 01: U-Value &lt;0.18w/m2.k</t>
  </si>
  <si>
    <t>Stage 02: U-Value &lt;0.17w/m2.k</t>
  </si>
  <si>
    <t>Stage 03: U-Value &lt;0.16w/m2.k</t>
  </si>
  <si>
    <t>Glazing U-Value enhancements</t>
  </si>
  <si>
    <t>Stage 01: U-Value &lt;1.4w/m2.k (Double Glazed)</t>
  </si>
  <si>
    <t>Stage 02: U-Value &lt;1.2w/m2.k (Double Glazed)</t>
  </si>
  <si>
    <t>Stage 03: U-Value &lt;1.0w/m2.k (Triple Glazed)</t>
  </si>
  <si>
    <t>Façade Air-tightness</t>
  </si>
  <si>
    <t>Stage 01: &lt;3</t>
  </si>
  <si>
    <t>Stage 02: &lt;2</t>
  </si>
  <si>
    <t>Stage 03: &lt;1 (values to be confirmed)</t>
  </si>
  <si>
    <t>Optimised External Shading</t>
  </si>
  <si>
    <t>Design stratgey adoptiong deep reveals and overhangs</t>
  </si>
  <si>
    <t>Physical solar shading - Fixed</t>
  </si>
  <si>
    <t>Physical solar shading - Moveable / Operable</t>
  </si>
  <si>
    <t>Provision of primary energy</t>
  </si>
  <si>
    <t>Stage 01: Provision in line with TRD</t>
  </si>
  <si>
    <t>TBC</t>
  </si>
  <si>
    <t>Stage 02a: Minimise energy consumption through passive design measures, energy efficient systems and controls</t>
  </si>
  <si>
    <t>Stage 02b: Utlisation of low carbon energy sources</t>
  </si>
  <si>
    <t>Stage 03a: Utilise existing district energy network</t>
  </si>
  <si>
    <t>Stage 03b: Utilise air source heat pumps to generate heating, cooling and domestic hot water</t>
  </si>
  <si>
    <t>Stage 04: Use simultaneous heating and colling heat pumps during mid-season loads</t>
  </si>
  <si>
    <t>Heating &amp; colling to building</t>
  </si>
  <si>
    <t>Stage 01: VRF or HVRF system in line with TRD</t>
  </si>
  <si>
    <t>Stage 02a: Upgrades to Facades (heat retention &amp; air leakages)</t>
  </si>
  <si>
    <t>Stage 02b: Utilisation of natural ventilation</t>
  </si>
  <si>
    <t>Stage 03: Low SFP 4 pipe fan coil units utilising collth available from district energy networkl</t>
  </si>
  <si>
    <t>Stage 04: Low SFP 4 pipe fan coil units utilising collth available from ASHPs/Chillers</t>
  </si>
  <si>
    <t>Stage 05: LTHW radiant heating in large communal areas</t>
  </si>
  <si>
    <t>`</t>
  </si>
  <si>
    <t>Ventilation Systems</t>
  </si>
  <si>
    <t>TRD Option 01: Local MVHR units with PHX heat recovery operating on trickle/ boost basis</t>
  </si>
  <si>
    <t>Stage 01: Minimising volume of air that needs to be moved (with consideration to wellbeing) including fan power consumption and use of natural ventilation</t>
  </si>
  <si>
    <t>Stage 02: Mixed mode ventilation with smart controls to minimise reliance on mechanical ventilation (may also provide cooling benfit)</t>
  </si>
  <si>
    <t>Stage 03: Lowe SFP local MVHR units with high efficiency heat recovery and demand driven controls interfaced with natural ventilation</t>
  </si>
  <si>
    <t>Stage 04: Extract Only ventilation combined with fresh air supply ventialtion incorporating local heating &amp; cooling</t>
  </si>
  <si>
    <t>Domestic Hot Water</t>
  </si>
  <si>
    <t>Stage 02a: Minimise unnecessary storage and distribution losses</t>
  </si>
  <si>
    <t>Stage 02b: Use low carbon energy source to generate hot water</t>
  </si>
  <si>
    <t>Stage 3a: Decentralised local generation utilising low carbon heat available from district energy network</t>
  </si>
  <si>
    <t>Stage 3b: Centralised system utilising low carbon heat available from district energy network</t>
  </si>
  <si>
    <t>Stage 4: Use receoverd energy to pre-heat water (heat recovery from plant etc.)</t>
  </si>
  <si>
    <t>Stage 5: Utilise solar collectors to off-set primary energy use.</t>
  </si>
  <si>
    <t>Domestic Cold Water</t>
  </si>
  <si>
    <t>Stage 02a: minimise water wasteage</t>
  </si>
  <si>
    <t>Stage 02b: Minimise pump energy consumption by reducing volume of water requiring movement</t>
  </si>
  <si>
    <t>Lighting</t>
  </si>
  <si>
    <t>Stage 02: Simple lighting design utilising very low energy light fittings</t>
  </si>
  <si>
    <t>Stage 03: Smart controls (Absence/ presence detection &amp; daylight linking)</t>
  </si>
  <si>
    <t>Stage 04: Circadian Controls</t>
  </si>
  <si>
    <t>Small Power</t>
  </si>
  <si>
    <t>Stage 01a: Minimise plug loads</t>
  </si>
  <si>
    <t>Stage 01b: Minimise energy wasteage</t>
  </si>
  <si>
    <t>Stage 02a: Reduce use of plug in equipment</t>
  </si>
  <si>
    <t>Stage 02b: Specify high efficiency equipment with integral power saving controls</t>
  </si>
  <si>
    <t>Stage 03: Smart Controls in rooms to turn off non-essential equipment when not in use</t>
  </si>
  <si>
    <t>Stage 04: Battery stroage to store energy from LZCTs and off-peak/low carbon grid electricity</t>
  </si>
  <si>
    <t>Lifts</t>
  </si>
  <si>
    <t>Stage 01a: Minimise energy consumption</t>
  </si>
  <si>
    <t>Stage 01b: Maximise energy efficiency</t>
  </si>
  <si>
    <t>Stage 02: Incorporate energy recovery systems</t>
  </si>
  <si>
    <t>Stage 03: Utilise smart control and management systems to minimise unnecessary lift movements</t>
  </si>
  <si>
    <t>Operational Changes</t>
  </si>
  <si>
    <t>Building Operation Changes</t>
  </si>
  <si>
    <t>Continual improvements written into policy</t>
  </si>
  <si>
    <t>Renewables</t>
  </si>
  <si>
    <t>Low interventio: Basic PV provision to roof</t>
  </si>
  <si>
    <t>Allowance for PV to 25% of roof already included</t>
  </si>
  <si>
    <t>Medium Intevention: PC Provision with basic battery back-up</t>
  </si>
  <si>
    <t>High intervention: Extensive use of PV; facades?</t>
  </si>
  <si>
    <t>Smart Energy</t>
  </si>
  <si>
    <t>Low intervention</t>
  </si>
  <si>
    <t>Basisc Loadshedding</t>
  </si>
  <si>
    <t>Medium intervention</t>
  </si>
  <si>
    <t>Load shedding including energy monitorigin and responding to energy demand etc</t>
  </si>
  <si>
    <t>High Intervention</t>
  </si>
  <si>
    <t>Grid independence</t>
  </si>
  <si>
    <t>Energy Management &amp; Monitoring</t>
  </si>
  <si>
    <t>Stage 01 - Automated Meter Reading (AMR) with sub-metering for specific sub-areas/equipment; includign integration with BMA</t>
  </si>
  <si>
    <t>Stage 02 - Energy Management System (EMS) connected to BMS with data logging aids</t>
  </si>
  <si>
    <t>Stage 03 - Interactive tools tracking energy consumption in real-time allowing for immediate adjustments to reduce waste with BMA using optimisation algorithms to automatically adjust settings for optimal energy efficiency</t>
  </si>
  <si>
    <t>Stage 04 - Use of real time data analysis and forecasting reduces energy use by anticipating demand and adjusting operations to reduce energy waste</t>
  </si>
  <si>
    <t>Fault Detection</t>
  </si>
  <si>
    <t>Stage 01 - Manual Fault Detection</t>
  </si>
  <si>
    <t>Stage 02 - Simple fault detection and automated notifications/ alerts</t>
  </si>
  <si>
    <t>Stage 03 - Data driven automatic fault monitoring providng detialed insights and analytics to support decision-making</t>
  </si>
  <si>
    <t>Stage 04 - Proactive fault detection and automatic resolution predicting when equipment is likley to fail or require maintenance.</t>
  </si>
  <si>
    <t>Construction Activity Emissions</t>
  </si>
  <si>
    <t>Reduction in emissions through site operations; turnign off waiting plant etc.</t>
  </si>
  <si>
    <t>Reduction in omissions through more rigourous site operational changes including introduction of renewables generation on site setup</t>
  </si>
  <si>
    <t>Use of electric vehicles and plant</t>
  </si>
  <si>
    <t>HEALTH &amp; WELLBEING</t>
  </si>
  <si>
    <t>Monitoring</t>
  </si>
  <si>
    <t>Stage 01 - Basic monitoring of CO2, temperature and humidity</t>
  </si>
  <si>
    <t>Stage 02 - Active monitoring of CO2, temperature and humidity</t>
  </si>
  <si>
    <t>Stage 03 - IAQ monitoring which informas occupants about air quality and actions to take when deficient</t>
  </si>
  <si>
    <t>Stage 04 - In room monitoring and automated ventilation systems</t>
  </si>
  <si>
    <t>Systems</t>
  </si>
  <si>
    <t>Stage 01 - Improved air filtration</t>
  </si>
  <si>
    <t>Stage 02 - Basic control systems (increase/decrease in fresh air rate)</t>
  </si>
  <si>
    <t>Stage 03- Demand controlled ventilation (MERV Level 13 or better)</t>
  </si>
  <si>
    <t>VOC Materials</t>
  </si>
  <si>
    <t>Stage 01  - Reduce VOCs through selection of low emssion materials</t>
  </si>
  <si>
    <t>Stage 02 - 'Red list' approach to materials with no high VOC materials permitted</t>
  </si>
  <si>
    <t>Overheating Prevention</t>
  </si>
  <si>
    <t>Stage 0 1 - Comfortable indoor environment temperatures using the adaptive thermal comfort model under the DSY 1 summer design conditions</t>
  </si>
  <si>
    <t>Stage 02 - Comfortable indoor environment temperatures using the adaptive thermal comfort model under all extreme design  summer year conditions</t>
  </si>
  <si>
    <t>Stage 03 - Comfortable indoor environment temperatures using the adaptive thermal comfort model under current and extreme future weather conditions</t>
  </si>
  <si>
    <t>Stage 04 - Comfortable indoor environment temperatures using the adaptive thermal comfort model under current and extreme future weather conditions with monitoring and verification</t>
  </si>
  <si>
    <t>Stage 05 - Comfortable indoor environment temperatures using the adaptive thermal comfort model  without the requirements for active cooling</t>
  </si>
  <si>
    <t>Controls</t>
  </si>
  <si>
    <t>Stage 01 - Thermal Zoning and controls appropriate for intended use case</t>
  </si>
  <si>
    <t>Daylight Access</t>
  </si>
  <si>
    <t>Stage 01 - Optimised design with daylight accessof %sDA&gt;50%</t>
  </si>
  <si>
    <t>Stage 02 - Optimise size and position of windows and external shading for maximum daylight and minimum overheating</t>
  </si>
  <si>
    <t>Glare Control</t>
  </si>
  <si>
    <t>Stage 01 - Personal control over sunlight &amp; glare (internal blinds)</t>
  </si>
  <si>
    <t>Stage 02 - External shading designed to reduce sunlight glare, ASE&lt;10%</t>
  </si>
  <si>
    <t>Lighting Controls</t>
  </si>
  <si>
    <t>Stage 0 1  - Personal control over artificial lighting</t>
  </si>
  <si>
    <t>Stage 02 - Use of circadian lighting</t>
  </si>
  <si>
    <t>Stage 03 - Detailed lighting plan for age groups &amp; activities</t>
  </si>
  <si>
    <t>Stage 04 - IoT tech &amp; mobile apps for automatic daylight control &amp; blinds</t>
  </si>
  <si>
    <t>Sound Insulation</t>
  </si>
  <si>
    <t>Stage 01 - BREEAM 1 Point - +3dB on Part E (46 dB DnTw+Ctr)</t>
  </si>
  <si>
    <t>Stage 02 - BREEAM 2 Points - +5dB on Part E (48 dB DnTw+Ctr)</t>
  </si>
  <si>
    <t>Stage 03 - +8dB on Part E (51 dB DnTw+Ctr)</t>
  </si>
  <si>
    <t>Stage 04 - +10dB on Part E (53 dB DnTw+Ctr)</t>
  </si>
  <si>
    <t>Ambient Noise Levels</t>
  </si>
  <si>
    <t>Stage 01 - 35dBA daytime
30 dBA nighttime
LAFmax 45 (10x/night)
LASmax 40</t>
  </si>
  <si>
    <t>Stage 02 - 30dBA daytime
25dBA nighttime
LAFmax 45 (10x/night)
LASmax 35</t>
  </si>
  <si>
    <t>Stage 03 - 30dBA daytime
25dBA nighttime
LAFmax 42,1min
LASmax 35
Higher spec. glazing
Higher spec. vent attenuation</t>
  </si>
  <si>
    <t xml:space="preserve">Stage 04 - 30dBA daytime
25dBA nighttime
LAFmax 42,1min
LASmax 30
Structural vibration isolation more likely </t>
  </si>
  <si>
    <t>Service Noise Levels</t>
  </si>
  <si>
    <t>Stage 01 - NR 30 daytime
NR25 nighttime</t>
  </si>
  <si>
    <t>Stage 02 - NR 25 daytime
NR 20 nighttime</t>
  </si>
  <si>
    <t>Vibration Control</t>
  </si>
  <si>
    <t>Stage 01 - BS 6472
Day 0.2 ms-1.75
Night 0.13 ms-1.75</t>
  </si>
  <si>
    <t>Stage 02 - BS 6472
Day 0.2 ms-1.75
Night 0.1 ms-1.75</t>
  </si>
  <si>
    <t>Survey &amp; Analysis</t>
  </si>
  <si>
    <t>Review local planning requirements for minimum analysis and thresholds for wind-speed etc. – ensure that the project is compliant. E.g. in the City of London microclimate requirement; Hong Kong, LEED, BREEAM and DGNB-requirements regarding microclimate assessment levels.
If there are no specific planning requirements, provide a desktop study of prevailing local conditions.</t>
  </si>
  <si>
    <t>Screening level wind study using CFD or wind tunnel for min. 12 directions: analysis of potential wind speed-up issues and highlight of any stagnant area where AQ or outdoor thermal comfort might be a concern (in particular for regions where local wind speeds are in average really low, like far east).
Simplified outdoor thermal comfort assessment based on local climate: identify the need of mitigation strategies for each season, for example shading or wind protection</t>
  </si>
  <si>
    <t>Assessing Pedestrian level Wind comfort and safety involving CFD or wind tunnel using min. 16 wind directions to comply with DGNB wind requirement of potential problems on site Compare existing scenario with proposed scenario to identify potential wind acceleration issues or stagnant areas
Identify the need for urban furniture and wind mitigation measures to improve local microclimate condition so that wind any uncomfortable or unsafe conditions on site are controlled and minimized.
Run a seasonal solar exposure analysis to identify the areas fulfilling the thermal comfort suggested strategies outlined in level 2.</t>
  </si>
  <si>
    <t>Conduct wind comfort assessment with vegetation and mitigation option included (min 16 wind directions) DGNB+ on microclimate as level 3 plus testing the mitigation steps on site – follow-up after handover and measuring the efficiency of the measures.
Outdoor thermal comfort detailed analysis predicting hourly felt temperature values for the final design during the most critical parts of the year.</t>
  </si>
  <si>
    <t>Conduct outdoor thermal and wind comfort assessment including air quality assessment, if relevant, for achieving best DGNB ratings. Including assessment of potential extreme heat and wind events for evaluating level of mitigation requirement with testing.
Open for sharing data, challenges and learnings with academia/global construction industry and publication of assessment and outcome of design to enhanced market exposure.</t>
  </si>
  <si>
    <t>Procurement &amp; Material Selection</t>
  </si>
  <si>
    <t>Material Specification to prevent harm to occupants</t>
  </si>
  <si>
    <t>Reduce potential for slipping, sharp edges, breaking.</t>
  </si>
  <si>
    <t>Client Evaluation</t>
  </si>
  <si>
    <t>User experience evaluation to assess occupant comfort</t>
  </si>
  <si>
    <t>Implement user experience evaluation to assess comfort related needs in the design phase, helping to eliminate discomfort disorders (e.g. work-related musculoskeletal issues)</t>
  </si>
  <si>
    <t>Burglary preventative measures</t>
  </si>
  <si>
    <t>Burglary preventive measures/ surveillance of openings accessible from terrain</t>
  </si>
  <si>
    <t>Survey / Appraisal</t>
  </si>
  <si>
    <t>Hazard Reviews to eliminate or mitigate danagers</t>
  </si>
  <si>
    <t>Client Operation</t>
  </si>
  <si>
    <t>Hazard reduction measures</t>
  </si>
  <si>
    <t>Take measures for reduction of hazards in daily operation</t>
  </si>
  <si>
    <t>Safety Equipment provision</t>
  </si>
  <si>
    <t>Provide technical safety equipment like fire detection and alarm systems, increasing the response capacity and users’ feelings of safety, while discouraging potential offenders</t>
  </si>
  <si>
    <t>Eliminate blind corners, confined spaces and hiding places</t>
  </si>
  <si>
    <t>Pedestrian safety</t>
  </si>
  <si>
    <t>Limit volume and speed of traffic within the building site by incorporating safe pedestrian, non-motorized transport, and delimited recreational facilities/play areas away from access roads</t>
  </si>
  <si>
    <t>Pest Management Measures</t>
  </si>
  <si>
    <t>Use Integrated Pest Management (IPM) concepts and requirements into facility design and construction for both interior, landscape and grass pest</t>
  </si>
  <si>
    <t>Upgrade the physical security using classified building parts RC (Resistance Class)</t>
  </si>
  <si>
    <t>Continuous commissioning into personal safety</t>
  </si>
  <si>
    <t>Incorporate continuous commissioning into the building maintenance program and safety &amp; security plan, to ensure that possible optimization gets in focus for the benefit of the staff, customers and economic bottom-line.</t>
  </si>
  <si>
    <t>Chemical Inventories</t>
  </si>
  <si>
    <t>Monitor chemical inventories of products, systems and materials used in the operation and maintenance, to identify opportunities to substitute them with green products</t>
  </si>
  <si>
    <t>Protecting building via landscaping</t>
  </si>
  <si>
    <t>Protect the building with landscape art (e.g. barriers with artful perforations) and/or incorporate secondary building structures (e.g. in a building annex), where active security screenings can take place preventing potential attackers from entering the primary building.</t>
  </si>
  <si>
    <t>Accessibility</t>
  </si>
  <si>
    <t>Safe, aesthetically designed and accessible stairs and ramps, servicing all floors</t>
  </si>
  <si>
    <t>Wayfinding Signage</t>
  </si>
  <si>
    <t>Encourage the use of stairs and guide users to the stairs, bicycle racks or storage</t>
  </si>
  <si>
    <t>Indoor Act`ivity Spaces</t>
  </si>
  <si>
    <t>Multipurpose rooms and changing facilities</t>
  </si>
  <si>
    <t>Client Operation/ Promotion</t>
  </si>
  <si>
    <t>Promotion of Activity</t>
  </si>
  <si>
    <t>Safe Cycling and Pedestrians Network</t>
  </si>
  <si>
    <t>Exercise mat or equipment in room with pre-loaded stretching or training workouts.</t>
  </si>
  <si>
    <t>Rewards linked to ‘steps’.</t>
  </si>
  <si>
    <t>Staircase Use</t>
  </si>
  <si>
    <t>Enhanced Stairs with High Quality design</t>
  </si>
  <si>
    <t>WATER USE</t>
  </si>
  <si>
    <t>Water Efficiency</t>
  </si>
  <si>
    <t>Sanitaryware</t>
  </si>
  <si>
    <t>Specification of lower flow toilets, taps and showerheads</t>
  </si>
  <si>
    <t>Appliances</t>
  </si>
  <si>
    <t>Install efficient appliances(washing machines/dishwasher)</t>
  </si>
  <si>
    <t>Signposting</t>
  </si>
  <si>
    <t>Signposting to reduce consumption</t>
  </si>
  <si>
    <t>Behavioutal Changes</t>
  </si>
  <si>
    <t>Encouraging behavioural changes</t>
  </si>
  <si>
    <t>Water Recycling &amp; Reuse</t>
  </si>
  <si>
    <t>Rainwater Harvesting</t>
  </si>
  <si>
    <t>Stage 01 - Recycling &lt;25%</t>
  </si>
  <si>
    <t>Stage 02 - Recycling &lt;50%</t>
  </si>
  <si>
    <t>Stage 03 - Recycling &lt;70%</t>
  </si>
  <si>
    <t>Stage 04 - Recycling &lt;70%</t>
  </si>
  <si>
    <t>Greywater Recycling</t>
  </si>
  <si>
    <t>Stage 01 - Greywater Recycling &lt;25%</t>
  </si>
  <si>
    <t>Stage 02 - Greywater Recycling &lt;50%</t>
  </si>
  <si>
    <t>Stage 03 - Greywater Recycling &lt;75%</t>
  </si>
  <si>
    <t>Stage 04 - Greywater Recycling &gt;90%</t>
  </si>
  <si>
    <t>Other Water Recycling</t>
  </si>
  <si>
    <t>Ozone laundry</t>
  </si>
  <si>
    <t>Condensate recovery from HVAC</t>
  </si>
  <si>
    <t>Monitoring &amp; Feedback</t>
  </si>
  <si>
    <t xml:space="preserve">BREEAM Wat02/03 </t>
  </si>
  <si>
    <t>Compliant Monitoring &amp; Leak detection at main meter + sub metering for uses above 10% demand</t>
  </si>
  <si>
    <t>Smart Meters</t>
  </si>
  <si>
    <t>Stage 01 - Smart meters with AMR for automated data collection including notification and damage limitation in the event of a pipe break/leakages</t>
  </si>
  <si>
    <t>Stage 02 - Smart meters with AMI for detailed consumption feedback
i.e “70% of your potable water is recycled”</t>
  </si>
  <si>
    <t>Potential double up with water recycling - CHECK</t>
  </si>
  <si>
    <t>Stage 03 - AMI system for comprehensive data analysis and feedback</t>
  </si>
  <si>
    <t>Outdoor Water Use</t>
  </si>
  <si>
    <t>Rainwater Collection</t>
  </si>
  <si>
    <t>Rainwater tank to collect water</t>
  </si>
  <si>
    <t>ALREADY COVERED UNDER RECYCLING?</t>
  </si>
  <si>
    <t>Smart Irrigation Systems</t>
  </si>
  <si>
    <t>Install a programmed automatic, in-ground irrigation/sprinkler system with a weather-based SMART irrigation controller, including a rain sensor.</t>
  </si>
  <si>
    <t>Creating sustainable water-efficient landscape at community level</t>
  </si>
  <si>
    <t>Transformation of the current landscape into a sustainable, water-efficient landscape for rainwater harvesting at a community level.</t>
  </si>
  <si>
    <t>Utilising non-mains water for landscapre irrigation</t>
  </si>
  <si>
    <t>Solely using municipal and/or on-site/in-house reclaimed water for all outdoor water use related to garden and landscape irrigation.</t>
  </si>
  <si>
    <t>CIRCULAR ECONOMY</t>
  </si>
  <si>
    <t>Circular Economy Assessment</t>
  </si>
  <si>
    <t>Stage 01 - Provide a simple assessment to identify opportunites within one selected area/theme
Decide to engage in simple circular system, e.g consider reuse of materials through existing channels</t>
  </si>
  <si>
    <t>Stage 02 - Provide a simple assessment to identify opportunities within multiple areas/themes
Decide to embed more readily available circular solutions into the building</t>
  </si>
  <si>
    <t>Stage 03 - Provide a thorough assessment to identify mulitiple circular opportunites and potential challenges or risks that are relevant for the project</t>
  </si>
  <si>
    <t>Stage 04 - Very thorough assessment carried out to create full picture of opportunites and challenges for circularity as well as solutions.</t>
  </si>
  <si>
    <t>Environmental Evaluation</t>
  </si>
  <si>
    <t>Detailed evaluation of potential environmental impacts/benefits</t>
  </si>
  <si>
    <t>Testing Circular solutions</t>
  </si>
  <si>
    <t>Testing of new circular solutions in the project</t>
  </si>
  <si>
    <t>Fully Circular Building</t>
  </si>
  <si>
    <t>Strategic target to create a fully circular building, data driven and designed for disassembly</t>
  </si>
  <si>
    <t>Client PR Work</t>
  </si>
  <si>
    <t>Neigbourly Relations</t>
  </si>
  <si>
    <t>Notification to neighbours in terms of scope and measures to prevent noise, dust etc.</t>
  </si>
  <si>
    <t>Environmental appriasal</t>
  </si>
  <si>
    <t>Undertaking environmental appraisal</t>
  </si>
  <si>
    <t>Reuse Study</t>
  </si>
  <si>
    <t>Stage 01 - Preliminary feasibility study on the potentials of reuse in the existing building is conducted. (screening)</t>
  </si>
  <si>
    <t>Stage 02 - Preliminary pre-demolition audit on the potentials of reuse in the existing building is conducted</t>
  </si>
  <si>
    <t>Stage 03 - More in-depth mapping and examination of materials and components is conducted including calcualtion on savings on emission and costs.</t>
  </si>
  <si>
    <t>Stage 04 - Mapping of materials and buildings components is supplemented with a suitability analysis, examining if some of the identified buildings components can be reused in the design 1 to 1 or fulfilling a secondary function.</t>
  </si>
  <si>
    <t>Contractor Procurement</t>
  </si>
  <si>
    <t>Data Capture</t>
  </si>
  <si>
    <t>Providing applicable LCA and LCC data, as well as qualitative data to the dismounted materials and buildings components. The materials are thereby prepared for online databases, markets, entering other LCA or LCC calculations etc
The reused building components will be supported by a static documentation, evaluating on the load capacity and estimated lifetime</t>
  </si>
  <si>
    <t>Identification of Hazardous Materials</t>
  </si>
  <si>
    <t xml:space="preserve">Identify potentially harmful products e.g. glues and propose non-hazardous solutions.Collation of product data sheets. </t>
  </si>
  <si>
    <t>Exclusion of identified hazardous materials from specification</t>
  </si>
  <si>
    <t xml:space="preserve">Stage 01 - Develop materials specification to exclude a significant proportion of identified hazardous substances. </t>
  </si>
  <si>
    <t xml:space="preserve">Stage 02 - Develop materials specification to exclude all identified hazardous substances. </t>
  </si>
  <si>
    <t>Building Management to exclude use of specific substances</t>
  </si>
  <si>
    <t xml:space="preserve">Building Management operations to implement a policy for exclusion of specific substances for product repairs and replacement, as well as for maintenance and cleaning products. </t>
  </si>
  <si>
    <t>RESILIENCE</t>
  </si>
  <si>
    <t>Climate Change</t>
  </si>
  <si>
    <t>Climate Change Report</t>
  </si>
  <si>
    <t>Stage 01 - review of best available data on climate hazard mapping and risk assessment is conducted.</t>
  </si>
  <si>
    <t>Stage 02 - Application of best available data to perform a high-level site-specific climate hazard mapping and risk assessment for current climate.</t>
  </si>
  <si>
    <t>Stage 03 - Application of best available data to perform a community-, city- or catchment-wide climate hazard mapping and risk assessment for current and future climate, including evaluation of the socio-economic components of risk beyond the site boundary or asset scale.</t>
  </si>
  <si>
    <t>Secutrity Risk Assessment</t>
  </si>
  <si>
    <t>Stage 0 1- Security Consultant to undertake a site specific security risk assessment &amp; propose a security strategy</t>
  </si>
  <si>
    <t xml:space="preserve">Stage 02 - Risk assessment to identify all levels of risk, threat and systems redundancies. </t>
  </si>
  <si>
    <t>Stage 03 - Implementation of a security strategy which outlines a plan for varying security threat scenarios and system failures</t>
  </si>
  <si>
    <t>Implementation of physical security measures</t>
  </si>
  <si>
    <t>Stage 0 1 - Internal secure zones for different building user types</t>
  </si>
  <si>
    <t>Stage 02 - Measures to prevent tailgating i.e security personnel, secure/biometric access</t>
  </si>
  <si>
    <t>Implementation of physical security measures - CCTV</t>
  </si>
  <si>
    <t>Stage 0 1- Additional CCTV in public spaces</t>
  </si>
  <si>
    <t>Stage 02 - Comprehensive CCTV strategy with CCTV analytics to identify suspicious behaviour</t>
  </si>
  <si>
    <t>VALUE &amp; COST</t>
  </si>
  <si>
    <t>Construction &amp; Evaluation</t>
  </si>
  <si>
    <t>Client Liaisons</t>
  </si>
  <si>
    <t xml:space="preserve">Identification of relevant functionalities </t>
  </si>
  <si>
    <t>Undertake appropriate consultation with each stakeholder group to get opinion and feedback from all stakeholders with the aim of incorporating feedback into the design.</t>
  </si>
  <si>
    <t>Client Liasons / Strategy</t>
  </si>
  <si>
    <t>Identify Stakeholders</t>
  </si>
  <si>
    <t>Identify multiple functionalities and facilities e.g. community use of rooms, public spaces to be used for events to maximise the space utilisation of appropriate areas within the building.</t>
  </si>
  <si>
    <t>Post occupancy evaluation</t>
  </si>
  <si>
    <t>stage 01 - Post Occupancy Evaluation after the first 12 months to gain occupant feedback.
Life Cycle Cost analysis into value added for the client and the local community.</t>
  </si>
  <si>
    <t>Allowance based on Consultant Fees only</t>
  </si>
  <si>
    <t xml:space="preserve">Stage 02 - Coordination of Post Occupancy Evaluation data and building performance data and lessons learned feedback – make changes to the design.
Continuous evolution of the brief.  </t>
  </si>
  <si>
    <t>Excludes costs for alterations - assumed purely Consultant Fees only</t>
  </si>
  <si>
    <t>BIODIVERSITY</t>
  </si>
  <si>
    <t>Ecologist Review</t>
  </si>
  <si>
    <t>Appointment of ecologist to provide advice</t>
  </si>
  <si>
    <t>Biodiversity Action Plan</t>
  </si>
  <si>
    <t>Stage 01 - Create a specific biodiversity action plan for the site/area.</t>
  </si>
  <si>
    <t>Stage 02 - Create a specific biodiversity action plan for the site/area, using only indigenous species.</t>
  </si>
  <si>
    <t>Creation of natural habitats (ponds etc)</t>
  </si>
  <si>
    <t>Create natural habitats like ponds and breeding/resting habitat for valuable or threatened species.</t>
  </si>
  <si>
    <t>Combined external works systems</t>
  </si>
  <si>
    <t>Combine systems for local management of open stormwater and green areas (blue and green infrastructure) and ensure an active nature management plan in operational phase.</t>
  </si>
  <si>
    <t>Items</t>
  </si>
  <si>
    <t>Qty</t>
  </si>
  <si>
    <t>Unit</t>
  </si>
  <si>
    <t>Rate</t>
  </si>
  <si>
    <t>Total</t>
  </si>
  <si>
    <t>Sub-total</t>
  </si>
  <si>
    <t>Rounded</t>
  </si>
  <si>
    <t>Deduct Curent Façade</t>
  </si>
  <si>
    <t>Add New</t>
  </si>
  <si>
    <t>Y</t>
  </si>
  <si>
    <t>~50% Glazed option</t>
  </si>
  <si>
    <t>~45% Glazed option</t>
  </si>
  <si>
    <t>~40% Glazed option</t>
  </si>
  <si>
    <t>~35% Glazed option</t>
  </si>
  <si>
    <t>~30% Glazed option</t>
  </si>
  <si>
    <t>Rate Build-up</t>
  </si>
  <si>
    <t>150mm insulation (supply)</t>
  </si>
  <si>
    <t>140mm insulation (supply)</t>
  </si>
  <si>
    <t>Rainscreen bracketry uplift</t>
  </si>
  <si>
    <t>n/a</t>
  </si>
  <si>
    <t>SC OH&amp;P</t>
  </si>
  <si>
    <t>Rounding</t>
  </si>
  <si>
    <t>Total Rate</t>
  </si>
  <si>
    <t>Included</t>
  </si>
  <si>
    <t>Assume 310mm rainscreen duo 
Need guidance on insulation thickness requirements</t>
  </si>
  <si>
    <t>200mm insulation (supply)</t>
  </si>
  <si>
    <t>110mm insulation (supply)</t>
  </si>
  <si>
    <t>Deduct standard</t>
  </si>
  <si>
    <t>Assume 365mm rainscreen duo 
Need guidance on insulation thickness requirements</t>
  </si>
  <si>
    <t>225mm insulation (supply)</t>
  </si>
  <si>
    <t>Deduct stage 01 &amp; 02</t>
  </si>
  <si>
    <t xml:space="preserve">
Is this double or triple glazed? </t>
  </si>
  <si>
    <t>Doubel Glazed</t>
  </si>
  <si>
    <t>Triple Glazed - use GES as windows meet this</t>
  </si>
  <si>
    <t>Façade Upgrade allowance - BR largely around this parameter so assume small uplift</t>
  </si>
  <si>
    <t>Air tightness Consultant</t>
  </si>
  <si>
    <t>Membrane</t>
  </si>
  <si>
    <t>Window Perimeter</t>
  </si>
  <si>
    <t>Air Leaking rectified</t>
  </si>
  <si>
    <t>Mastic Works</t>
  </si>
  <si>
    <t>Putty Pads / air tightness basing</t>
  </si>
  <si>
    <t>Penetrations</t>
  </si>
  <si>
    <t>Façade Upgrade allowance</t>
  </si>
  <si>
    <t>Deduct Stage 01</t>
  </si>
  <si>
    <t>[add build-up see MB notes]</t>
  </si>
  <si>
    <t>[also ensure rate is only uplift from building regs to this standard]</t>
  </si>
  <si>
    <t>Deduct Stage 01 &amp; 02</t>
  </si>
  <si>
    <t>Assumed reveal depth</t>
  </si>
  <si>
    <t>m</t>
  </si>
  <si>
    <t>Reveal Rate</t>
  </si>
  <si>
    <t xml:space="preserve">
Allowance based on £/m2 of glazing area
What is the range of interventions?</t>
  </si>
  <si>
    <t>Low Cost:</t>
  </si>
  <si>
    <t>High Cost:</t>
  </si>
  <si>
    <t>Deduct stage 1</t>
  </si>
  <si>
    <t>Deduct stage 1+2a</t>
  </si>
  <si>
    <t>Deduct stage 1+2a+2b</t>
  </si>
  <si>
    <t>Deduct stage 1+2a+2b+3a</t>
  </si>
  <si>
    <t>Deduct stage 1+2a+2b+3a+3b</t>
  </si>
  <si>
    <t>Deduct stage 1+2a+2b+3a+4</t>
  </si>
  <si>
    <t>Deduct stage 1+2</t>
  </si>
  <si>
    <t>Deduct stage 1+2+3</t>
  </si>
  <si>
    <t>Stage 1 Cost</t>
  </si>
  <si>
    <t>Deduct stage 1+2a+2b+3a+3b+4</t>
  </si>
  <si>
    <t>Stage 1a Cost</t>
  </si>
  <si>
    <t>Deduct stage 1a</t>
  </si>
  <si>
    <t>Deduct stage 1a+1b</t>
  </si>
  <si>
    <t>Deduct stage 1a+1b+2a</t>
  </si>
  <si>
    <t>Deduct stage 1a+1b+2a+2b</t>
  </si>
  <si>
    <t>Deduct stage 1a+1b+2a+2b+3</t>
  </si>
  <si>
    <t>Deduct stage 1a+1b+2</t>
  </si>
  <si>
    <t>Allowance for Consultant Fees for Input</t>
  </si>
  <si>
    <t>item</t>
  </si>
  <si>
    <t>Low Range</t>
  </si>
  <si>
    <t>How do we quantify this for purpose of decision making, Value impact based on lost height…</t>
  </si>
  <si>
    <t>High Range</t>
  </si>
  <si>
    <t>Embodied Carbon, target 3; low carbon concrete</t>
  </si>
  <si>
    <t xml:space="preserve">Expected in the norrmal course of design development. </t>
  </si>
  <si>
    <t>- Allowance for site monitoring team; average rate</t>
  </si>
  <si>
    <t>weeks</t>
  </si>
  <si>
    <t>- Allowance for site records</t>
  </si>
  <si>
    <t>Allowance for client data monitoring team</t>
  </si>
  <si>
    <t>Nominal Allowance</t>
  </si>
  <si>
    <t>Deduct Stage 01 + 02</t>
  </si>
  <si>
    <t>Removal of ceilings</t>
  </si>
  <si>
    <t>Reduction</t>
  </si>
  <si>
    <t>Cost</t>
  </si>
  <si>
    <t>Add treatment to soffits/ services containment upgrades</t>
  </si>
  <si>
    <t>25% of roof</t>
  </si>
  <si>
    <t>75% of roof</t>
  </si>
  <si>
    <t>Deduct low intervention</t>
  </si>
  <si>
    <t>10% of façade</t>
  </si>
  <si>
    <t>Deduct medium intervention</t>
  </si>
  <si>
    <t>50% of façade</t>
  </si>
  <si>
    <t>How do we quantify this?</t>
  </si>
  <si>
    <t>Allowance based on GIFA</t>
  </si>
  <si>
    <t>N</t>
  </si>
  <si>
    <t>Deduct stage 1 + 2</t>
  </si>
  <si>
    <t>Deduct stage 1 + 2 + 3</t>
  </si>
  <si>
    <t>Low Cost: (Assumed base position and part of design/ building operations.)</t>
  </si>
  <si>
    <t>High Cost: (Assumed base position and part of design/ building operations.)</t>
  </si>
  <si>
    <t>to hotel rooms</t>
  </si>
  <si>
    <t>to circulation space</t>
  </si>
  <si>
    <t>Assumed n/a</t>
  </si>
  <si>
    <t>to BoH areas</t>
  </si>
  <si>
    <t>to FoH areas</t>
  </si>
  <si>
    <t>Deduct Stage 1  Costs</t>
  </si>
  <si>
    <t>Does this relate to hotel rooms/ apartments? Or does it need to apply to communal/ FoH areas?</t>
  </si>
  <si>
    <t>Deduct Stage 1 + 2 Costs</t>
  </si>
  <si>
    <t>Deduct Stage 1 + 2 + 3 Costs</t>
  </si>
  <si>
    <t>What is the range of interventations? i.e openable windows etc?</t>
  </si>
  <si>
    <t>Deduct Stage 1+2  Costs</t>
  </si>
  <si>
    <t>Who undertakes the monitoring and verification?</t>
  </si>
  <si>
    <t>Deduct Stage 1 + 2 + 3 + 4 Costs</t>
  </si>
  <si>
    <t>How do we quantify this? What are the desing interventations likely to consist?</t>
  </si>
  <si>
    <t>How do we quantify this? What is the range of zoning applicable?</t>
  </si>
  <si>
    <t xml:space="preserve">What is the cost we want to attribute to this as it is more opperational, also is it just a survey or do costs need to be applied to interventions through the life cycle. </t>
  </si>
  <si>
    <t>Assumed fee required for consultant; what is typical cost for this?</t>
  </si>
  <si>
    <t>Are Internal blinds the only design intervention? Mechanical or manual?</t>
  </si>
  <si>
    <t>Included elsewhere…</t>
  </si>
  <si>
    <t>Elsewhere</t>
  </si>
  <si>
    <t xml:space="preserve">How do we quantify this? Is this purely use of circadian light fittings or are specialist consultants required? </t>
  </si>
  <si>
    <t>Keys</t>
  </si>
  <si>
    <t>Expected in the norrmal course of design development.  However is additional design required to make "detailed" plan?</t>
  </si>
  <si>
    <t>Deduct Stage 1 + 2  Costs</t>
  </si>
  <si>
    <t>Deduct Stage 1+2+3  Costs</t>
  </si>
  <si>
    <t>What is building reg compliant &amp; TRD compliant?</t>
  </si>
  <si>
    <t xml:space="preserve">How do we quantify this? i.e is x% of GIFA needed? </t>
  </si>
  <si>
    <t>How do we quantify this? Does this need to cover for forming cycling network or just sinaged to show where it is (if exists)?</t>
  </si>
  <si>
    <t>Allowance per room/unit</t>
  </si>
  <si>
    <t>levels</t>
  </si>
  <si>
    <t>What are "enhanced" stairs? Is it essentally enhanced finishes/lighting etc?</t>
  </si>
  <si>
    <t>Assumed part of Client operational strategy</t>
  </si>
  <si>
    <t xml:space="preserve">Conduct preliminary hazard analyses and design reviews to eliminate or mitigate dangers. </t>
  </si>
  <si>
    <t>Kitchen mixer tap</t>
  </si>
  <si>
    <t>WC</t>
  </si>
  <si>
    <t>HWB taps</t>
  </si>
  <si>
    <t>Shower Head</t>
  </si>
  <si>
    <t>dishwasher</t>
  </si>
  <si>
    <t>Allowance for signage to hotel rooms generally</t>
  </si>
  <si>
    <t>Deduct - Stage 1</t>
  </si>
  <si>
    <t>Deduct - Stage 1+2</t>
  </si>
  <si>
    <t>Deduct - Stage 1+2+3</t>
  </si>
  <si>
    <t>Budget allowance</t>
  </si>
  <si>
    <t>Allowance for submeters and monitoring</t>
  </si>
  <si>
    <t>What is the range of design intervention? Is there a rule of thumb based on roof area? i.e volume is 0.25m2 per m2 of roof area?</t>
  </si>
  <si>
    <t>Not applicable on Stratford</t>
  </si>
  <si>
    <t>Consultant Fees</t>
  </si>
  <si>
    <t>Allowance for Additional PR fees - assumed part of course</t>
  </si>
  <si>
    <t>No cost - included generally.</t>
  </si>
  <si>
    <t>Allowance for Additional PR fees</t>
  </si>
  <si>
    <t>Allowance for generally</t>
  </si>
  <si>
    <t>Item</t>
  </si>
  <si>
    <t>Allowance for pre-demolition audit</t>
  </si>
  <si>
    <t>Expected in the norrmal course of works.</t>
  </si>
  <si>
    <t>Allowance for addiitonal Consultant Fees</t>
  </si>
  <si>
    <t>Allowance for enhanced material costs (GIFA based)</t>
  </si>
  <si>
    <t>tbc as dependant on extent and materiality</t>
  </si>
  <si>
    <t>Assumed no costs as an client operation</t>
  </si>
  <si>
    <t>Allowance for consultant input</t>
  </si>
  <si>
    <t>Deduct Stage 01 Costs</t>
  </si>
  <si>
    <t>Deduct Stage 01 + 02 Costs</t>
  </si>
  <si>
    <t>Allowance for security risk assessment and security strategy</t>
  </si>
  <si>
    <t>Allowance for enhanced security consultant fee</t>
  </si>
  <si>
    <t>How do we quantify this? - assumed mainly fee based?</t>
  </si>
  <si>
    <t>Not applicable to Stratford but what is the range of securiyt measures? i.e would security persoanel be 24/7 and stantioned at reception?</t>
  </si>
  <si>
    <t>Nominal allowance</t>
  </si>
  <si>
    <t>Assumed part of Client Operational team however allowance for consultant input</t>
  </si>
  <si>
    <t>How do we quantify this? Part of client operational regime however how do we quantify potential changes from this?</t>
  </si>
  <si>
    <t>Design / Changes to rooms</t>
  </si>
  <si>
    <t>Excluded</t>
  </si>
  <si>
    <t>Allowance for appointment of ecologist for Stage 2 review</t>
  </si>
  <si>
    <t>Allowance for report/plan</t>
  </si>
  <si>
    <t>Deduct Stage 01 cost</t>
  </si>
  <si>
    <t>Not applicable to Stratford but nominal allowance for bird boxes etc</t>
  </si>
  <si>
    <t>Additional Comments / Queries</t>
  </si>
  <si>
    <t>Part of design economics review and review at feasibility stage. How can this be quantified?</t>
  </si>
  <si>
    <t xml:space="preserve">Monitoring during to ensure low material wasteage </t>
  </si>
  <si>
    <t>What type of monitoring is suggested? Is their a system/ procedural template available?</t>
  </si>
  <si>
    <t>Already removed from design</t>
  </si>
  <si>
    <t>Increased local procurement</t>
  </si>
  <si>
    <t>Use of local procurement for materials</t>
  </si>
  <si>
    <t xml:space="preserve">Assume this is about getting materrials delivered to site from local sources? Are there any step levels to this i.e 50% of materials procured within a 50 miles radius? </t>
  </si>
  <si>
    <t>Low carbon materials</t>
  </si>
  <si>
    <t>Use of low carbon materials</t>
  </si>
  <si>
    <t>Are there steps to this i.e 25%, 50%, 75% etc? How is the carbon reduction calculated?</t>
  </si>
  <si>
    <t>Use of natural materials in fit out</t>
  </si>
  <si>
    <t xml:space="preserve">Use of recycled materials </t>
  </si>
  <si>
    <t>Use of refurbished materials</t>
  </si>
  <si>
    <t>Use of reclaimed material (from site)</t>
  </si>
  <si>
    <t>Removal of fit out elements (i.e exposed soffits)</t>
  </si>
  <si>
    <t>How is the carbon reduction calculated? i.e 1m2 less of ceiling = xxkg of carbon?</t>
  </si>
  <si>
    <t>All materials targeting lowest carbon</t>
  </si>
  <si>
    <t>How can we quantify this?</t>
  </si>
  <si>
    <t>Idea is to include items that will have a negative impact to show how by utlising interventions elsewhere can impact carbon etc.</t>
  </si>
  <si>
    <t>Physical solar shading</t>
  </si>
  <si>
    <t>Other interventions? Automatric systems?</t>
  </si>
  <si>
    <t>~50%</t>
  </si>
  <si>
    <t>~45%</t>
  </si>
  <si>
    <t>~40%</t>
  </si>
  <si>
    <t>~35%</t>
  </si>
  <si>
    <t>~30%</t>
  </si>
  <si>
    <t>U-Value &lt;0.18w/m2.k</t>
  </si>
  <si>
    <t>What could look like in terms of an intervention</t>
  </si>
  <si>
    <t>U-Value &lt;0.??w/m2.k</t>
  </si>
  <si>
    <t>Do you have any suggestions on the target and what this could look like in terms of an intervention</t>
  </si>
  <si>
    <t>U-Value &lt;1.4w/m2.k</t>
  </si>
  <si>
    <t>U-Value &lt;??w/m2.k</t>
  </si>
  <si>
    <t>&lt;3</t>
  </si>
  <si>
    <t>&lt;2</t>
  </si>
  <si>
    <t>&lt;1 (values to be confirmed)</t>
  </si>
  <si>
    <t>Please can you expand on what these interventions could comprise?</t>
  </si>
  <si>
    <t>Ventilation</t>
  </si>
  <si>
    <t>Efficient HVAC level 1</t>
  </si>
  <si>
    <t>What could this look like in terms of an intervention</t>
  </si>
  <si>
    <t>Efficient HVAC level 2</t>
  </si>
  <si>
    <t>Efficient HVAC level 3</t>
  </si>
  <si>
    <t xml:space="preserve"> Innovative cooling &amp; heating systyems - ambient loop</t>
  </si>
  <si>
    <t xml:space="preserve"> Innovative cooling &amp; heating systyems - others?</t>
  </si>
  <si>
    <t>Modest improvements to equipment specifications</t>
  </si>
  <si>
    <t>Improved controls and BMS</t>
  </si>
  <si>
    <t xml:space="preserve">Selection of M&amp;E </t>
  </si>
  <si>
    <t xml:space="preserve">Careful selection of equipment &amp; lighting </t>
  </si>
  <si>
    <t>Please can you elaborate/ indicate what is better and what is worst?)</t>
  </si>
  <si>
    <t>Standard use of renewables for site of this type</t>
  </si>
  <si>
    <t>What could look like in terms of an intervention i.e PVs to 25% of roof?</t>
  </si>
  <si>
    <t>Enhanced use of renewables</t>
  </si>
  <si>
    <t>What could look like in terms of an intervention i.e PVs to 50% of roof?</t>
  </si>
  <si>
    <t>Significant use of renewables</t>
  </si>
  <si>
    <t>What could look like in terms of an intervention i.e PVs to 75% of roof?</t>
  </si>
  <si>
    <t>Offsite renewables locally sourced</t>
  </si>
  <si>
    <t>Standard Practice Changes</t>
  </si>
  <si>
    <t>Some adjustements to standard practice (i.e offsite laundry) - any others?</t>
  </si>
  <si>
    <t>Complete rethink of building operations</t>
  </si>
  <si>
    <t>Is this included above?</t>
  </si>
  <si>
    <t xml:space="preserve">Included in operational energy? - Proppse to include costs under operational carbon </t>
  </si>
  <si>
    <t>Energy and Cost Monitoring</t>
  </si>
  <si>
    <t xml:space="preserve">Infrastructure adaptable to future smart energy solutions.  </t>
  </si>
  <si>
    <t>Provide energy performance monitoring and analysis, cost allocation and tenant billing</t>
  </si>
  <si>
    <t>Interval recording Energy Meters</t>
  </si>
  <si>
    <t>Interval recording energy meters with two-way communication capabilities</t>
  </si>
  <si>
    <t>Future demand response systems</t>
  </si>
  <si>
    <t>Provision of automation system capable of external control signals</t>
  </si>
  <si>
    <t>Load Shedding</t>
  </si>
  <si>
    <t>Load shedding (or shaving) to cut off non-priority loads when production cannot meet production</t>
  </si>
  <si>
    <t>Load shedding with storage</t>
  </si>
  <si>
    <t>Is there a rule of thumb realting to aount of storage and carbon saving?</t>
  </si>
  <si>
    <t>Infrastructure controlling Demand Energy Response (DER)</t>
  </si>
  <si>
    <t>Infrastructure able to control Demand Energy Response (DER) for reducing site consumption peak; utiliseding in conjunction with PV + battery energy storpage technology</t>
  </si>
  <si>
    <t>Predictive Energy Monitorng</t>
  </si>
  <si>
    <t>Energy monitoring, forecasting, predictive simulation, and asset monitoring</t>
  </si>
  <si>
    <t>Demand Energy Response</t>
  </si>
  <si>
    <t xml:space="preserve">Utilise /active participation in Demand Energy Response programs &amp; utilising predictive energy management </t>
  </si>
  <si>
    <t>Grid Independence</t>
  </si>
  <si>
    <t>Implementing microgrid technology to provide energy independence and resilience</t>
  </si>
  <si>
    <t>On-Site Vehicles</t>
  </si>
  <si>
    <t>What interventions are available on this section?</t>
  </si>
  <si>
    <t>Smart Mobiltiy to &amp; from Site</t>
  </si>
  <si>
    <t>CO2 - Emissions from Processes On Site</t>
  </si>
  <si>
    <t>Carbon Neautal Contruction Sites</t>
  </si>
  <si>
    <t>Stage 0 3- Demand controlled ventilation (MERV Level 13 or better)</t>
  </si>
  <si>
    <t>Is this for room to room?</t>
  </si>
  <si>
    <t>What could this intervention look like?</t>
  </si>
  <si>
    <t>Indoor Activity Spaces</t>
  </si>
  <si>
    <t>What are the different step levels? Is it similar to BREEAM?</t>
  </si>
  <si>
    <t>As above</t>
  </si>
  <si>
    <t>What is the extent required?</t>
  </si>
  <si>
    <t>What can this intervention look like?</t>
  </si>
  <si>
    <t>Stage 04 - Recycling &lt;90%</t>
  </si>
  <si>
    <t>What is the size of plant potentially required?</t>
  </si>
  <si>
    <t>Evaporation Loss Prevention</t>
  </si>
  <si>
    <t>Use of covers to external pools to reduce water loss through evaporation</t>
  </si>
  <si>
    <t xml:space="preserve">N/a - </t>
  </si>
  <si>
    <t xml:space="preserve">How is the testing conducted? </t>
  </si>
  <si>
    <t>N/A on Stratford but included for information</t>
  </si>
  <si>
    <t>Contractor Training</t>
  </si>
  <si>
    <t xml:space="preserve">
Procurement and training of demolition contractors on the demolition procedure and management further in the process of reuse</t>
  </si>
  <si>
    <t xml:space="preserve">Identify potentially harmful products e.g. glues and propose non-hazardous solutions.
Collation of product data sheets. </t>
  </si>
  <si>
    <t>What is a significant portion? Is there a defined list?</t>
  </si>
  <si>
    <t>Is there a defined list?</t>
  </si>
  <si>
    <t>Stage 02 - Mesasures to prevent tailgating i.e securityy personnel, secure/biometric access</t>
  </si>
  <si>
    <t>Does this require a "war room"?</t>
  </si>
  <si>
    <t>Assumed large part of planning and design process?</t>
  </si>
  <si>
    <t xml:space="preserve">Achieveable regardless of cost </t>
  </si>
  <si>
    <t>Interventation Selected</t>
  </si>
  <si>
    <t>Impact Weighting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</si>
</sst>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quot;£&quot;#,##0.00;[Red]\-&quot;£&quot;#,##0.00"/>
    <numFmt numFmtId="165" formatCode="_-&quot;£&quot;* #,##0_-;\-&quot;£&quot;* #,##0_-;_-&quot;£&quot;* &quot;-&quot;_-;_-@_-"/>
    <numFmt numFmtId="166" formatCode="_-&quot;£&quot;* #,##0.00_-;\-&quot;£&quot;* #,##0.00_-;_-&quot;£&quot;* &quot;-&quot;??_-;_-@_-"/>
    <numFmt numFmtId="167" formatCode="_-&quot;£&quot;* #,##0_-;\-&quot;£&quot;* #,##0_-;_-&quot;£&quot;* &quot;-&quot;??_-;_-@_-"/>
    <numFmt numFmtId="168" formatCode="[$-F800]dddd\,\ mmmm\ dd\,\ yyyy"/>
    <numFmt numFmtId="169" formatCode="0.0%"/>
    <numFmt numFmtId="170" formatCode="_-* #,##0_-;\-* #,##0_-;_-* &quot;-&quot;??_-;_-@_-"/>
    <numFmt numFmtId="171" formatCode="_-&quot;£&quot;* #,##0.000_-;\-&quot;£&quot;* #,##0.000_-;_-&quot;£&quot;* &quot;-&quot;??_-;_-@_-"/>
    <numFmt numFmtId="172" formatCode="_-* #,##0.000_-;\-* #,##0.000_-;_-* &quot;-&quot;??_-;_-@_-"/>
  </numFmts>
  <fonts count="36" x14ac:knownFonts="1">
    <font>
      <sz val="11"/>
      <color theme="1"/>
      <name val="Calibri"/>
      <family val="2"/>
      <scheme val="minor"/>
    </font>
    <font>
      <sz val="14"/>
      <color theme="1"/>
      <name val="Calibri"/>
      <family val="2"/>
      <scheme val="minor"/>
    </font>
    <font>
      <sz val="11"/>
      <color theme="1"/>
      <name val="Calibri"/>
      <family val="2"/>
      <scheme val="minor"/>
    </font>
    <font>
      <sz val="11"/>
      <color theme="1"/>
      <name val="Arial"/>
      <family val="2"/>
    </font>
    <font>
      <sz val="10"/>
      <color theme="1"/>
      <name val="Arial"/>
      <family val="2"/>
    </font>
    <font>
      <sz val="10"/>
      <color theme="0"/>
      <name val="Arial"/>
      <family val="2"/>
    </font>
    <font>
      <b/>
      <sz val="10"/>
      <color theme="0"/>
      <name val="Arial"/>
      <family val="2"/>
    </font>
    <font>
      <b/>
      <sz val="12"/>
      <color rgb="FF00B0F0"/>
      <name val="Arial"/>
      <family val="2"/>
    </font>
    <font>
      <b/>
      <sz val="11"/>
      <color rgb="FF00B0F0"/>
      <name val="Arial"/>
      <family val="2"/>
    </font>
    <font>
      <sz val="10.5"/>
      <color rgb="FF273943"/>
      <name val="Gotham Rounded Bold"/>
    </font>
    <font>
      <b/>
      <sz val="11"/>
      <color theme="0"/>
      <name val="Calibri"/>
      <family val="2"/>
      <scheme val="minor"/>
    </font>
    <font>
      <b/>
      <sz val="11"/>
      <color theme="1"/>
      <name val="Calibri"/>
      <family val="2"/>
      <scheme val="minor"/>
    </font>
    <font>
      <b/>
      <u/>
      <sz val="11"/>
      <color theme="1"/>
      <name val="Calibri"/>
      <family val="2"/>
      <scheme val="minor"/>
    </font>
    <font>
      <sz val="8"/>
      <name val="Calibri"/>
      <family val="2"/>
      <scheme val="minor"/>
    </font>
    <font>
      <sz val="10.5"/>
      <name val="Gotham Rounded Bold"/>
    </font>
    <font>
      <b/>
      <sz val="11"/>
      <name val="Calibri"/>
      <family val="2"/>
      <scheme val="minor"/>
    </font>
    <font>
      <b/>
      <sz val="9"/>
      <name val="Calibri Light"/>
      <family val="2"/>
    </font>
    <font>
      <b/>
      <sz val="9"/>
      <color rgb="FF000000"/>
      <name val="Calibri Light"/>
      <family val="2"/>
    </font>
    <font>
      <sz val="9"/>
      <color rgb="FF000000"/>
      <name val="Calibri Light"/>
      <family val="2"/>
    </font>
    <font>
      <sz val="9"/>
      <color rgb="FFFF0000"/>
      <name val="Calibri Light"/>
      <family val="2"/>
    </font>
    <font>
      <b/>
      <sz val="9"/>
      <color rgb="FF212529"/>
      <name val="Calibri Light"/>
      <family val="2"/>
    </font>
    <font>
      <sz val="9"/>
      <color rgb="FF212529"/>
      <name val="Calibri Light"/>
      <family val="2"/>
    </font>
    <font>
      <b/>
      <sz val="9"/>
      <color rgb="FFFF0000"/>
      <name val="Calibri Light"/>
      <family val="2"/>
    </font>
    <font>
      <sz val="9"/>
      <color theme="4"/>
      <name val="Calibri Light"/>
      <family val="2"/>
    </font>
    <font>
      <b/>
      <i/>
      <sz val="11"/>
      <color theme="1"/>
      <name val="Calibri"/>
      <family val="2"/>
      <scheme val="minor"/>
    </font>
    <font>
      <sz val="9"/>
      <name val="Calibri Light"/>
      <family val="2"/>
    </font>
    <font>
      <i/>
      <sz val="8"/>
      <color theme="1"/>
      <name val="Calibri"/>
      <family val="2"/>
      <scheme val="minor"/>
    </font>
    <font>
      <b/>
      <u/>
      <sz val="11"/>
      <color theme="0"/>
      <name val="Calibri"/>
      <family val="2"/>
      <scheme val="minor"/>
    </font>
    <font>
      <sz val="8"/>
      <color theme="1"/>
      <name val="Calibri"/>
      <family val="2"/>
      <scheme val="minor"/>
    </font>
    <font>
      <b/>
      <sz val="8"/>
      <color theme="1"/>
      <name val="Calibri"/>
      <family val="2"/>
      <scheme val="minor"/>
    </font>
    <font>
      <u/>
      <sz val="8"/>
      <color theme="1"/>
      <name val="Calibri"/>
      <family val="2"/>
      <scheme val="minor"/>
    </font>
    <font>
      <b/>
      <sz val="10.5"/>
      <color rgb="FF273943"/>
      <name val="Gotham Rounded Bold"/>
    </font>
    <font>
      <b/>
      <sz val="9"/>
      <color theme="4"/>
      <name val="Calibri Light"/>
      <family val="2"/>
    </font>
    <font>
      <b/>
      <u/>
      <sz val="8"/>
      <color theme="1"/>
      <name val="Calibri"/>
      <family val="2"/>
      <scheme val="minor"/>
    </font>
    <font>
      <b/>
      <sz val="8"/>
      <name val="Calibri"/>
      <family val="2"/>
      <scheme val="minor"/>
    </font>
    <font>
      <sz val="10"/>
      <name val="Arial"/>
      <family val="2"/>
    </font>
  </fonts>
  <fills count="26">
    <fill>
      <patternFill patternType="none"/>
    </fill>
    <fill>
      <patternFill patternType="gray125"/>
    </fill>
    <fill>
      <patternFill patternType="solid">
        <fgColor theme="0"/>
        <bgColor indexed="64"/>
      </patternFill>
    </fill>
    <fill>
      <patternFill patternType="solid">
        <fgColor rgb="FFFFF9E7"/>
        <bgColor indexed="64"/>
      </patternFill>
    </fill>
    <fill>
      <patternFill patternType="solid">
        <fgColor theme="3" tint="-0.249977111117893"/>
        <bgColor indexed="64"/>
      </patternFill>
    </fill>
    <fill>
      <patternFill patternType="solid">
        <fgColor theme="5" tint="0.79998168889431442"/>
        <bgColor indexed="64"/>
      </patternFill>
    </fill>
    <fill>
      <patternFill patternType="solid">
        <fgColor rgb="FFFFFF00"/>
        <bgColor indexed="64"/>
      </patternFill>
    </fill>
    <fill>
      <patternFill patternType="solid">
        <fgColor theme="3"/>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92D050"/>
        <bgColor indexed="64"/>
      </patternFill>
    </fill>
  </fills>
  <borders count="155">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hair">
        <color auto="1"/>
      </bottom>
      <diagonal/>
    </border>
    <border>
      <left style="thin">
        <color indexed="64"/>
      </left>
      <right style="thin">
        <color indexed="64"/>
      </right>
      <top style="hair">
        <color auto="1"/>
      </top>
      <bottom style="hair">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000000"/>
      </left>
      <right/>
      <top style="medium">
        <color rgb="FF000000"/>
      </top>
      <bottom/>
      <diagonal/>
    </border>
    <border>
      <left style="thin">
        <color rgb="FF000000"/>
      </left>
      <right style="thin">
        <color rgb="FF000000"/>
      </right>
      <top style="medium">
        <color rgb="FF000000"/>
      </top>
      <bottom/>
      <diagonal/>
    </border>
    <border>
      <left/>
      <right/>
      <top style="medium">
        <color indexed="64"/>
      </top>
      <bottom/>
      <diagonal/>
    </border>
    <border>
      <left/>
      <right/>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medium">
        <color indexed="64"/>
      </right>
      <top style="medium">
        <color indexed="64"/>
      </top>
      <bottom style="hair">
        <color indexed="64"/>
      </bottom>
      <diagonal/>
    </border>
    <border>
      <left/>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hair">
        <color indexed="64"/>
      </bottom>
      <diagonal/>
    </border>
    <border>
      <left style="medium">
        <color indexed="64"/>
      </left>
      <right style="medium">
        <color indexed="64"/>
      </right>
      <top/>
      <bottom style="hair">
        <color indexed="64"/>
      </bottom>
      <diagonal/>
    </border>
    <border>
      <left/>
      <right/>
      <top/>
      <bottom style="hair">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hair">
        <color indexed="64"/>
      </top>
      <bottom style="medium">
        <color indexed="64"/>
      </bottom>
      <diagonal/>
    </border>
    <border>
      <left/>
      <right style="thin">
        <color indexed="64"/>
      </right>
      <top/>
      <bottom style="hair">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hair">
        <color indexed="64"/>
      </bottom>
      <diagonal/>
    </border>
    <border>
      <left/>
      <right style="thin">
        <color indexed="64"/>
      </right>
      <top style="hair">
        <color indexed="64"/>
      </top>
      <bottom/>
      <diagonal/>
    </border>
    <border>
      <left style="medium">
        <color rgb="FF000000"/>
      </left>
      <right style="medium">
        <color auto="1"/>
      </right>
      <top/>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medium">
        <color auto="1"/>
      </right>
      <top style="double">
        <color auto="1"/>
      </top>
      <bottom/>
      <diagonal/>
    </border>
    <border>
      <left style="medium">
        <color rgb="FF000000"/>
      </left>
      <right style="medium">
        <color rgb="FF000000"/>
      </right>
      <top style="medium">
        <color rgb="FF000000"/>
      </top>
      <bottom style="double">
        <color auto="1"/>
      </bottom>
      <diagonal/>
    </border>
    <border>
      <left/>
      <right style="medium">
        <color theme="3"/>
      </right>
      <top style="medium">
        <color theme="3"/>
      </top>
      <bottom/>
      <diagonal/>
    </border>
    <border>
      <left/>
      <right style="medium">
        <color theme="3"/>
      </right>
      <top/>
      <bottom style="hair">
        <color auto="1"/>
      </bottom>
      <diagonal/>
    </border>
    <border>
      <left/>
      <right style="medium">
        <color theme="3"/>
      </right>
      <top style="hair">
        <color auto="1"/>
      </top>
      <bottom style="hair">
        <color auto="1"/>
      </bottom>
      <diagonal/>
    </border>
    <border>
      <left style="thin">
        <color theme="3"/>
      </left>
      <right style="thin">
        <color theme="3"/>
      </right>
      <top style="medium">
        <color theme="3"/>
      </top>
      <bottom/>
      <diagonal/>
    </border>
    <border>
      <left style="thin">
        <color theme="3"/>
      </left>
      <right style="thin">
        <color theme="3"/>
      </right>
      <top/>
      <bottom style="hair">
        <color auto="1"/>
      </bottom>
      <diagonal/>
    </border>
    <border>
      <left style="thin">
        <color theme="3"/>
      </left>
      <right style="thin">
        <color theme="3"/>
      </right>
      <top style="hair">
        <color auto="1"/>
      </top>
      <bottom style="hair">
        <color auto="1"/>
      </bottom>
      <diagonal/>
    </border>
    <border>
      <left style="medium">
        <color theme="3"/>
      </left>
      <right style="thin">
        <color theme="3"/>
      </right>
      <top/>
      <bottom/>
      <diagonal/>
    </border>
    <border>
      <left style="thin">
        <color theme="3"/>
      </left>
      <right style="thin">
        <color theme="3"/>
      </right>
      <top style="hair">
        <color auto="1"/>
      </top>
      <bottom/>
      <diagonal/>
    </border>
    <border>
      <left/>
      <right style="medium">
        <color theme="3"/>
      </right>
      <top/>
      <bottom/>
      <diagonal/>
    </border>
    <border>
      <left/>
      <right style="medium">
        <color theme="3"/>
      </right>
      <top style="hair">
        <color auto="1"/>
      </top>
      <bottom/>
      <diagonal/>
    </border>
    <border>
      <left style="medium">
        <color theme="3"/>
      </left>
      <right style="thin">
        <color theme="3"/>
      </right>
      <top style="double">
        <color theme="3"/>
      </top>
      <bottom/>
      <diagonal/>
    </border>
    <border>
      <left style="thin">
        <color theme="3"/>
      </left>
      <right style="thin">
        <color theme="3"/>
      </right>
      <top style="double">
        <color theme="3"/>
      </top>
      <bottom style="hair">
        <color auto="1"/>
      </bottom>
      <diagonal/>
    </border>
    <border>
      <left/>
      <right style="medium">
        <color theme="3"/>
      </right>
      <top style="double">
        <color theme="3"/>
      </top>
      <bottom style="hair">
        <color auto="1"/>
      </bottom>
      <diagonal/>
    </border>
    <border>
      <left style="medium">
        <color theme="3"/>
      </left>
      <right style="thin">
        <color theme="3"/>
      </right>
      <top/>
      <bottom style="double">
        <color theme="3"/>
      </bottom>
      <diagonal/>
    </border>
    <border>
      <left style="thin">
        <color theme="3"/>
      </left>
      <right style="thin">
        <color theme="3"/>
      </right>
      <top style="hair">
        <color auto="1"/>
      </top>
      <bottom style="double">
        <color theme="3"/>
      </bottom>
      <diagonal/>
    </border>
    <border>
      <left/>
      <right style="medium">
        <color theme="3"/>
      </right>
      <top style="hair">
        <color auto="1"/>
      </top>
      <bottom style="double">
        <color theme="3"/>
      </bottom>
      <diagonal/>
    </border>
    <border>
      <left style="thin">
        <color theme="3"/>
      </left>
      <right style="thin">
        <color theme="3"/>
      </right>
      <top/>
      <bottom/>
      <diagonal/>
    </border>
    <border>
      <left style="thin">
        <color indexed="64"/>
      </left>
      <right style="thin">
        <color indexed="64"/>
      </right>
      <top style="double">
        <color auto="1"/>
      </top>
      <bottom style="hair">
        <color indexed="64"/>
      </bottom>
      <diagonal/>
    </border>
    <border>
      <left style="thin">
        <color indexed="64"/>
      </left>
      <right style="medium">
        <color rgb="FF000000"/>
      </right>
      <top style="double">
        <color auto="1"/>
      </top>
      <bottom style="hair">
        <color indexed="64"/>
      </bottom>
      <diagonal/>
    </border>
    <border>
      <left style="thin">
        <color indexed="64"/>
      </left>
      <right style="medium">
        <color rgb="FF000000"/>
      </right>
      <top style="hair">
        <color indexed="64"/>
      </top>
      <bottom style="hair">
        <color indexed="64"/>
      </bottom>
      <diagonal/>
    </border>
    <border>
      <left/>
      <right style="thin">
        <color indexed="64"/>
      </right>
      <top style="double">
        <color auto="1"/>
      </top>
      <bottom style="hair">
        <color indexed="64"/>
      </bottom>
      <diagonal/>
    </border>
    <border>
      <left style="medium">
        <color indexed="64"/>
      </left>
      <right style="medium">
        <color indexed="64"/>
      </right>
      <top style="double">
        <color auto="1"/>
      </top>
      <bottom style="hair">
        <color indexed="64"/>
      </bottom>
      <diagonal/>
    </border>
    <border>
      <left style="medium">
        <color indexed="64"/>
      </left>
      <right style="medium">
        <color indexed="64"/>
      </right>
      <top style="hair">
        <color indexed="64"/>
      </top>
      <bottom/>
      <diagonal/>
    </border>
    <border>
      <left style="thin">
        <color indexed="64"/>
      </left>
      <right style="thin">
        <color indexed="64"/>
      </right>
      <top style="hair">
        <color auto="1"/>
      </top>
      <bottom/>
      <diagonal/>
    </border>
    <border>
      <left style="thin">
        <color indexed="64"/>
      </left>
      <right style="medium">
        <color rgb="FF000000"/>
      </right>
      <top style="hair">
        <color indexed="64"/>
      </top>
      <bottom/>
      <diagonal/>
    </border>
    <border>
      <left style="thin">
        <color indexed="64"/>
      </left>
      <right style="medium">
        <color rgb="FF000000"/>
      </right>
      <top/>
      <bottom style="hair">
        <color indexed="64"/>
      </bottom>
      <diagonal/>
    </border>
    <border>
      <left/>
      <right style="thin">
        <color indexed="64"/>
      </right>
      <top style="medium">
        <color indexed="64"/>
      </top>
      <bottom style="hair">
        <color indexed="64"/>
      </bottom>
      <diagonal/>
    </border>
    <border>
      <left style="medium">
        <color theme="3"/>
      </left>
      <right style="thin">
        <color theme="3"/>
      </right>
      <top style="double">
        <color theme="3"/>
      </top>
      <bottom style="double">
        <color theme="3"/>
      </bottom>
      <diagonal/>
    </border>
    <border>
      <left style="thin">
        <color theme="3"/>
      </left>
      <right style="thin">
        <color theme="3"/>
      </right>
      <top style="double">
        <color theme="3"/>
      </top>
      <bottom style="double">
        <color theme="3"/>
      </bottom>
      <diagonal/>
    </border>
    <border>
      <left/>
      <right style="medium">
        <color theme="3"/>
      </right>
      <top style="double">
        <color theme="3"/>
      </top>
      <bottom style="double">
        <color theme="3"/>
      </bottom>
      <diagonal/>
    </border>
    <border>
      <left style="medium">
        <color theme="3"/>
      </left>
      <right style="thin">
        <color theme="3"/>
      </right>
      <top style="double">
        <color theme="3"/>
      </top>
      <bottom style="medium">
        <color theme="3"/>
      </bottom>
      <diagonal/>
    </border>
    <border>
      <left style="thin">
        <color theme="3"/>
      </left>
      <right style="thin">
        <color theme="3"/>
      </right>
      <top style="double">
        <color theme="3"/>
      </top>
      <bottom style="medium">
        <color theme="3"/>
      </bottom>
      <diagonal/>
    </border>
    <border>
      <left/>
      <right style="medium">
        <color theme="3"/>
      </right>
      <top style="double">
        <color theme="3"/>
      </top>
      <bottom style="medium">
        <color theme="3"/>
      </bottom>
      <diagonal/>
    </border>
    <border>
      <left style="thin">
        <color indexed="64"/>
      </left>
      <right style="medium">
        <color indexed="64"/>
      </right>
      <top style="hair">
        <color indexed="64"/>
      </top>
      <bottom/>
      <diagonal/>
    </border>
    <border>
      <left style="medium">
        <color rgb="FF000000"/>
      </left>
      <right style="medium">
        <color auto="1"/>
      </right>
      <top style="double">
        <color rgb="FF000000"/>
      </top>
      <bottom/>
      <diagonal/>
    </border>
    <border>
      <left style="medium">
        <color indexed="64"/>
      </left>
      <right style="medium">
        <color indexed="64"/>
      </right>
      <top style="double">
        <color rgb="FF000000"/>
      </top>
      <bottom/>
      <diagonal/>
    </border>
    <border>
      <left/>
      <right style="thin">
        <color indexed="64"/>
      </right>
      <top style="double">
        <color rgb="FF000000"/>
      </top>
      <bottom style="hair">
        <color indexed="64"/>
      </bottom>
      <diagonal/>
    </border>
    <border>
      <left style="thin">
        <color indexed="64"/>
      </left>
      <right style="thin">
        <color indexed="64"/>
      </right>
      <top style="double">
        <color rgb="FF000000"/>
      </top>
      <bottom style="hair">
        <color auto="1"/>
      </bottom>
      <diagonal/>
    </border>
    <border>
      <left style="thin">
        <color indexed="64"/>
      </left>
      <right style="thin">
        <color indexed="64"/>
      </right>
      <top style="double">
        <color rgb="FF000000"/>
      </top>
      <bottom/>
      <diagonal/>
    </border>
    <border>
      <left style="thin">
        <color indexed="64"/>
      </left>
      <right style="medium">
        <color rgb="FF000000"/>
      </right>
      <top style="double">
        <color rgb="FF000000"/>
      </top>
      <bottom style="hair">
        <color indexed="64"/>
      </bottom>
      <diagonal/>
    </border>
    <border>
      <left style="medium">
        <color rgb="FF000000"/>
      </left>
      <right style="medium">
        <color auto="1"/>
      </right>
      <top/>
      <bottom style="double">
        <color rgb="FF000000"/>
      </bottom>
      <diagonal/>
    </border>
    <border>
      <left style="medium">
        <color indexed="64"/>
      </left>
      <right style="medium">
        <color indexed="64"/>
      </right>
      <top/>
      <bottom style="double">
        <color rgb="FF000000"/>
      </bottom>
      <diagonal/>
    </border>
    <border>
      <left/>
      <right style="thin">
        <color indexed="64"/>
      </right>
      <top style="hair">
        <color indexed="64"/>
      </top>
      <bottom style="double">
        <color rgb="FF000000"/>
      </bottom>
      <diagonal/>
    </border>
    <border>
      <left style="thin">
        <color indexed="64"/>
      </left>
      <right style="thin">
        <color indexed="64"/>
      </right>
      <top style="hair">
        <color auto="1"/>
      </top>
      <bottom style="double">
        <color rgb="FF000000"/>
      </bottom>
      <diagonal/>
    </border>
    <border>
      <left style="thin">
        <color indexed="64"/>
      </left>
      <right style="thin">
        <color indexed="64"/>
      </right>
      <top/>
      <bottom style="double">
        <color rgb="FF000000"/>
      </bottom>
      <diagonal/>
    </border>
    <border>
      <left style="thin">
        <color indexed="64"/>
      </left>
      <right style="medium">
        <color rgb="FF000000"/>
      </right>
      <top style="hair">
        <color indexed="64"/>
      </top>
      <bottom style="double">
        <color rgb="FF000000"/>
      </bottom>
      <diagonal/>
    </border>
    <border>
      <left style="medium">
        <color indexed="64"/>
      </left>
      <right style="medium">
        <color indexed="64"/>
      </right>
      <top style="double">
        <color rgb="FF000000"/>
      </top>
      <bottom style="hair">
        <color indexed="64"/>
      </bottom>
      <diagonal/>
    </border>
    <border>
      <left style="thin">
        <color indexed="64"/>
      </left>
      <right style="medium">
        <color indexed="64"/>
      </right>
      <top style="double">
        <color rgb="FF000000"/>
      </top>
      <bottom style="hair">
        <color indexed="64"/>
      </bottom>
      <diagonal/>
    </border>
    <border>
      <left style="medium">
        <color indexed="64"/>
      </left>
      <right style="medium">
        <color indexed="64"/>
      </right>
      <top style="hair">
        <color indexed="64"/>
      </top>
      <bottom style="double">
        <color rgb="FF000000"/>
      </bottom>
      <diagonal/>
    </border>
    <border>
      <left style="thin">
        <color indexed="64"/>
      </left>
      <right style="medium">
        <color indexed="64"/>
      </right>
      <top style="hair">
        <color indexed="64"/>
      </top>
      <bottom style="double">
        <color rgb="FF000000"/>
      </bottom>
      <diagonal/>
    </border>
    <border>
      <left/>
      <right/>
      <top style="thin">
        <color indexed="64"/>
      </top>
      <bottom style="double">
        <color indexed="64"/>
      </bottom>
      <diagonal/>
    </border>
    <border>
      <left style="thin">
        <color indexed="64"/>
      </left>
      <right style="medium">
        <color rgb="FF000000"/>
      </right>
      <top/>
      <bottom/>
      <diagonal/>
    </border>
    <border>
      <left style="medium">
        <color indexed="64"/>
      </left>
      <right style="thin">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hair">
        <color indexed="64"/>
      </top>
      <bottom/>
      <diagonal/>
    </border>
    <border>
      <left/>
      <right/>
      <top style="hair">
        <color indexed="64"/>
      </top>
      <bottom/>
      <diagonal/>
    </border>
    <border>
      <left style="thin">
        <color indexed="64"/>
      </left>
      <right style="thin">
        <color indexed="64"/>
      </right>
      <top style="thin">
        <color indexed="64"/>
      </top>
      <bottom style="hair">
        <color auto="1"/>
      </bottom>
      <diagonal/>
    </border>
    <border>
      <left style="thin">
        <color rgb="FF000000"/>
      </left>
      <right style="thin">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top/>
      <bottom/>
      <diagonal/>
    </border>
    <border>
      <left style="thin">
        <color theme="3"/>
      </left>
      <right/>
      <top style="medium">
        <color theme="3"/>
      </top>
      <bottom/>
      <diagonal/>
    </border>
    <border>
      <left style="medium">
        <color theme="3"/>
      </left>
      <right style="thin">
        <color theme="3"/>
      </right>
      <top style="medium">
        <color theme="3"/>
      </top>
      <bottom/>
      <diagonal/>
    </border>
    <border>
      <left style="medium">
        <color theme="3"/>
      </left>
      <right style="medium">
        <color theme="3"/>
      </right>
      <top style="medium">
        <color theme="3"/>
      </top>
      <bottom/>
      <diagonal/>
    </border>
    <border>
      <left style="medium">
        <color theme="3"/>
      </left>
      <right style="medium">
        <color theme="3"/>
      </right>
      <top/>
      <bottom/>
      <diagonal/>
    </border>
    <border>
      <left style="thin">
        <color indexed="64"/>
      </left>
      <right style="thin">
        <color indexed="64"/>
      </right>
      <top style="double">
        <color auto="1"/>
      </top>
      <bottom/>
      <diagonal/>
    </border>
    <border>
      <left style="thin">
        <color indexed="64"/>
      </left>
      <right style="thin">
        <color indexed="64"/>
      </right>
      <top style="hair">
        <color indexed="64"/>
      </top>
      <bottom style="double">
        <color indexed="64"/>
      </bottom>
      <diagonal/>
    </border>
    <border>
      <left style="thin">
        <color indexed="64"/>
      </left>
      <right style="medium">
        <color rgb="FF000000"/>
      </right>
      <top style="medium">
        <color indexed="64"/>
      </top>
      <bottom style="hair">
        <color indexed="64"/>
      </bottom>
      <diagonal/>
    </border>
    <border>
      <left style="thin">
        <color indexed="64"/>
      </left>
      <right style="medium">
        <color rgb="FF000000"/>
      </right>
      <top style="hair">
        <color indexed="64"/>
      </top>
      <bottom style="medium">
        <color indexed="64"/>
      </bottom>
      <diagonal/>
    </border>
    <border>
      <left style="thin">
        <color indexed="64"/>
      </left>
      <right style="medium">
        <color indexed="64"/>
      </right>
      <top/>
      <bottom/>
      <diagonal/>
    </border>
    <border>
      <left style="thin">
        <color indexed="64"/>
      </left>
      <right/>
      <top style="medium">
        <color indexed="64"/>
      </top>
      <bottom style="hair">
        <color indexed="64"/>
      </bottom>
      <diagonal/>
    </border>
    <border>
      <left style="thin">
        <color indexed="64"/>
      </left>
      <right/>
      <top/>
      <bottom style="hair">
        <color auto="1"/>
      </bottom>
      <diagonal/>
    </border>
    <border>
      <left style="thin">
        <color indexed="64"/>
      </left>
      <right/>
      <top/>
      <bottom/>
      <diagonal/>
    </border>
    <border>
      <left style="thin">
        <color indexed="64"/>
      </left>
      <right/>
      <top style="hair">
        <color indexed="64"/>
      </top>
      <bottom style="medium">
        <color indexed="64"/>
      </bottom>
      <diagonal/>
    </border>
    <border>
      <left style="thin">
        <color indexed="64"/>
      </left>
      <right/>
      <top style="hair">
        <color auto="1"/>
      </top>
      <bottom style="hair">
        <color auto="1"/>
      </bottom>
      <diagonal/>
    </border>
    <border>
      <left style="thin">
        <color indexed="64"/>
      </left>
      <right/>
      <top style="hair">
        <color auto="1"/>
      </top>
      <bottom/>
      <diagonal/>
    </border>
    <border>
      <left/>
      <right style="medium">
        <color indexed="64"/>
      </right>
      <top style="medium">
        <color indexed="64"/>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diagonal/>
    </border>
    <border>
      <left/>
      <right style="medium">
        <color indexed="64"/>
      </right>
      <top/>
      <bottom style="hair">
        <color indexed="64"/>
      </bottom>
      <diagonal/>
    </border>
    <border>
      <left/>
      <right style="medium">
        <color indexed="64"/>
      </right>
      <top/>
      <bottom/>
      <diagonal/>
    </border>
    <border>
      <left/>
      <right style="medium">
        <color indexed="64"/>
      </right>
      <top style="hair">
        <color indexed="64"/>
      </top>
      <bottom style="medium">
        <color indexed="64"/>
      </bottom>
      <diagonal/>
    </border>
    <border>
      <left style="thick">
        <color indexed="64"/>
      </left>
      <right style="thick">
        <color indexed="64"/>
      </right>
      <top style="medium">
        <color indexed="64"/>
      </top>
      <bottom style="hair">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bottom style="hair">
        <color auto="1"/>
      </bottom>
      <diagonal/>
    </border>
    <border>
      <left style="thick">
        <color indexed="64"/>
      </left>
      <right style="thick">
        <color indexed="64"/>
      </right>
      <top/>
      <bottom/>
      <diagonal/>
    </border>
    <border>
      <left style="thick">
        <color indexed="64"/>
      </left>
      <right style="thick">
        <color indexed="64"/>
      </right>
      <top style="hair">
        <color indexed="64"/>
      </top>
      <bottom style="medium">
        <color indexed="64"/>
      </bottom>
      <diagonal/>
    </border>
    <border>
      <left style="thin">
        <color indexed="64"/>
      </left>
      <right style="thin">
        <color indexed="64"/>
      </right>
      <top style="medium">
        <color indexed="64"/>
      </top>
      <bottom style="dashed">
        <color indexed="64"/>
      </bottom>
      <diagonal/>
    </border>
    <border>
      <left style="thin">
        <color indexed="64"/>
      </left>
      <right style="medium">
        <color indexed="64"/>
      </right>
      <top style="medium">
        <color indexed="64"/>
      </top>
      <bottom style="dashed">
        <color indexed="64"/>
      </bottom>
      <diagonal/>
    </border>
    <border>
      <left style="medium">
        <color indexed="64"/>
      </left>
      <right style="medium">
        <color indexed="64"/>
      </right>
      <top style="medium">
        <color indexed="64"/>
      </top>
      <bottom style="dashed">
        <color indexed="64"/>
      </bottom>
      <diagonal/>
    </border>
    <border>
      <left/>
      <right/>
      <top style="medium">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dashed">
        <color indexed="64"/>
      </bottom>
      <diagonal/>
    </border>
    <border>
      <left/>
      <right/>
      <top style="dashed">
        <color indexed="64"/>
      </top>
      <bottom style="dashed">
        <color indexed="64"/>
      </bottom>
      <diagonal/>
    </border>
    <border>
      <left style="thin">
        <color indexed="64"/>
      </left>
      <right style="thin">
        <color indexed="64"/>
      </right>
      <top style="dashed">
        <color indexed="64"/>
      </top>
      <bottom style="medium">
        <color indexed="64"/>
      </bottom>
      <diagonal/>
    </border>
    <border>
      <left style="thin">
        <color indexed="64"/>
      </left>
      <right style="medium">
        <color indexed="64"/>
      </right>
      <top style="dashed">
        <color indexed="64"/>
      </top>
      <bottom style="medium">
        <color indexed="64"/>
      </bottom>
      <diagonal/>
    </border>
    <border>
      <left style="medium">
        <color indexed="64"/>
      </left>
      <right style="medium">
        <color indexed="64"/>
      </right>
      <top style="dashed">
        <color indexed="64"/>
      </top>
      <bottom style="medium">
        <color indexed="64"/>
      </bottom>
      <diagonal/>
    </border>
    <border>
      <left/>
      <right/>
      <top style="dashed">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theme="3"/>
      </right>
      <top/>
      <bottom style="double">
        <color theme="3"/>
      </bottom>
      <diagonal/>
    </border>
  </borders>
  <cellStyleXfs count="3">
    <xf numFmtId="0" fontId="0" fillId="0" borderId="0"/>
    <xf numFmtId="9" fontId="2" fillId="0" borderId="0" applyFont="0" applyFill="0" applyBorder="0" applyAlignment="0" applyProtection="0"/>
    <xf numFmtId="43" fontId="2" fillId="0" borderId="0" applyFont="0" applyFill="0" applyBorder="0" applyAlignment="0" applyProtection="0"/>
  </cellStyleXfs>
  <cellXfs count="1329">
    <xf numFmtId="0" fontId="0" fillId="0" borderId="0" xfId="0"/>
    <xf numFmtId="0" fontId="0" fillId="0" borderId="0" xfId="0" applyAlignment="1">
      <alignment horizontal="center"/>
    </xf>
    <xf numFmtId="0" fontId="0" fillId="0" borderId="0" xfId="0" applyAlignment="1">
      <alignment vertical="center"/>
    </xf>
    <xf numFmtId="0" fontId="0" fillId="2" borderId="0" xfId="0" applyFill="1"/>
    <xf numFmtId="0" fontId="0" fillId="0" borderId="0" xfId="0" applyAlignment="1">
      <alignment wrapText="1"/>
    </xf>
    <xf numFmtId="0" fontId="0" fillId="0" borderId="2" xfId="0" applyBorder="1" applyAlignment="1">
      <alignment horizontal="center" vertical="center"/>
    </xf>
    <xf numFmtId="0" fontId="0" fillId="0" borderId="1" xfId="0" applyBorder="1" applyAlignment="1">
      <alignment horizontal="center" vertical="center"/>
    </xf>
    <xf numFmtId="0" fontId="1" fillId="0" borderId="0" xfId="0" applyFont="1" applyAlignment="1">
      <alignment vertical="top" wrapText="1"/>
    </xf>
    <xf numFmtId="0" fontId="4" fillId="2" borderId="0" xfId="0" applyFont="1" applyFill="1" applyAlignment="1">
      <alignment vertical="center"/>
    </xf>
    <xf numFmtId="0" fontId="4" fillId="2" borderId="0" xfId="0" applyFont="1" applyFill="1" applyAlignment="1">
      <alignment horizontal="left"/>
    </xf>
    <xf numFmtId="0" fontId="3" fillId="2" borderId="0" xfId="0" applyFont="1" applyFill="1" applyAlignment="1">
      <alignment vertical="top"/>
    </xf>
    <xf numFmtId="0" fontId="7" fillId="2" borderId="0" xfId="0" applyFont="1" applyFill="1" applyAlignment="1">
      <alignment vertical="top"/>
    </xf>
    <xf numFmtId="0" fontId="8" fillId="2" borderId="0" xfId="0" applyFont="1" applyFill="1" applyAlignment="1">
      <alignment vertical="top"/>
    </xf>
    <xf numFmtId="168" fontId="8" fillId="2" borderId="0" xfId="0" applyNumberFormat="1" applyFont="1" applyFill="1" applyAlignment="1">
      <alignment horizontal="left" vertical="top"/>
    </xf>
    <xf numFmtId="0" fontId="0" fillId="0" borderId="0" xfId="0" applyAlignment="1">
      <alignment horizontal="left"/>
    </xf>
    <xf numFmtId="0" fontId="4" fillId="6" borderId="0" xfId="0" applyFont="1" applyFill="1" applyAlignment="1">
      <alignment horizontal="left" vertical="top" indent="1"/>
    </xf>
    <xf numFmtId="10" fontId="0" fillId="0" borderId="0" xfId="1" applyNumberFormat="1" applyFont="1"/>
    <xf numFmtId="0" fontId="0" fillId="0" borderId="0" xfId="0" applyAlignment="1">
      <alignment horizontal="left" wrapText="1" indent="1"/>
    </xf>
    <xf numFmtId="0" fontId="11" fillId="0" borderId="0" xfId="0" applyFont="1"/>
    <xf numFmtId="0" fontId="11" fillId="0" borderId="0" xfId="0" applyFont="1" applyAlignment="1">
      <alignment horizontal="center"/>
    </xf>
    <xf numFmtId="167" fontId="0" fillId="0" borderId="0" xfId="0" applyNumberFormat="1" applyAlignment="1">
      <alignment horizontal="center"/>
    </xf>
    <xf numFmtId="0" fontId="10" fillId="7" borderId="11" xfId="0" applyFont="1" applyFill="1" applyBorder="1" applyAlignment="1">
      <alignment horizontal="center"/>
    </xf>
    <xf numFmtId="0" fontId="10" fillId="7" borderId="12" xfId="0" applyFont="1" applyFill="1" applyBorder="1" applyAlignment="1">
      <alignment horizontal="center"/>
    </xf>
    <xf numFmtId="169" fontId="10" fillId="7" borderId="12" xfId="1" applyNumberFormat="1" applyFont="1" applyFill="1" applyBorder="1" applyAlignment="1">
      <alignment horizontal="center"/>
    </xf>
    <xf numFmtId="0" fontId="10" fillId="7" borderId="6" xfId="0" applyFont="1" applyFill="1" applyBorder="1" applyAlignment="1">
      <alignment horizontal="center"/>
    </xf>
    <xf numFmtId="0" fontId="10" fillId="7" borderId="8" xfId="0" applyFont="1" applyFill="1" applyBorder="1" applyAlignment="1">
      <alignment horizontal="center"/>
    </xf>
    <xf numFmtId="0" fontId="10" fillId="7" borderId="28" xfId="0" applyFont="1" applyFill="1" applyBorder="1" applyAlignment="1">
      <alignment horizontal="left"/>
    </xf>
    <xf numFmtId="0" fontId="10" fillId="7" borderId="29" xfId="0" applyFont="1" applyFill="1" applyBorder="1"/>
    <xf numFmtId="0" fontId="10" fillId="7" borderId="34" xfId="0" applyFont="1" applyFill="1" applyBorder="1" applyAlignment="1">
      <alignment horizontal="left"/>
    </xf>
    <xf numFmtId="0" fontId="10" fillId="7" borderId="35" xfId="0" applyFont="1" applyFill="1" applyBorder="1"/>
    <xf numFmtId="0" fontId="10" fillId="7" borderId="29" xfId="0" applyFont="1" applyFill="1" applyBorder="1" applyAlignment="1">
      <alignment horizontal="center"/>
    </xf>
    <xf numFmtId="0" fontId="10" fillId="7" borderId="30" xfId="0" applyFont="1" applyFill="1" applyBorder="1" applyAlignment="1">
      <alignment horizontal="center"/>
    </xf>
    <xf numFmtId="0" fontId="10" fillId="7" borderId="35" xfId="0" applyFont="1" applyFill="1" applyBorder="1" applyAlignment="1">
      <alignment horizontal="center"/>
    </xf>
    <xf numFmtId="0" fontId="10" fillId="7" borderId="36" xfId="0" applyFont="1" applyFill="1" applyBorder="1" applyAlignment="1">
      <alignment horizontal="center"/>
    </xf>
    <xf numFmtId="169" fontId="10" fillId="7" borderId="35" xfId="1" applyNumberFormat="1" applyFont="1" applyFill="1" applyBorder="1" applyAlignment="1">
      <alignment horizontal="center"/>
    </xf>
    <xf numFmtId="0" fontId="10" fillId="7" borderId="39" xfId="0" applyFont="1" applyFill="1" applyBorder="1" applyAlignment="1">
      <alignment horizontal="left"/>
    </xf>
    <xf numFmtId="0" fontId="10" fillId="7" borderId="40" xfId="0" applyFont="1" applyFill="1" applyBorder="1" applyAlignment="1">
      <alignment horizontal="left"/>
    </xf>
    <xf numFmtId="10" fontId="0" fillId="0" borderId="0" xfId="1" applyNumberFormat="1" applyFont="1" applyAlignment="1">
      <alignment wrapText="1"/>
    </xf>
    <xf numFmtId="0" fontId="12" fillId="0" borderId="0" xfId="0" applyFont="1"/>
    <xf numFmtId="9" fontId="0" fillId="0" borderId="0" xfId="1" applyFont="1"/>
    <xf numFmtId="167" fontId="0" fillId="0" borderId="0" xfId="0" applyNumberFormat="1"/>
    <xf numFmtId="0" fontId="0" fillId="11" borderId="0" xfId="0" applyFill="1"/>
    <xf numFmtId="0" fontId="15" fillId="0" borderId="0" xfId="0" applyFont="1"/>
    <xf numFmtId="0" fontId="14" fillId="18" borderId="9" xfId="0" applyFont="1" applyFill="1" applyBorder="1" applyAlignment="1">
      <alignment horizontal="center" vertical="center" wrapText="1" readingOrder="1"/>
    </xf>
    <xf numFmtId="0" fontId="9" fillId="18" borderId="10" xfId="0" applyFont="1" applyFill="1" applyBorder="1" applyAlignment="1">
      <alignment horizontal="center" vertical="center" wrapText="1" readingOrder="1"/>
    </xf>
    <xf numFmtId="0" fontId="9" fillId="18" borderId="10" xfId="0" applyFont="1" applyFill="1" applyBorder="1" applyAlignment="1">
      <alignment horizontal="left" vertical="center" wrapText="1" readingOrder="1"/>
    </xf>
    <xf numFmtId="0" fontId="0" fillId="18" borderId="0" xfId="0" applyFill="1"/>
    <xf numFmtId="0" fontId="9" fillId="18" borderId="46" xfId="0" applyFont="1" applyFill="1" applyBorder="1" applyAlignment="1">
      <alignment horizontal="left" vertical="center" wrapText="1" readingOrder="1"/>
    </xf>
    <xf numFmtId="0" fontId="9" fillId="18" borderId="45" xfId="0" applyFont="1" applyFill="1" applyBorder="1" applyAlignment="1">
      <alignment horizontal="left" vertical="center" wrapText="1" readingOrder="1"/>
    </xf>
    <xf numFmtId="0" fontId="9" fillId="18" borderId="48" xfId="0" applyFont="1" applyFill="1" applyBorder="1" applyAlignment="1">
      <alignment horizontal="center" vertical="center" wrapText="1" readingOrder="1"/>
    </xf>
    <xf numFmtId="0" fontId="4" fillId="12" borderId="55" xfId="0" applyFont="1" applyFill="1" applyBorder="1" applyAlignment="1">
      <alignment horizontal="center" vertical="center"/>
    </xf>
    <xf numFmtId="0" fontId="4" fillId="12" borderId="53" xfId="0" applyFont="1" applyFill="1" applyBorder="1" applyAlignment="1">
      <alignment vertical="center"/>
    </xf>
    <xf numFmtId="166" fontId="4" fillId="12" borderId="50" xfId="0" applyNumberFormat="1" applyFont="1" applyFill="1" applyBorder="1" applyAlignment="1">
      <alignment horizontal="center" vertical="center" wrapText="1"/>
    </xf>
    <xf numFmtId="0" fontId="4" fillId="12" borderId="54" xfId="0" applyFont="1" applyFill="1" applyBorder="1" applyAlignment="1">
      <alignment vertical="center"/>
    </xf>
    <xf numFmtId="166" fontId="4" fillId="12" borderId="57" xfId="0" applyNumberFormat="1" applyFont="1" applyFill="1" applyBorder="1" applyAlignment="1">
      <alignment horizontal="center" vertical="center" wrapText="1"/>
    </xf>
    <xf numFmtId="0" fontId="4" fillId="9" borderId="60" xfId="0" applyFont="1" applyFill="1" applyBorder="1" applyAlignment="1">
      <alignment vertical="center"/>
    </xf>
    <xf numFmtId="166" fontId="4" fillId="9" borderId="61" xfId="0" applyNumberFormat="1" applyFont="1" applyFill="1" applyBorder="1" applyAlignment="1">
      <alignment horizontal="center" vertical="center" wrapText="1"/>
    </xf>
    <xf numFmtId="0" fontId="4" fillId="9" borderId="54" xfId="0" applyFont="1" applyFill="1" applyBorder="1" applyAlignment="1">
      <alignment vertical="center"/>
    </xf>
    <xf numFmtId="166" fontId="4" fillId="9" borderId="50" xfId="0" applyNumberFormat="1" applyFont="1" applyFill="1" applyBorder="1" applyAlignment="1">
      <alignment horizontal="center" vertical="center" wrapText="1"/>
    </xf>
    <xf numFmtId="0" fontId="4" fillId="9" borderId="63" xfId="0" applyFont="1" applyFill="1" applyBorder="1" applyAlignment="1">
      <alignment vertical="center"/>
    </xf>
    <xf numFmtId="0" fontId="4" fillId="14" borderId="53" xfId="0" applyFont="1" applyFill="1" applyBorder="1" applyAlignment="1">
      <alignment vertical="center"/>
    </xf>
    <xf numFmtId="0" fontId="4" fillId="14" borderId="54" xfId="0" applyFont="1" applyFill="1" applyBorder="1" applyAlignment="1">
      <alignment vertical="center"/>
    </xf>
    <xf numFmtId="0" fontId="4" fillId="14" borderId="56" xfId="0" applyFont="1" applyFill="1" applyBorder="1" applyAlignment="1">
      <alignment vertical="center"/>
    </xf>
    <xf numFmtId="0" fontId="4" fillId="17" borderId="60" xfId="0" applyFont="1" applyFill="1" applyBorder="1" applyAlignment="1">
      <alignment vertical="center"/>
    </xf>
    <xf numFmtId="166" fontId="4" fillId="17" borderId="61" xfId="0" applyNumberFormat="1" applyFont="1" applyFill="1" applyBorder="1" applyAlignment="1">
      <alignment horizontal="center" vertical="center" wrapText="1"/>
    </xf>
    <xf numFmtId="0" fontId="4" fillId="17" borderId="54" xfId="0" applyFont="1" applyFill="1" applyBorder="1" applyAlignment="1">
      <alignment vertical="center"/>
    </xf>
    <xf numFmtId="166" fontId="4" fillId="17" borderId="50" xfId="0" applyNumberFormat="1" applyFont="1" applyFill="1" applyBorder="1" applyAlignment="1">
      <alignment horizontal="center" vertical="center" wrapText="1"/>
    </xf>
    <xf numFmtId="0" fontId="4" fillId="18" borderId="53" xfId="0" applyFont="1" applyFill="1" applyBorder="1" applyAlignment="1">
      <alignment vertical="center"/>
    </xf>
    <xf numFmtId="166" fontId="4" fillId="18" borderId="50" xfId="0" applyNumberFormat="1" applyFont="1" applyFill="1" applyBorder="1" applyAlignment="1">
      <alignment horizontal="center" vertical="center" wrapText="1"/>
    </xf>
    <xf numFmtId="0" fontId="4" fillId="18" borderId="54" xfId="0" applyFont="1" applyFill="1" applyBorder="1" applyAlignment="1">
      <alignment vertical="center"/>
    </xf>
    <xf numFmtId="166" fontId="4" fillId="9" borderId="51" xfId="0" applyNumberFormat="1" applyFont="1" applyFill="1" applyBorder="1" applyAlignment="1">
      <alignment horizontal="center" vertical="center"/>
    </xf>
    <xf numFmtId="166" fontId="4" fillId="9" borderId="64" xfId="0" applyNumberFormat="1" applyFont="1" applyFill="1" applyBorder="1" applyAlignment="1">
      <alignment horizontal="center" vertical="center"/>
    </xf>
    <xf numFmtId="166" fontId="4" fillId="14" borderId="50" xfId="0" applyNumberFormat="1" applyFont="1" applyFill="1" applyBorder="1" applyAlignment="1">
      <alignment horizontal="center" vertical="center"/>
    </xf>
    <xf numFmtId="166" fontId="4" fillId="14" borderId="51" xfId="0" applyNumberFormat="1" applyFont="1" applyFill="1" applyBorder="1" applyAlignment="1">
      <alignment horizontal="center" vertical="center"/>
    </xf>
    <xf numFmtId="166" fontId="4" fillId="14" borderId="58" xfId="0" applyNumberFormat="1" applyFont="1" applyFill="1" applyBorder="1" applyAlignment="1">
      <alignment horizontal="center" vertical="center"/>
    </xf>
    <xf numFmtId="43" fontId="0" fillId="3" borderId="0" xfId="0" applyNumberFormat="1" applyFill="1" applyAlignment="1">
      <alignment vertical="center"/>
    </xf>
    <xf numFmtId="43" fontId="0" fillId="3" borderId="3" xfId="0" applyNumberFormat="1" applyFill="1" applyBorder="1" applyAlignment="1">
      <alignment vertical="center"/>
    </xf>
    <xf numFmtId="43" fontId="0" fillId="0" borderId="0" xfId="0" applyNumberFormat="1" applyAlignment="1">
      <alignment vertical="center"/>
    </xf>
    <xf numFmtId="0" fontId="24" fillId="2" borderId="0" xfId="0" applyFont="1" applyFill="1"/>
    <xf numFmtId="2" fontId="0" fillId="0" borderId="0" xfId="0" applyNumberFormat="1"/>
    <xf numFmtId="2" fontId="4" fillId="12" borderId="53" xfId="2" applyNumberFormat="1" applyFont="1" applyFill="1" applyBorder="1" applyAlignment="1">
      <alignment horizontal="center" vertical="center" wrapText="1"/>
    </xf>
    <xf numFmtId="2" fontId="4" fillId="12" borderId="54" xfId="2" applyNumberFormat="1" applyFont="1" applyFill="1" applyBorder="1" applyAlignment="1">
      <alignment horizontal="center" vertical="center"/>
    </xf>
    <xf numFmtId="2" fontId="4" fillId="12" borderId="65" xfId="2" applyNumberFormat="1" applyFont="1" applyFill="1" applyBorder="1" applyAlignment="1">
      <alignment horizontal="center" vertical="center"/>
    </xf>
    <xf numFmtId="2" fontId="4" fillId="9" borderId="60" xfId="2" applyNumberFormat="1" applyFont="1" applyFill="1" applyBorder="1" applyAlignment="1">
      <alignment horizontal="center" vertical="center"/>
    </xf>
    <xf numFmtId="2" fontId="4" fillId="9" borderId="54" xfId="2" applyNumberFormat="1" applyFont="1" applyFill="1" applyBorder="1" applyAlignment="1">
      <alignment horizontal="center" vertical="center"/>
    </xf>
    <xf numFmtId="2" fontId="4" fillId="9" borderId="63" xfId="2" applyNumberFormat="1" applyFont="1" applyFill="1" applyBorder="1" applyAlignment="1">
      <alignment horizontal="center" vertical="center"/>
    </xf>
    <xf numFmtId="2" fontId="4" fillId="14" borderId="53" xfId="2" applyNumberFormat="1" applyFont="1" applyFill="1" applyBorder="1" applyAlignment="1">
      <alignment horizontal="center" vertical="center"/>
    </xf>
    <xf numFmtId="2" fontId="4" fillId="14" borderId="54" xfId="2" applyNumberFormat="1" applyFont="1" applyFill="1" applyBorder="1" applyAlignment="1">
      <alignment horizontal="center" vertical="center"/>
    </xf>
    <xf numFmtId="2" fontId="4" fillId="14" borderId="56" xfId="2" applyNumberFormat="1" applyFont="1" applyFill="1" applyBorder="1" applyAlignment="1">
      <alignment horizontal="center" vertical="center"/>
    </xf>
    <xf numFmtId="2" fontId="4" fillId="17" borderId="60" xfId="2" applyNumberFormat="1" applyFont="1" applyFill="1" applyBorder="1" applyAlignment="1">
      <alignment horizontal="center" vertical="center"/>
    </xf>
    <xf numFmtId="2" fontId="4" fillId="17" borderId="54" xfId="2" applyNumberFormat="1" applyFont="1" applyFill="1" applyBorder="1" applyAlignment="1">
      <alignment horizontal="center" vertical="center"/>
    </xf>
    <xf numFmtId="2" fontId="4" fillId="18" borderId="53" xfId="2" applyNumberFormat="1" applyFont="1" applyFill="1" applyBorder="1" applyAlignment="1">
      <alignment horizontal="center" vertical="center"/>
    </xf>
    <xf numFmtId="2" fontId="4" fillId="18" borderId="54" xfId="2" applyNumberFormat="1" applyFont="1" applyFill="1" applyBorder="1" applyAlignment="1">
      <alignment horizontal="center" vertical="center"/>
    </xf>
    <xf numFmtId="0" fontId="4" fillId="21" borderId="0" xfId="0" applyFont="1" applyFill="1" applyAlignment="1">
      <alignment vertical="center"/>
    </xf>
    <xf numFmtId="166" fontId="0" fillId="0" borderId="0" xfId="0" applyNumberFormat="1" applyAlignment="1">
      <alignment vertical="center"/>
    </xf>
    <xf numFmtId="0" fontId="16" fillId="21" borderId="44" xfId="0" applyFont="1" applyFill="1" applyBorder="1" applyAlignment="1">
      <alignment vertical="center" wrapText="1" readingOrder="1"/>
    </xf>
    <xf numFmtId="0" fontId="18" fillId="8" borderId="66" xfId="0" applyFont="1" applyFill="1" applyBorder="1" applyAlignment="1">
      <alignment horizontal="left" vertical="center" wrapText="1" readingOrder="1"/>
    </xf>
    <xf numFmtId="0" fontId="18" fillId="8" borderId="66" xfId="0" applyFont="1" applyFill="1" applyBorder="1" applyAlignment="1">
      <alignment horizontal="center" vertical="center" wrapText="1" readingOrder="1"/>
    </xf>
    <xf numFmtId="0" fontId="18" fillId="8" borderId="67" xfId="0" applyFont="1" applyFill="1" applyBorder="1" applyAlignment="1">
      <alignment horizontal="left" vertical="center" wrapText="1" readingOrder="1"/>
    </xf>
    <xf numFmtId="0" fontId="18" fillId="8" borderId="5" xfId="0" applyFont="1" applyFill="1" applyBorder="1" applyAlignment="1">
      <alignment horizontal="left" vertical="center" wrapText="1" readingOrder="1"/>
    </xf>
    <xf numFmtId="0" fontId="18" fillId="8" borderId="5" xfId="0" applyFont="1" applyFill="1" applyBorder="1" applyAlignment="1">
      <alignment horizontal="center" vertical="center" wrapText="1" readingOrder="1"/>
    </xf>
    <xf numFmtId="167" fontId="18" fillId="8" borderId="5" xfId="0" applyNumberFormat="1" applyFont="1" applyFill="1" applyBorder="1" applyAlignment="1">
      <alignment horizontal="center" vertical="center" wrapText="1" readingOrder="1"/>
    </xf>
    <xf numFmtId="0" fontId="18" fillId="8" borderId="68" xfId="0" applyFont="1" applyFill="1" applyBorder="1" applyAlignment="1">
      <alignment horizontal="left" vertical="center" wrapText="1" readingOrder="1"/>
    </xf>
    <xf numFmtId="0" fontId="19" fillId="8" borderId="5" xfId="0" applyFont="1" applyFill="1" applyBorder="1" applyAlignment="1">
      <alignment horizontal="left" vertical="center" wrapText="1" readingOrder="1"/>
    </xf>
    <xf numFmtId="0" fontId="18" fillId="6" borderId="5" xfId="0" applyFont="1" applyFill="1" applyBorder="1" applyAlignment="1">
      <alignment horizontal="left" vertical="center" wrapText="1" readingOrder="1"/>
    </xf>
    <xf numFmtId="0" fontId="19" fillId="6" borderId="5" xfId="0" applyFont="1" applyFill="1" applyBorder="1" applyAlignment="1">
      <alignment horizontal="left" vertical="center" wrapText="1" readingOrder="1"/>
    </xf>
    <xf numFmtId="0" fontId="18" fillId="6" borderId="5" xfId="0" applyFont="1" applyFill="1" applyBorder="1" applyAlignment="1">
      <alignment horizontal="center" vertical="center" wrapText="1" readingOrder="1"/>
    </xf>
    <xf numFmtId="0" fontId="19" fillId="9" borderId="5" xfId="0" applyFont="1" applyFill="1" applyBorder="1" applyAlignment="1">
      <alignment horizontal="left" vertical="center" wrapText="1" readingOrder="1"/>
    </xf>
    <xf numFmtId="0" fontId="18" fillId="9" borderId="5" xfId="0" applyFont="1" applyFill="1" applyBorder="1" applyAlignment="1">
      <alignment horizontal="left" vertical="center" wrapText="1" readingOrder="1"/>
    </xf>
    <xf numFmtId="0" fontId="25" fillId="8" borderId="5" xfId="0" applyFont="1" applyFill="1" applyBorder="1" applyAlignment="1">
      <alignment horizontal="left" vertical="center" wrapText="1" readingOrder="1"/>
    </xf>
    <xf numFmtId="0" fontId="21" fillId="8" borderId="5" xfId="0" applyFont="1" applyFill="1" applyBorder="1" applyAlignment="1">
      <alignment horizontal="center" vertical="center" wrapText="1" readingOrder="1"/>
    </xf>
    <xf numFmtId="0" fontId="21" fillId="6" borderId="5" xfId="0" applyFont="1" applyFill="1" applyBorder="1" applyAlignment="1">
      <alignment horizontal="center" vertical="center" wrapText="1" readingOrder="1"/>
    </xf>
    <xf numFmtId="167" fontId="21" fillId="8" borderId="5" xfId="0" applyNumberFormat="1" applyFont="1" applyFill="1" applyBorder="1" applyAlignment="1">
      <alignment horizontal="center" vertical="center" wrapText="1" readingOrder="1"/>
    </xf>
    <xf numFmtId="0" fontId="21" fillId="8" borderId="68" xfId="0" applyFont="1" applyFill="1" applyBorder="1" applyAlignment="1">
      <alignment horizontal="left" vertical="center" wrapText="1" readingOrder="1"/>
    </xf>
    <xf numFmtId="0" fontId="23" fillId="8" borderId="5" xfId="0" applyFont="1" applyFill="1" applyBorder="1" applyAlignment="1">
      <alignment horizontal="left" vertical="center" wrapText="1" readingOrder="1"/>
    </xf>
    <xf numFmtId="0" fontId="25" fillId="5" borderId="5" xfId="0" applyFont="1" applyFill="1" applyBorder="1" applyAlignment="1">
      <alignment horizontal="left" vertical="center" wrapText="1" readingOrder="1"/>
    </xf>
    <xf numFmtId="0" fontId="18" fillId="5" borderId="5" xfId="0" applyFont="1" applyFill="1" applyBorder="1" applyAlignment="1">
      <alignment horizontal="center" vertical="center" wrapText="1" readingOrder="1"/>
    </xf>
    <xf numFmtId="167" fontId="18" fillId="5" borderId="5" xfId="0" applyNumberFormat="1" applyFont="1" applyFill="1" applyBorder="1" applyAlignment="1">
      <alignment horizontal="center" vertical="center" wrapText="1" readingOrder="1"/>
    </xf>
    <xf numFmtId="0" fontId="18" fillId="5" borderId="68" xfId="0" applyFont="1" applyFill="1" applyBorder="1" applyAlignment="1">
      <alignment horizontal="left" vertical="center" wrapText="1" readingOrder="1"/>
    </xf>
    <xf numFmtId="0" fontId="25" fillId="13" borderId="5" xfId="0" applyFont="1" applyFill="1" applyBorder="1" applyAlignment="1">
      <alignment horizontal="left" vertical="center" wrapText="1" readingOrder="1"/>
    </xf>
    <xf numFmtId="0" fontId="18" fillId="13" borderId="5" xfId="0" applyFont="1" applyFill="1" applyBorder="1" applyAlignment="1">
      <alignment horizontal="center" vertical="center" wrapText="1" readingOrder="1"/>
    </xf>
    <xf numFmtId="0" fontId="18" fillId="13" borderId="68" xfId="0" applyFont="1" applyFill="1" applyBorder="1" applyAlignment="1">
      <alignment horizontal="left" vertical="center" wrapText="1" readingOrder="1"/>
    </xf>
    <xf numFmtId="0" fontId="25" fillId="10" borderId="5" xfId="0" applyFont="1" applyFill="1" applyBorder="1" applyAlignment="1">
      <alignment horizontal="left" vertical="center" wrapText="1" readingOrder="1"/>
    </xf>
    <xf numFmtId="0" fontId="18" fillId="10" borderId="5" xfId="0" applyFont="1" applyFill="1" applyBorder="1" applyAlignment="1">
      <alignment horizontal="center" vertical="center" wrapText="1" readingOrder="1"/>
    </xf>
    <xf numFmtId="167" fontId="18" fillId="10" borderId="5" xfId="0" applyNumberFormat="1" applyFont="1" applyFill="1" applyBorder="1" applyAlignment="1">
      <alignment horizontal="center" vertical="center" wrapText="1" readingOrder="1"/>
    </xf>
    <xf numFmtId="0" fontId="18" fillId="10" borderId="68" xfId="0" applyFont="1" applyFill="1" applyBorder="1" applyAlignment="1">
      <alignment horizontal="left" vertical="center" wrapText="1" readingOrder="1"/>
    </xf>
    <xf numFmtId="0" fontId="25" fillId="16" borderId="5" xfId="0" applyFont="1" applyFill="1" applyBorder="1" applyAlignment="1">
      <alignment horizontal="left" vertical="center" wrapText="1" readingOrder="1"/>
    </xf>
    <xf numFmtId="0" fontId="18" fillId="15" borderId="5" xfId="0" applyFont="1" applyFill="1" applyBorder="1" applyAlignment="1">
      <alignment horizontal="center" vertical="center" wrapText="1" readingOrder="1"/>
    </xf>
    <xf numFmtId="0" fontId="18" fillId="15" borderId="68" xfId="0" applyFont="1" applyFill="1" applyBorder="1" applyAlignment="1">
      <alignment horizontal="left" vertical="center" wrapText="1" readingOrder="1"/>
    </xf>
    <xf numFmtId="167" fontId="18" fillId="15" borderId="5" xfId="0" applyNumberFormat="1" applyFont="1" applyFill="1" applyBorder="1" applyAlignment="1">
      <alignment horizontal="center" vertical="center" wrapText="1" readingOrder="1"/>
    </xf>
    <xf numFmtId="0" fontId="18" fillId="16" borderId="5" xfId="0" applyFont="1" applyFill="1" applyBorder="1" applyAlignment="1">
      <alignment horizontal="center" vertical="center" wrapText="1" readingOrder="1"/>
    </xf>
    <xf numFmtId="0" fontId="18" fillId="16" borderId="68" xfId="0" applyFont="1" applyFill="1" applyBorder="1" applyAlignment="1">
      <alignment horizontal="left" vertical="center" wrapText="1" readingOrder="1"/>
    </xf>
    <xf numFmtId="0" fontId="25" fillId="20" borderId="5" xfId="0" applyFont="1" applyFill="1" applyBorder="1" applyAlignment="1">
      <alignment horizontal="left" vertical="center" wrapText="1" readingOrder="1"/>
    </xf>
    <xf numFmtId="0" fontId="18" fillId="20" borderId="5" xfId="0" applyFont="1" applyFill="1" applyBorder="1" applyAlignment="1">
      <alignment horizontal="center" vertical="center" wrapText="1" readingOrder="1"/>
    </xf>
    <xf numFmtId="167" fontId="18" fillId="20" borderId="5" xfId="0" applyNumberFormat="1" applyFont="1" applyFill="1" applyBorder="1" applyAlignment="1">
      <alignment horizontal="center" vertical="center" wrapText="1" readingOrder="1"/>
    </xf>
    <xf numFmtId="0" fontId="18" fillId="8" borderId="18" xfId="0" applyFont="1" applyFill="1" applyBorder="1" applyAlignment="1">
      <alignment horizontal="left" vertical="center" wrapText="1" readingOrder="1"/>
    </xf>
    <xf numFmtId="0" fontId="25" fillId="8" borderId="18" xfId="0" applyFont="1" applyFill="1" applyBorder="1" applyAlignment="1">
      <alignment horizontal="left" vertical="center" wrapText="1" readingOrder="1"/>
    </xf>
    <xf numFmtId="0" fontId="25" fillId="5" borderId="18" xfId="0" applyFont="1" applyFill="1" applyBorder="1" applyAlignment="1">
      <alignment horizontal="left" vertical="center" wrapText="1" readingOrder="1"/>
    </xf>
    <xf numFmtId="0" fontId="18" fillId="5" borderId="18" xfId="0" applyFont="1" applyFill="1" applyBorder="1" applyAlignment="1">
      <alignment horizontal="left" vertical="center" wrapText="1" readingOrder="1"/>
    </xf>
    <xf numFmtId="0" fontId="18" fillId="10" borderId="18" xfId="0" applyFont="1" applyFill="1" applyBorder="1" applyAlignment="1">
      <alignment horizontal="left" vertical="center" wrapText="1" readingOrder="1"/>
    </xf>
    <xf numFmtId="0" fontId="18" fillId="15" borderId="18" xfId="0" applyFont="1" applyFill="1" applyBorder="1" applyAlignment="1">
      <alignment horizontal="left" vertical="center" wrapText="1" readingOrder="1"/>
    </xf>
    <xf numFmtId="0" fontId="18" fillId="16" borderId="18" xfId="0" applyFont="1" applyFill="1" applyBorder="1" applyAlignment="1">
      <alignment horizontal="left" vertical="center" wrapText="1" readingOrder="1"/>
    </xf>
    <xf numFmtId="0" fontId="18" fillId="20" borderId="18" xfId="0" applyFont="1" applyFill="1" applyBorder="1" applyAlignment="1">
      <alignment horizontal="left" vertical="center" wrapText="1" readingOrder="1"/>
    </xf>
    <xf numFmtId="0" fontId="25" fillId="8" borderId="72" xfId="0" applyFont="1" applyFill="1" applyBorder="1" applyAlignment="1">
      <alignment horizontal="left" vertical="center" wrapText="1" readingOrder="1"/>
    </xf>
    <xf numFmtId="0" fontId="18" fillId="20" borderId="17" xfId="0" applyFont="1" applyFill="1" applyBorder="1" applyAlignment="1">
      <alignment horizontal="left" vertical="center" wrapText="1" readingOrder="1"/>
    </xf>
    <xf numFmtId="0" fontId="18" fillId="20" borderId="19" xfId="0" applyFont="1" applyFill="1" applyBorder="1" applyAlignment="1">
      <alignment horizontal="left" vertical="center" wrapText="1" readingOrder="1"/>
    </xf>
    <xf numFmtId="0" fontId="25" fillId="20" borderId="20" xfId="0" applyFont="1" applyFill="1" applyBorder="1" applyAlignment="1">
      <alignment horizontal="left" vertical="center" wrapText="1" readingOrder="1"/>
    </xf>
    <xf numFmtId="0" fontId="18" fillId="20" borderId="20" xfId="0" applyFont="1" applyFill="1" applyBorder="1" applyAlignment="1">
      <alignment horizontal="center" vertical="center" wrapText="1" readingOrder="1"/>
    </xf>
    <xf numFmtId="167" fontId="18" fillId="20" borderId="20" xfId="0" applyNumberFormat="1" applyFont="1" applyFill="1" applyBorder="1" applyAlignment="1">
      <alignment horizontal="center" vertical="center" wrapText="1" readingOrder="1"/>
    </xf>
    <xf numFmtId="0" fontId="18" fillId="20" borderId="21" xfId="0" applyFont="1" applyFill="1" applyBorder="1" applyAlignment="1">
      <alignment horizontal="left" vertical="center" wrapText="1" readingOrder="1"/>
    </xf>
    <xf numFmtId="0" fontId="18" fillId="8" borderId="43" xfId="0" applyFont="1" applyFill="1" applyBorder="1" applyAlignment="1">
      <alignment horizontal="left" vertical="center" wrapText="1" readingOrder="1"/>
    </xf>
    <xf numFmtId="0" fontId="18" fillId="8" borderId="72" xfId="0" applyFont="1" applyFill="1" applyBorder="1" applyAlignment="1">
      <alignment horizontal="left" vertical="center" wrapText="1" readingOrder="1"/>
    </xf>
    <xf numFmtId="0" fontId="18" fillId="8" borderId="72" xfId="0" applyFont="1" applyFill="1" applyBorder="1" applyAlignment="1">
      <alignment horizontal="center" vertical="center" wrapText="1" readingOrder="1"/>
    </xf>
    <xf numFmtId="167" fontId="18" fillId="8" borderId="72" xfId="0" applyNumberFormat="1" applyFont="1" applyFill="1" applyBorder="1" applyAlignment="1">
      <alignment horizontal="center" vertical="center" wrapText="1" readingOrder="1"/>
    </xf>
    <xf numFmtId="0" fontId="18" fillId="8" borderId="73" xfId="0" applyFont="1" applyFill="1" applyBorder="1" applyAlignment="1">
      <alignment horizontal="left" vertical="center" wrapText="1" readingOrder="1"/>
    </xf>
    <xf numFmtId="0" fontId="18" fillId="8" borderId="4" xfId="0" applyFont="1" applyFill="1" applyBorder="1" applyAlignment="1">
      <alignment horizontal="left" vertical="center" wrapText="1" readingOrder="1"/>
    </xf>
    <xf numFmtId="0" fontId="19" fillId="8" borderId="4" xfId="0" applyFont="1" applyFill="1" applyBorder="1" applyAlignment="1">
      <alignment horizontal="left" vertical="center" wrapText="1" readingOrder="1"/>
    </xf>
    <xf numFmtId="0" fontId="18" fillId="8" borderId="4" xfId="0" applyFont="1" applyFill="1" applyBorder="1" applyAlignment="1">
      <alignment horizontal="center" vertical="center" wrapText="1" readingOrder="1"/>
    </xf>
    <xf numFmtId="167" fontId="18" fillId="8" borderId="4" xfId="0" applyNumberFormat="1" applyFont="1" applyFill="1" applyBorder="1" applyAlignment="1">
      <alignment horizontal="center" vertical="center" wrapText="1" readingOrder="1"/>
    </xf>
    <xf numFmtId="0" fontId="18" fillId="8" borderId="74" xfId="0" applyFont="1" applyFill="1" applyBorder="1" applyAlignment="1">
      <alignment horizontal="left" vertical="center" wrapText="1" readingOrder="1"/>
    </xf>
    <xf numFmtId="0" fontId="18" fillId="8" borderId="14" xfId="0" applyFont="1" applyFill="1" applyBorder="1" applyAlignment="1">
      <alignment horizontal="left" vertical="center" wrapText="1" readingOrder="1"/>
    </xf>
    <xf numFmtId="0" fontId="18" fillId="8" borderId="14" xfId="0" applyFont="1" applyFill="1" applyBorder="1" applyAlignment="1">
      <alignment horizontal="center" vertical="center" wrapText="1" readingOrder="1"/>
    </xf>
    <xf numFmtId="0" fontId="18" fillId="6" borderId="14" xfId="0" applyFont="1" applyFill="1" applyBorder="1" applyAlignment="1">
      <alignment horizontal="center" vertical="center" wrapText="1" readingOrder="1"/>
    </xf>
    <xf numFmtId="167" fontId="18" fillId="8" borderId="14" xfId="0" applyNumberFormat="1" applyFont="1" applyFill="1" applyBorder="1" applyAlignment="1">
      <alignment horizontal="center" vertical="center" wrapText="1" readingOrder="1"/>
    </xf>
    <xf numFmtId="0" fontId="18" fillId="8" borderId="15" xfId="0" applyFont="1" applyFill="1" applyBorder="1" applyAlignment="1">
      <alignment horizontal="left" vertical="center" wrapText="1" readingOrder="1"/>
    </xf>
    <xf numFmtId="0" fontId="18" fillId="8" borderId="17" xfId="0" applyFont="1" applyFill="1" applyBorder="1" applyAlignment="1">
      <alignment horizontal="left" vertical="center" wrapText="1" readingOrder="1"/>
    </xf>
    <xf numFmtId="0" fontId="18" fillId="8" borderId="19" xfId="0" applyFont="1" applyFill="1" applyBorder="1" applyAlignment="1">
      <alignment horizontal="left" vertical="center" wrapText="1" readingOrder="1"/>
    </xf>
    <xf numFmtId="0" fontId="18" fillId="8" borderId="20" xfId="0" applyFont="1" applyFill="1" applyBorder="1" applyAlignment="1">
      <alignment horizontal="left" vertical="center" wrapText="1" readingOrder="1"/>
    </xf>
    <xf numFmtId="0" fontId="18" fillId="8" borderId="20" xfId="0" applyFont="1" applyFill="1" applyBorder="1" applyAlignment="1">
      <alignment horizontal="center" vertical="center" wrapText="1" readingOrder="1"/>
    </xf>
    <xf numFmtId="0" fontId="18" fillId="6" borderId="20" xfId="0" applyFont="1" applyFill="1" applyBorder="1" applyAlignment="1">
      <alignment horizontal="center" vertical="center" wrapText="1" readingOrder="1"/>
    </xf>
    <xf numFmtId="167" fontId="18" fillId="8" borderId="20" xfId="0" applyNumberFormat="1" applyFont="1" applyFill="1" applyBorder="1" applyAlignment="1">
      <alignment horizontal="center" vertical="center" wrapText="1" readingOrder="1"/>
    </xf>
    <xf numFmtId="0" fontId="18" fillId="8" borderId="21" xfId="0" applyFont="1" applyFill="1" applyBorder="1" applyAlignment="1">
      <alignment horizontal="left" vertical="center" wrapText="1" readingOrder="1"/>
    </xf>
    <xf numFmtId="0" fontId="18" fillId="9" borderId="72" xfId="0" applyFont="1" applyFill="1" applyBorder="1" applyAlignment="1">
      <alignment horizontal="left" vertical="center" wrapText="1" readingOrder="1"/>
    </xf>
    <xf numFmtId="0" fontId="25" fillId="8" borderId="38" xfId="0" applyFont="1" applyFill="1" applyBorder="1" applyAlignment="1">
      <alignment horizontal="left" vertical="center" wrapText="1" readingOrder="1"/>
    </xf>
    <xf numFmtId="0" fontId="25" fillId="8" borderId="4" xfId="0" applyFont="1" applyFill="1" applyBorder="1" applyAlignment="1">
      <alignment horizontal="left" vertical="center" wrapText="1" readingOrder="1"/>
    </xf>
    <xf numFmtId="0" fontId="21" fillId="8" borderId="4" xfId="0" applyFont="1" applyFill="1" applyBorder="1" applyAlignment="1">
      <alignment horizontal="center" vertical="center" wrapText="1" readingOrder="1"/>
    </xf>
    <xf numFmtId="0" fontId="21" fillId="6" borderId="4" xfId="0" applyFont="1" applyFill="1" applyBorder="1" applyAlignment="1">
      <alignment horizontal="center" vertical="center" wrapText="1" readingOrder="1"/>
    </xf>
    <xf numFmtId="167" fontId="21" fillId="8" borderId="4" xfId="0" applyNumberFormat="1" applyFont="1" applyFill="1" applyBorder="1" applyAlignment="1">
      <alignment horizontal="center" vertical="center" wrapText="1" readingOrder="1"/>
    </xf>
    <xf numFmtId="0" fontId="21" fillId="8" borderId="74" xfId="0" applyFont="1" applyFill="1" applyBorder="1" applyAlignment="1">
      <alignment horizontal="left" vertical="center" wrapText="1" readingOrder="1"/>
    </xf>
    <xf numFmtId="0" fontId="25" fillId="8" borderId="75" xfId="0" applyFont="1" applyFill="1" applyBorder="1" applyAlignment="1">
      <alignment horizontal="left" vertical="center" wrapText="1" readingOrder="1"/>
    </xf>
    <xf numFmtId="0" fontId="25" fillId="8" borderId="14" xfId="0" applyFont="1" applyFill="1" applyBorder="1" applyAlignment="1">
      <alignment horizontal="left" vertical="center" wrapText="1" readingOrder="1"/>
    </xf>
    <xf numFmtId="0" fontId="21" fillId="8" borderId="14" xfId="0" applyFont="1" applyFill="1" applyBorder="1" applyAlignment="1">
      <alignment horizontal="center" vertical="center" wrapText="1" readingOrder="1"/>
    </xf>
    <xf numFmtId="0" fontId="21" fillId="6" borderId="14" xfId="0" applyFont="1" applyFill="1" applyBorder="1" applyAlignment="1">
      <alignment horizontal="center" vertical="center" wrapText="1" readingOrder="1"/>
    </xf>
    <xf numFmtId="167" fontId="21" fillId="8" borderId="14" xfId="0" applyNumberFormat="1" applyFont="1" applyFill="1" applyBorder="1" applyAlignment="1">
      <alignment horizontal="center" vertical="center" wrapText="1" readingOrder="1"/>
    </xf>
    <xf numFmtId="0" fontId="21" fillId="8" borderId="15" xfId="0" applyFont="1" applyFill="1" applyBorder="1" applyAlignment="1">
      <alignment horizontal="left" vertical="center" wrapText="1" readingOrder="1"/>
    </xf>
    <xf numFmtId="0" fontId="21" fillId="8" borderId="17" xfId="0" applyFont="1" applyFill="1" applyBorder="1" applyAlignment="1">
      <alignment horizontal="left" vertical="center" wrapText="1" readingOrder="1"/>
    </xf>
    <xf numFmtId="0" fontId="21" fillId="8" borderId="19" xfId="0" applyFont="1" applyFill="1" applyBorder="1" applyAlignment="1">
      <alignment horizontal="left" vertical="center" wrapText="1" readingOrder="1"/>
    </xf>
    <xf numFmtId="0" fontId="25" fillId="8" borderId="20" xfId="0" applyFont="1" applyFill="1" applyBorder="1" applyAlignment="1">
      <alignment horizontal="left" vertical="center" wrapText="1" readingOrder="1"/>
    </xf>
    <xf numFmtId="0" fontId="21" fillId="8" borderId="20" xfId="0" applyFont="1" applyFill="1" applyBorder="1" applyAlignment="1">
      <alignment horizontal="center" vertical="center" wrapText="1" readingOrder="1"/>
    </xf>
    <xf numFmtId="167" fontId="21" fillId="8" borderId="20" xfId="0" applyNumberFormat="1" applyFont="1" applyFill="1" applyBorder="1" applyAlignment="1">
      <alignment horizontal="center" vertical="center" wrapText="1" readingOrder="1"/>
    </xf>
    <xf numFmtId="0" fontId="21" fillId="8" borderId="21" xfId="0" applyFont="1" applyFill="1" applyBorder="1" applyAlignment="1">
      <alignment horizontal="left" vertical="center" wrapText="1" readingOrder="1"/>
    </xf>
    <xf numFmtId="0" fontId="21" fillId="8" borderId="72" xfId="0" applyFont="1" applyFill="1" applyBorder="1" applyAlignment="1">
      <alignment horizontal="center" vertical="center" wrapText="1" readingOrder="1"/>
    </xf>
    <xf numFmtId="0" fontId="21" fillId="6" borderId="72" xfId="0" applyFont="1" applyFill="1" applyBorder="1" applyAlignment="1">
      <alignment horizontal="center" vertical="center" wrapText="1" readingOrder="1"/>
    </xf>
    <xf numFmtId="167" fontId="21" fillId="8" borderId="72" xfId="0" applyNumberFormat="1" applyFont="1" applyFill="1" applyBorder="1" applyAlignment="1">
      <alignment horizontal="center" vertical="center" wrapText="1" readingOrder="1"/>
    </xf>
    <xf numFmtId="0" fontId="21" fillId="8" borderId="73" xfId="0" applyFont="1" applyFill="1" applyBorder="1" applyAlignment="1">
      <alignment horizontal="left" vertical="center" wrapText="1" readingOrder="1"/>
    </xf>
    <xf numFmtId="0" fontId="23" fillId="8" borderId="4" xfId="0" applyFont="1" applyFill="1" applyBorder="1" applyAlignment="1">
      <alignment horizontal="left" vertical="center" wrapText="1" readingOrder="1"/>
    </xf>
    <xf numFmtId="0" fontId="23" fillId="8" borderId="14" xfId="0" applyFont="1" applyFill="1" applyBorder="1" applyAlignment="1">
      <alignment horizontal="left" vertical="center" wrapText="1" readingOrder="1"/>
    </xf>
    <xf numFmtId="0" fontId="23" fillId="8" borderId="20" xfId="0" applyFont="1" applyFill="1" applyBorder="1" applyAlignment="1">
      <alignment horizontal="left" vertical="center" wrapText="1" readingOrder="1"/>
    </xf>
    <xf numFmtId="0" fontId="23" fillId="8" borderId="72" xfId="0" applyFont="1" applyFill="1" applyBorder="1" applyAlignment="1">
      <alignment horizontal="left" vertical="center" wrapText="1" readingOrder="1"/>
    </xf>
    <xf numFmtId="0" fontId="18" fillId="5" borderId="38" xfId="0" applyFont="1" applyFill="1" applyBorder="1" applyAlignment="1">
      <alignment horizontal="left" vertical="center" wrapText="1" readingOrder="1"/>
    </xf>
    <xf numFmtId="0" fontId="25" fillId="5" borderId="4" xfId="0" applyFont="1" applyFill="1" applyBorder="1" applyAlignment="1">
      <alignment horizontal="left" vertical="center" wrapText="1" readingOrder="1"/>
    </xf>
    <xf numFmtId="0" fontId="18" fillId="5" borderId="4" xfId="0" applyFont="1" applyFill="1" applyBorder="1" applyAlignment="1">
      <alignment horizontal="center" vertical="center" wrapText="1" readingOrder="1"/>
    </xf>
    <xf numFmtId="0" fontId="18" fillId="6" borderId="4" xfId="0" applyFont="1" applyFill="1" applyBorder="1" applyAlignment="1">
      <alignment horizontal="center" vertical="center" wrapText="1" readingOrder="1"/>
    </xf>
    <xf numFmtId="167" fontId="18" fillId="5" borderId="4" xfId="0" applyNumberFormat="1" applyFont="1" applyFill="1" applyBorder="1" applyAlignment="1">
      <alignment horizontal="center" vertical="center" wrapText="1" readingOrder="1"/>
    </xf>
    <xf numFmtId="0" fontId="18" fillId="5" borderId="74" xfId="0" applyFont="1" applyFill="1" applyBorder="1" applyAlignment="1">
      <alignment horizontal="left" vertical="center" wrapText="1" readingOrder="1"/>
    </xf>
    <xf numFmtId="0" fontId="25" fillId="5" borderId="14" xfId="0" applyFont="1" applyFill="1" applyBorder="1" applyAlignment="1">
      <alignment horizontal="left" vertical="center" wrapText="1" readingOrder="1"/>
    </xf>
    <xf numFmtId="0" fontId="18" fillId="5" borderId="14" xfId="0" applyFont="1" applyFill="1" applyBorder="1" applyAlignment="1">
      <alignment horizontal="center" vertical="center" wrapText="1" readingOrder="1"/>
    </xf>
    <xf numFmtId="167" fontId="18" fillId="5" borderId="14" xfId="0" applyNumberFormat="1" applyFont="1" applyFill="1" applyBorder="1" applyAlignment="1">
      <alignment horizontal="center" vertical="center" wrapText="1" readingOrder="1"/>
    </xf>
    <xf numFmtId="0" fontId="18" fillId="5" borderId="15" xfId="0" applyFont="1" applyFill="1" applyBorder="1" applyAlignment="1">
      <alignment horizontal="left" vertical="center" wrapText="1" readingOrder="1"/>
    </xf>
    <xf numFmtId="0" fontId="18" fillId="5" borderId="17" xfId="0" applyFont="1" applyFill="1" applyBorder="1" applyAlignment="1">
      <alignment horizontal="left" vertical="center" wrapText="1" readingOrder="1"/>
    </xf>
    <xf numFmtId="0" fontId="25" fillId="5" borderId="19" xfId="0" applyFont="1" applyFill="1" applyBorder="1" applyAlignment="1">
      <alignment horizontal="left" vertical="center" wrapText="1" readingOrder="1"/>
    </xf>
    <xf numFmtId="0" fontId="25" fillId="5" borderId="20" xfId="0" applyFont="1" applyFill="1" applyBorder="1" applyAlignment="1">
      <alignment horizontal="left" vertical="center" wrapText="1" readingOrder="1"/>
    </xf>
    <xf numFmtId="0" fontId="18" fillId="5" borderId="20" xfId="0" applyFont="1" applyFill="1" applyBorder="1" applyAlignment="1">
      <alignment horizontal="center" vertical="center" wrapText="1" readingOrder="1"/>
    </xf>
    <xf numFmtId="167" fontId="18" fillId="5" borderId="20" xfId="0" applyNumberFormat="1" applyFont="1" applyFill="1" applyBorder="1" applyAlignment="1">
      <alignment horizontal="center" vertical="center" wrapText="1" readingOrder="1"/>
    </xf>
    <xf numFmtId="0" fontId="18" fillId="5" borderId="21" xfId="0" applyFont="1" applyFill="1" applyBorder="1" applyAlignment="1">
      <alignment horizontal="left" vertical="center" wrapText="1" readingOrder="1"/>
    </xf>
    <xf numFmtId="0" fontId="18" fillId="5" borderId="43" xfId="0" applyFont="1" applyFill="1" applyBorder="1" applyAlignment="1">
      <alignment horizontal="left" vertical="center" wrapText="1" readingOrder="1"/>
    </xf>
    <xf numFmtId="0" fontId="25" fillId="5" borderId="72" xfId="0" applyFont="1" applyFill="1" applyBorder="1" applyAlignment="1">
      <alignment horizontal="left" vertical="center" wrapText="1" readingOrder="1"/>
    </xf>
    <xf numFmtId="0" fontId="18" fillId="5" borderId="72" xfId="0" applyFont="1" applyFill="1" applyBorder="1" applyAlignment="1">
      <alignment horizontal="center" vertical="center" wrapText="1" readingOrder="1"/>
    </xf>
    <xf numFmtId="0" fontId="18" fillId="6" borderId="72" xfId="0" applyFont="1" applyFill="1" applyBorder="1" applyAlignment="1">
      <alignment horizontal="center" vertical="center" wrapText="1" readingOrder="1"/>
    </xf>
    <xf numFmtId="167" fontId="18" fillId="5" borderId="72" xfId="0" applyNumberFormat="1" applyFont="1" applyFill="1" applyBorder="1" applyAlignment="1">
      <alignment horizontal="center" vertical="center" wrapText="1" readingOrder="1"/>
    </xf>
    <xf numFmtId="0" fontId="18" fillId="5" borderId="73" xfId="0" applyFont="1" applyFill="1" applyBorder="1" applyAlignment="1">
      <alignment horizontal="left" vertical="center" wrapText="1" readingOrder="1"/>
    </xf>
    <xf numFmtId="0" fontId="18" fillId="5" borderId="75" xfId="0" applyFont="1" applyFill="1" applyBorder="1" applyAlignment="1">
      <alignment horizontal="left" vertical="center" wrapText="1" readingOrder="1"/>
    </xf>
    <xf numFmtId="0" fontId="18" fillId="5" borderId="19" xfId="0" applyFont="1" applyFill="1" applyBorder="1" applyAlignment="1">
      <alignment horizontal="left" vertical="center" wrapText="1" readingOrder="1"/>
    </xf>
    <xf numFmtId="0" fontId="23" fillId="5" borderId="72" xfId="0" applyFont="1" applyFill="1" applyBorder="1" applyAlignment="1">
      <alignment horizontal="left" vertical="center" wrapText="1" readingOrder="1"/>
    </xf>
    <xf numFmtId="0" fontId="25" fillId="13" borderId="4" xfId="0" applyFont="1" applyFill="1" applyBorder="1" applyAlignment="1">
      <alignment horizontal="left" vertical="center" wrapText="1" readingOrder="1"/>
    </xf>
    <xf numFmtId="0" fontId="18" fillId="13" borderId="4" xfId="0" applyFont="1" applyFill="1" applyBorder="1" applyAlignment="1">
      <alignment horizontal="center" vertical="center" wrapText="1" readingOrder="1"/>
    </xf>
    <xf numFmtId="0" fontId="18" fillId="13" borderId="74" xfId="0" applyFont="1" applyFill="1" applyBorder="1" applyAlignment="1">
      <alignment horizontal="left" vertical="center" wrapText="1" readingOrder="1"/>
    </xf>
    <xf numFmtId="0" fontId="25" fillId="13" borderId="72" xfId="0" applyFont="1" applyFill="1" applyBorder="1" applyAlignment="1">
      <alignment horizontal="left" vertical="center" wrapText="1" readingOrder="1"/>
    </xf>
    <xf numFmtId="0" fontId="18" fillId="13" borderId="72" xfId="0" applyFont="1" applyFill="1" applyBorder="1" applyAlignment="1">
      <alignment horizontal="center" vertical="center" wrapText="1" readingOrder="1"/>
    </xf>
    <xf numFmtId="0" fontId="18" fillId="13" borderId="73" xfId="0" applyFont="1" applyFill="1" applyBorder="1" applyAlignment="1">
      <alignment horizontal="left" vertical="center" wrapText="1" readingOrder="1"/>
    </xf>
    <xf numFmtId="0" fontId="25" fillId="13" borderId="14" xfId="0" applyFont="1" applyFill="1" applyBorder="1" applyAlignment="1">
      <alignment horizontal="left" vertical="center" wrapText="1" readingOrder="1"/>
    </xf>
    <xf numFmtId="0" fontId="18" fillId="13" borderId="14" xfId="0" applyFont="1" applyFill="1" applyBorder="1" applyAlignment="1">
      <alignment horizontal="center" vertical="center" wrapText="1" readingOrder="1"/>
    </xf>
    <xf numFmtId="0" fontId="18" fillId="13" borderId="15" xfId="0" applyFont="1" applyFill="1" applyBorder="1" applyAlignment="1">
      <alignment horizontal="left" vertical="center" wrapText="1" readingOrder="1"/>
    </xf>
    <xf numFmtId="0" fontId="18" fillId="13" borderId="17" xfId="0" applyFont="1" applyFill="1" applyBorder="1" applyAlignment="1">
      <alignment horizontal="left" vertical="center" wrapText="1" readingOrder="1"/>
    </xf>
    <xf numFmtId="0" fontId="25" fillId="13" borderId="20" xfId="0" applyFont="1" applyFill="1" applyBorder="1" applyAlignment="1">
      <alignment horizontal="left" vertical="center" wrapText="1" readingOrder="1"/>
    </xf>
    <xf numFmtId="0" fontId="18" fillId="13" borderId="20" xfId="0" applyFont="1" applyFill="1" applyBorder="1" applyAlignment="1">
      <alignment horizontal="center" vertical="center" wrapText="1" readingOrder="1"/>
    </xf>
    <xf numFmtId="0" fontId="18" fillId="13" borderId="21" xfId="0" applyFont="1" applyFill="1" applyBorder="1" applyAlignment="1">
      <alignment horizontal="left" vertical="center" wrapText="1" readingOrder="1"/>
    </xf>
    <xf numFmtId="0" fontId="18" fillId="10" borderId="4" xfId="0" applyFont="1" applyFill="1" applyBorder="1" applyAlignment="1">
      <alignment horizontal="center" vertical="center" wrapText="1" readingOrder="1"/>
    </xf>
    <xf numFmtId="167" fontId="18" fillId="10" borderId="4" xfId="0" applyNumberFormat="1" applyFont="1" applyFill="1" applyBorder="1" applyAlignment="1">
      <alignment horizontal="center" vertical="center" wrapText="1" readingOrder="1"/>
    </xf>
    <xf numFmtId="0" fontId="18" fillId="10" borderId="74" xfId="0" applyFont="1" applyFill="1" applyBorder="1" applyAlignment="1">
      <alignment horizontal="left" vertical="center" wrapText="1" readingOrder="1"/>
    </xf>
    <xf numFmtId="0" fontId="18" fillId="10" borderId="38" xfId="0" applyFont="1" applyFill="1" applyBorder="1" applyAlignment="1">
      <alignment horizontal="left" vertical="center" wrapText="1" readingOrder="1"/>
    </xf>
    <xf numFmtId="0" fontId="25" fillId="10" borderId="14" xfId="0" applyFont="1" applyFill="1" applyBorder="1" applyAlignment="1">
      <alignment horizontal="left" vertical="center" wrapText="1" readingOrder="1"/>
    </xf>
    <xf numFmtId="0" fontId="18" fillId="10" borderId="14" xfId="0" applyFont="1" applyFill="1" applyBorder="1" applyAlignment="1">
      <alignment horizontal="center" vertical="center" wrapText="1" readingOrder="1"/>
    </xf>
    <xf numFmtId="167" fontId="18" fillId="10" borderId="14" xfId="0" applyNumberFormat="1" applyFont="1" applyFill="1" applyBorder="1" applyAlignment="1">
      <alignment horizontal="center" vertical="center" wrapText="1" readingOrder="1"/>
    </xf>
    <xf numFmtId="0" fontId="18" fillId="10" borderId="15" xfId="0" applyFont="1" applyFill="1" applyBorder="1" applyAlignment="1">
      <alignment horizontal="left" vertical="center" wrapText="1" readingOrder="1"/>
    </xf>
    <xf numFmtId="0" fontId="18" fillId="10" borderId="17" xfId="0" applyFont="1" applyFill="1" applyBorder="1" applyAlignment="1">
      <alignment horizontal="left" vertical="center" wrapText="1" readingOrder="1"/>
    </xf>
    <xf numFmtId="0" fontId="18" fillId="10" borderId="19" xfId="0" applyFont="1" applyFill="1" applyBorder="1" applyAlignment="1">
      <alignment horizontal="left" vertical="center" wrapText="1" readingOrder="1"/>
    </xf>
    <xf numFmtId="0" fontId="25" fillId="10" borderId="20" xfId="0" applyFont="1" applyFill="1" applyBorder="1" applyAlignment="1">
      <alignment horizontal="left" vertical="center" wrapText="1" readingOrder="1"/>
    </xf>
    <xf numFmtId="0" fontId="18" fillId="10" borderId="20" xfId="0" applyFont="1" applyFill="1" applyBorder="1" applyAlignment="1">
      <alignment horizontal="center" vertical="center" wrapText="1" readingOrder="1"/>
    </xf>
    <xf numFmtId="167" fontId="18" fillId="10" borderId="20" xfId="0" applyNumberFormat="1" applyFont="1" applyFill="1" applyBorder="1" applyAlignment="1">
      <alignment horizontal="center" vertical="center" wrapText="1" readingOrder="1"/>
    </xf>
    <xf numFmtId="0" fontId="18" fillId="10" borderId="21" xfId="0" applyFont="1" applyFill="1" applyBorder="1" applyAlignment="1">
      <alignment horizontal="left" vertical="center" wrapText="1" readingOrder="1"/>
    </xf>
    <xf numFmtId="0" fontId="18" fillId="10" borderId="43" xfId="0" applyFont="1" applyFill="1" applyBorder="1" applyAlignment="1">
      <alignment horizontal="left" vertical="center" wrapText="1" readingOrder="1"/>
    </xf>
    <xf numFmtId="0" fontId="18" fillId="10" borderId="72" xfId="0" applyFont="1" applyFill="1" applyBorder="1" applyAlignment="1">
      <alignment horizontal="center" vertical="center" wrapText="1" readingOrder="1"/>
    </xf>
    <xf numFmtId="167" fontId="18" fillId="10" borderId="72" xfId="0" applyNumberFormat="1" applyFont="1" applyFill="1" applyBorder="1" applyAlignment="1">
      <alignment horizontal="center" vertical="center" wrapText="1" readingOrder="1"/>
    </xf>
    <xf numFmtId="0" fontId="18" fillId="10" borderId="73" xfId="0" applyFont="1" applyFill="1" applyBorder="1" applyAlignment="1">
      <alignment horizontal="left" vertical="center" wrapText="1" readingOrder="1"/>
    </xf>
    <xf numFmtId="0" fontId="18" fillId="15" borderId="38" xfId="0" applyFont="1" applyFill="1" applyBorder="1" applyAlignment="1">
      <alignment horizontal="left" vertical="center" wrapText="1" readingOrder="1"/>
    </xf>
    <xf numFmtId="0" fontId="18" fillId="15" borderId="4" xfId="0" applyFont="1" applyFill="1" applyBorder="1" applyAlignment="1">
      <alignment horizontal="center" vertical="center" wrapText="1" readingOrder="1"/>
    </xf>
    <xf numFmtId="0" fontId="18" fillId="15" borderId="74" xfId="0" applyFont="1" applyFill="1" applyBorder="1" applyAlignment="1">
      <alignment horizontal="left" vertical="center" wrapText="1" readingOrder="1"/>
    </xf>
    <xf numFmtId="0" fontId="18" fillId="10" borderId="75" xfId="0" applyFont="1" applyFill="1" applyBorder="1" applyAlignment="1">
      <alignment horizontal="left" vertical="center" wrapText="1" readingOrder="1"/>
    </xf>
    <xf numFmtId="0" fontId="18" fillId="15" borderId="43" xfId="0" applyFont="1" applyFill="1" applyBorder="1" applyAlignment="1">
      <alignment horizontal="left" vertical="center" wrapText="1" readingOrder="1"/>
    </xf>
    <xf numFmtId="0" fontId="18" fillId="15" borderId="72" xfId="0" applyFont="1" applyFill="1" applyBorder="1" applyAlignment="1">
      <alignment horizontal="center" vertical="center" wrapText="1" readingOrder="1"/>
    </xf>
    <xf numFmtId="0" fontId="18" fillId="15" borderId="73" xfId="0" applyFont="1" applyFill="1" applyBorder="1" applyAlignment="1">
      <alignment horizontal="left" vertical="center" wrapText="1" readingOrder="1"/>
    </xf>
    <xf numFmtId="0" fontId="18" fillId="15" borderId="14" xfId="0" applyFont="1" applyFill="1" applyBorder="1" applyAlignment="1">
      <alignment horizontal="center" vertical="center" wrapText="1" readingOrder="1"/>
    </xf>
    <xf numFmtId="0" fontId="18" fillId="15" borderId="15" xfId="0" applyFont="1" applyFill="1" applyBorder="1" applyAlignment="1">
      <alignment horizontal="center" vertical="center" wrapText="1" readingOrder="1"/>
    </xf>
    <xf numFmtId="0" fontId="18" fillId="15" borderId="17" xfId="0" applyFont="1" applyFill="1" applyBorder="1" applyAlignment="1">
      <alignment horizontal="center" vertical="center" wrapText="1" readingOrder="1"/>
    </xf>
    <xf numFmtId="0" fontId="18" fillId="15" borderId="31" xfId="0" applyFont="1" applyFill="1" applyBorder="1" applyAlignment="1">
      <alignment horizontal="center" vertical="center" wrapText="1" readingOrder="1"/>
    </xf>
    <xf numFmtId="0" fontId="4" fillId="19" borderId="76" xfId="0" applyFont="1" applyFill="1" applyBorder="1" applyAlignment="1">
      <alignment horizontal="center" vertical="center"/>
    </xf>
    <xf numFmtId="0" fontId="4" fillId="19" borderId="77" xfId="0" applyFont="1" applyFill="1" applyBorder="1" applyAlignment="1">
      <alignment vertical="center"/>
    </xf>
    <xf numFmtId="2" fontId="4" fillId="19" borderId="77" xfId="2" applyNumberFormat="1" applyFont="1" applyFill="1" applyBorder="1" applyAlignment="1">
      <alignment horizontal="center" vertical="center"/>
    </xf>
    <xf numFmtId="166" fontId="4" fillId="19" borderId="78" xfId="0" applyNumberFormat="1" applyFont="1" applyFill="1" applyBorder="1" applyAlignment="1">
      <alignment horizontal="center" vertical="center" wrapText="1"/>
    </xf>
    <xf numFmtId="0" fontId="4" fillId="21" borderId="80" xfId="0" applyFont="1" applyFill="1" applyBorder="1" applyAlignment="1">
      <alignment vertical="center"/>
    </xf>
    <xf numFmtId="2" fontId="4" fillId="21" borderId="80" xfId="2" applyNumberFormat="1" applyFont="1" applyFill="1" applyBorder="1" applyAlignment="1">
      <alignment horizontal="center" vertical="center"/>
    </xf>
    <xf numFmtId="166" fontId="4" fillId="21" borderId="81" xfId="0" applyNumberFormat="1" applyFont="1" applyFill="1" applyBorder="1" applyAlignment="1">
      <alignment horizontal="center" vertical="center" wrapText="1"/>
    </xf>
    <xf numFmtId="0" fontId="25" fillId="15" borderId="4" xfId="0" applyFont="1" applyFill="1" applyBorder="1" applyAlignment="1">
      <alignment horizontal="left" vertical="center" wrapText="1" readingOrder="1"/>
    </xf>
    <xf numFmtId="0" fontId="25" fillId="15" borderId="5" xfId="0" applyFont="1" applyFill="1" applyBorder="1" applyAlignment="1">
      <alignment horizontal="left" vertical="center" wrapText="1" readingOrder="1"/>
    </xf>
    <xf numFmtId="0" fontId="23" fillId="15" borderId="72" xfId="0" applyFont="1" applyFill="1" applyBorder="1" applyAlignment="1">
      <alignment horizontal="left" vertical="center" wrapText="1" readingOrder="1"/>
    </xf>
    <xf numFmtId="0" fontId="25" fillId="15" borderId="72" xfId="0" applyFont="1" applyFill="1" applyBorder="1" applyAlignment="1">
      <alignment horizontal="left" vertical="center" wrapText="1" readingOrder="1"/>
    </xf>
    <xf numFmtId="0" fontId="25" fillId="15" borderId="14" xfId="0" applyFont="1" applyFill="1" applyBorder="1" applyAlignment="1">
      <alignment horizontal="left" vertical="center" wrapText="1" readingOrder="1"/>
    </xf>
    <xf numFmtId="0" fontId="25" fillId="10" borderId="4" xfId="0" applyFont="1" applyFill="1" applyBorder="1" applyAlignment="1">
      <alignment horizontal="left" vertical="center" wrapText="1" readingOrder="1"/>
    </xf>
    <xf numFmtId="0" fontId="25" fillId="10" borderId="72" xfId="0" applyFont="1" applyFill="1" applyBorder="1" applyAlignment="1">
      <alignment horizontal="left" vertical="center" wrapText="1" readingOrder="1"/>
    </xf>
    <xf numFmtId="0" fontId="23" fillId="10" borderId="20" xfId="0" applyFont="1" applyFill="1" applyBorder="1" applyAlignment="1">
      <alignment horizontal="left" vertical="center" wrapText="1" readingOrder="1"/>
    </xf>
    <xf numFmtId="0" fontId="18" fillId="15" borderId="75" xfId="0" applyFont="1" applyFill="1" applyBorder="1" applyAlignment="1">
      <alignment horizontal="left" vertical="center" wrapText="1" readingOrder="1"/>
    </xf>
    <xf numFmtId="0" fontId="19" fillId="13" borderId="5" xfId="0" applyFont="1" applyFill="1" applyBorder="1" applyAlignment="1">
      <alignment horizontal="left" vertical="center" wrapText="1" readingOrder="1"/>
    </xf>
    <xf numFmtId="0" fontId="18" fillId="13" borderId="18" xfId="0" applyFont="1" applyFill="1" applyBorder="1" applyAlignment="1">
      <alignment horizontal="left" vertical="center" wrapText="1" readingOrder="1"/>
    </xf>
    <xf numFmtId="0" fontId="18" fillId="13" borderId="43" xfId="0" applyFont="1" applyFill="1" applyBorder="1" applyAlignment="1">
      <alignment horizontal="left" vertical="center" wrapText="1" readingOrder="1"/>
    </xf>
    <xf numFmtId="0" fontId="18" fillId="13" borderId="75" xfId="0" applyFont="1" applyFill="1" applyBorder="1" applyAlignment="1">
      <alignment horizontal="left" vertical="center" wrapText="1" readingOrder="1"/>
    </xf>
    <xf numFmtId="0" fontId="18" fillId="13" borderId="19" xfId="0" applyFont="1" applyFill="1" applyBorder="1" applyAlignment="1">
      <alignment horizontal="left" vertical="center" wrapText="1" readingOrder="1"/>
    </xf>
    <xf numFmtId="0" fontId="18" fillId="13" borderId="38" xfId="0" applyFont="1" applyFill="1" applyBorder="1" applyAlignment="1">
      <alignment horizontal="left" vertical="center" wrapText="1" readingOrder="1"/>
    </xf>
    <xf numFmtId="167" fontId="18" fillId="13" borderId="4" xfId="0" applyNumberFormat="1" applyFont="1" applyFill="1" applyBorder="1" applyAlignment="1">
      <alignment horizontal="center" vertical="center" wrapText="1" readingOrder="1"/>
    </xf>
    <xf numFmtId="167" fontId="18" fillId="13" borderId="5" xfId="0" applyNumberFormat="1" applyFont="1" applyFill="1" applyBorder="1" applyAlignment="1">
      <alignment horizontal="center" vertical="center" wrapText="1" readingOrder="1"/>
    </xf>
    <xf numFmtId="167" fontId="18" fillId="13" borderId="72" xfId="0" applyNumberFormat="1" applyFont="1" applyFill="1" applyBorder="1" applyAlignment="1">
      <alignment horizontal="center" vertical="center" wrapText="1" readingOrder="1"/>
    </xf>
    <xf numFmtId="167" fontId="18" fillId="13" borderId="14" xfId="0" applyNumberFormat="1" applyFont="1" applyFill="1" applyBorder="1" applyAlignment="1">
      <alignment horizontal="center" vertical="center" wrapText="1" readingOrder="1"/>
    </xf>
    <xf numFmtId="167" fontId="18" fillId="13" borderId="20" xfId="0" applyNumberFormat="1" applyFont="1" applyFill="1" applyBorder="1" applyAlignment="1">
      <alignment horizontal="center" vertical="center" wrapText="1" readingOrder="1"/>
    </xf>
    <xf numFmtId="0" fontId="18" fillId="15" borderId="43" xfId="0" applyFont="1" applyFill="1" applyBorder="1" applyAlignment="1">
      <alignment horizontal="center" vertical="center" wrapText="1" readingOrder="1"/>
    </xf>
    <xf numFmtId="0" fontId="18" fillId="15" borderId="82" xfId="0" applyFont="1" applyFill="1" applyBorder="1" applyAlignment="1">
      <alignment horizontal="center" vertical="center" wrapText="1" readingOrder="1"/>
    </xf>
    <xf numFmtId="0" fontId="18" fillId="20" borderId="38" xfId="0" applyFont="1" applyFill="1" applyBorder="1" applyAlignment="1">
      <alignment horizontal="left" vertical="center" wrapText="1" readingOrder="1"/>
    </xf>
    <xf numFmtId="0" fontId="25" fillId="20" borderId="4" xfId="0" applyFont="1" applyFill="1" applyBorder="1" applyAlignment="1">
      <alignment horizontal="left" vertical="center" wrapText="1" readingOrder="1"/>
    </xf>
    <xf numFmtId="0" fontId="18" fillId="20" borderId="4" xfId="0" applyFont="1" applyFill="1" applyBorder="1" applyAlignment="1">
      <alignment horizontal="center" vertical="center" wrapText="1" readingOrder="1"/>
    </xf>
    <xf numFmtId="167" fontId="18" fillId="20" borderId="4" xfId="0" applyNumberFormat="1" applyFont="1" applyFill="1" applyBorder="1" applyAlignment="1">
      <alignment horizontal="center" vertical="center" wrapText="1" readingOrder="1"/>
    </xf>
    <xf numFmtId="0" fontId="18" fillId="20" borderId="31" xfId="0" applyFont="1" applyFill="1" applyBorder="1" applyAlignment="1">
      <alignment horizontal="left" vertical="center" wrapText="1" readingOrder="1"/>
    </xf>
    <xf numFmtId="0" fontId="18" fillId="16" borderId="85" xfId="0" applyFont="1" applyFill="1" applyBorder="1" applyAlignment="1">
      <alignment horizontal="left" vertical="center" wrapText="1" readingOrder="1"/>
    </xf>
    <xf numFmtId="0" fontId="25" fillId="16" borderId="86" xfId="0" applyFont="1" applyFill="1" applyBorder="1" applyAlignment="1">
      <alignment horizontal="left" vertical="center" wrapText="1" readingOrder="1"/>
    </xf>
    <xf numFmtId="0" fontId="18" fillId="16" borderId="86" xfId="0" applyFont="1" applyFill="1" applyBorder="1" applyAlignment="1">
      <alignment horizontal="center" vertical="center" wrapText="1" readingOrder="1"/>
    </xf>
    <xf numFmtId="0" fontId="18" fillId="16" borderId="88" xfId="0" applyFont="1" applyFill="1" applyBorder="1" applyAlignment="1">
      <alignment horizontal="left" vertical="center" wrapText="1" readingOrder="1"/>
    </xf>
    <xf numFmtId="0" fontId="16" fillId="19" borderId="89" xfId="0" applyFont="1" applyFill="1" applyBorder="1" applyAlignment="1">
      <alignment horizontal="center" vertical="center" wrapText="1" readingOrder="1"/>
    </xf>
    <xf numFmtId="0" fontId="18" fillId="16" borderId="91" xfId="0" applyFont="1" applyFill="1" applyBorder="1" applyAlignment="1">
      <alignment horizontal="left" vertical="center" wrapText="1" readingOrder="1"/>
    </xf>
    <xf numFmtId="0" fontId="25" fillId="16" borderId="92" xfId="0" applyFont="1" applyFill="1" applyBorder="1" applyAlignment="1">
      <alignment horizontal="left" vertical="center" wrapText="1" readingOrder="1"/>
    </xf>
    <xf numFmtId="0" fontId="18" fillId="16" borderId="92" xfId="0" applyFont="1" applyFill="1" applyBorder="1" applyAlignment="1">
      <alignment horizontal="center" vertical="center" wrapText="1" readingOrder="1"/>
    </xf>
    <xf numFmtId="0" fontId="18" fillId="16" borderId="94" xfId="0" applyFont="1" applyFill="1" applyBorder="1" applyAlignment="1">
      <alignment horizontal="left" vertical="center" wrapText="1" readingOrder="1"/>
    </xf>
    <xf numFmtId="0" fontId="18" fillId="10" borderId="85" xfId="0" applyFont="1" applyFill="1" applyBorder="1" applyAlignment="1">
      <alignment horizontal="left" vertical="center" wrapText="1" readingOrder="1"/>
    </xf>
    <xf numFmtId="0" fontId="25" fillId="10" borderId="86" xfId="0" applyFont="1" applyFill="1" applyBorder="1" applyAlignment="1">
      <alignment horizontal="left" vertical="center" wrapText="1" readingOrder="1"/>
    </xf>
    <xf numFmtId="0" fontId="18" fillId="10" borderId="86" xfId="0" applyFont="1" applyFill="1" applyBorder="1" applyAlignment="1">
      <alignment horizontal="center" vertical="center" wrapText="1" readingOrder="1"/>
    </xf>
    <xf numFmtId="167" fontId="18" fillId="10" borderId="86" xfId="0" applyNumberFormat="1" applyFont="1" applyFill="1" applyBorder="1" applyAlignment="1">
      <alignment horizontal="center" vertical="center" wrapText="1" readingOrder="1"/>
    </xf>
    <xf numFmtId="0" fontId="18" fillId="10" borderId="96" xfId="0" applyFont="1" applyFill="1" applyBorder="1" applyAlignment="1">
      <alignment horizontal="left" vertical="center" wrapText="1" readingOrder="1"/>
    </xf>
    <xf numFmtId="0" fontId="18" fillId="10" borderId="91" xfId="0" applyFont="1" applyFill="1" applyBorder="1" applyAlignment="1">
      <alignment horizontal="left" vertical="center" wrapText="1" readingOrder="1"/>
    </xf>
    <xf numFmtId="0" fontId="25" fillId="10" borderId="92" xfId="0" applyFont="1" applyFill="1" applyBorder="1" applyAlignment="1">
      <alignment horizontal="left" vertical="center" wrapText="1" readingOrder="1"/>
    </xf>
    <xf numFmtId="0" fontId="18" fillId="10" borderId="92" xfId="0" applyFont="1" applyFill="1" applyBorder="1" applyAlignment="1">
      <alignment horizontal="center" vertical="center" wrapText="1" readingOrder="1"/>
    </xf>
    <xf numFmtId="167" fontId="18" fillId="10" borderId="92" xfId="0" applyNumberFormat="1" applyFont="1" applyFill="1" applyBorder="1" applyAlignment="1">
      <alignment horizontal="center" vertical="center" wrapText="1" readingOrder="1"/>
    </xf>
    <xf numFmtId="0" fontId="18" fillId="10" borderId="98" xfId="0" applyFont="1" applyFill="1" applyBorder="1" applyAlignment="1">
      <alignment horizontal="left" vertical="center" wrapText="1" readingOrder="1"/>
    </xf>
    <xf numFmtId="0" fontId="18" fillId="5" borderId="82" xfId="0" applyFont="1" applyFill="1" applyBorder="1" applyAlignment="1">
      <alignment horizontal="left" vertical="center" wrapText="1" readingOrder="1"/>
    </xf>
    <xf numFmtId="0" fontId="19" fillId="13" borderId="86" xfId="0" applyFont="1" applyFill="1" applyBorder="1" applyAlignment="1">
      <alignment horizontal="left" vertical="center" wrapText="1" readingOrder="1"/>
    </xf>
    <xf numFmtId="0" fontId="18" fillId="13" borderId="86" xfId="0" applyFont="1" applyFill="1" applyBorder="1" applyAlignment="1">
      <alignment horizontal="center" vertical="center" wrapText="1" readingOrder="1"/>
    </xf>
    <xf numFmtId="167" fontId="18" fillId="13" borderId="86" xfId="0" applyNumberFormat="1" applyFont="1" applyFill="1" applyBorder="1" applyAlignment="1">
      <alignment horizontal="center" vertical="center" wrapText="1" readingOrder="1"/>
    </xf>
    <xf numFmtId="0" fontId="18" fillId="13" borderId="88" xfId="0" applyFont="1" applyFill="1" applyBorder="1" applyAlignment="1">
      <alignment horizontal="left" vertical="center" wrapText="1" readingOrder="1"/>
    </xf>
    <xf numFmtId="0" fontId="18" fillId="13" borderId="91" xfId="0" applyFont="1" applyFill="1" applyBorder="1" applyAlignment="1">
      <alignment horizontal="left" vertical="center" wrapText="1" readingOrder="1"/>
    </xf>
    <xf numFmtId="0" fontId="25" fillId="13" borderId="92" xfId="0" applyFont="1" applyFill="1" applyBorder="1" applyAlignment="1">
      <alignment horizontal="left" vertical="center" wrapText="1" readingOrder="1"/>
    </xf>
    <xf numFmtId="0" fontId="18" fillId="13" borderId="92" xfId="0" applyFont="1" applyFill="1" applyBorder="1" applyAlignment="1">
      <alignment horizontal="center" vertical="center" wrapText="1" readingOrder="1"/>
    </xf>
    <xf numFmtId="167" fontId="18" fillId="13" borderId="92" xfId="0" applyNumberFormat="1" applyFont="1" applyFill="1" applyBorder="1" applyAlignment="1">
      <alignment horizontal="center" vertical="center" wrapText="1" readingOrder="1"/>
    </xf>
    <xf numFmtId="0" fontId="18" fillId="13" borderId="98" xfId="0" applyFont="1" applyFill="1" applyBorder="1" applyAlignment="1">
      <alignment horizontal="left" vertical="center" wrapText="1" readingOrder="1"/>
    </xf>
    <xf numFmtId="0" fontId="25" fillId="5" borderId="38" xfId="0" applyFont="1" applyFill="1" applyBorder="1" applyAlignment="1">
      <alignment horizontal="left" vertical="center" wrapText="1" readingOrder="1"/>
    </xf>
    <xf numFmtId="0" fontId="18" fillId="5" borderId="31" xfId="0" applyFont="1" applyFill="1" applyBorder="1" applyAlignment="1">
      <alignment horizontal="left" vertical="center" wrapText="1" readingOrder="1"/>
    </xf>
    <xf numFmtId="0" fontId="19" fillId="8" borderId="91" xfId="0" applyFont="1" applyFill="1" applyBorder="1" applyAlignment="1">
      <alignment horizontal="left" vertical="center" wrapText="1" readingOrder="1"/>
    </xf>
    <xf numFmtId="0" fontId="23" fillId="8" borderId="92" xfId="0" applyFont="1" applyFill="1" applyBorder="1" applyAlignment="1">
      <alignment horizontal="left" vertical="center" wrapText="1" readingOrder="1"/>
    </xf>
    <xf numFmtId="0" fontId="21" fillId="8" borderId="92" xfId="0" applyFont="1" applyFill="1" applyBorder="1" applyAlignment="1">
      <alignment horizontal="center" vertical="center" wrapText="1" readingOrder="1"/>
    </xf>
    <xf numFmtId="167" fontId="21" fillId="8" borderId="92" xfId="0" applyNumberFormat="1" applyFont="1" applyFill="1" applyBorder="1" applyAlignment="1">
      <alignment horizontal="center" vertical="center" wrapText="1" readingOrder="1"/>
    </xf>
    <xf numFmtId="0" fontId="21" fillId="8" borderId="94" xfId="0" applyFont="1" applyFill="1" applyBorder="1" applyAlignment="1">
      <alignment horizontal="left" vertical="center" wrapText="1" readingOrder="1"/>
    </xf>
    <xf numFmtId="10" fontId="0" fillId="0" borderId="0" xfId="1" applyNumberFormat="1" applyFont="1" applyFill="1"/>
    <xf numFmtId="10" fontId="11" fillId="0" borderId="99" xfId="1" applyNumberFormat="1" applyFont="1" applyFill="1" applyBorder="1"/>
    <xf numFmtId="170" fontId="0" fillId="0" borderId="0" xfId="2" applyNumberFormat="1" applyFont="1" applyFill="1"/>
    <xf numFmtId="171" fontId="0" fillId="0" borderId="0" xfId="0" applyNumberFormat="1"/>
    <xf numFmtId="9" fontId="0" fillId="0" borderId="0" xfId="1" applyFont="1" applyFill="1"/>
    <xf numFmtId="0" fontId="26" fillId="0" borderId="0" xfId="0" applyFont="1"/>
    <xf numFmtId="0" fontId="0" fillId="2" borderId="0" xfId="0" applyFill="1" applyAlignment="1">
      <alignment horizontal="right"/>
    </xf>
    <xf numFmtId="0" fontId="0" fillId="2" borderId="0" xfId="0" applyFill="1" applyAlignment="1">
      <alignment horizontal="left"/>
    </xf>
    <xf numFmtId="165" fontId="18" fillId="8" borderId="66" xfId="0" applyNumberFormat="1" applyFont="1" applyFill="1" applyBorder="1" applyAlignment="1">
      <alignment horizontal="center" vertical="center" wrapText="1" readingOrder="1"/>
    </xf>
    <xf numFmtId="165" fontId="18" fillId="8" borderId="5" xfId="0" applyNumberFormat="1" applyFont="1" applyFill="1" applyBorder="1" applyAlignment="1">
      <alignment horizontal="center" vertical="center" wrapText="1" readingOrder="1"/>
    </xf>
    <xf numFmtId="165" fontId="18" fillId="8" borderId="72" xfId="0" applyNumberFormat="1" applyFont="1" applyFill="1" applyBorder="1" applyAlignment="1">
      <alignment horizontal="center" vertical="center" wrapText="1" readingOrder="1"/>
    </xf>
    <xf numFmtId="165" fontId="18" fillId="8" borderId="14" xfId="0" applyNumberFormat="1" applyFont="1" applyFill="1" applyBorder="1" applyAlignment="1">
      <alignment horizontal="center" vertical="center" wrapText="1" readingOrder="1"/>
    </xf>
    <xf numFmtId="165" fontId="18" fillId="8" borderId="20" xfId="0" applyNumberFormat="1" applyFont="1" applyFill="1" applyBorder="1" applyAlignment="1">
      <alignment horizontal="center" vertical="center" wrapText="1" readingOrder="1"/>
    </xf>
    <xf numFmtId="165" fontId="18" fillId="8" borderId="4" xfId="0" applyNumberFormat="1" applyFont="1" applyFill="1" applyBorder="1" applyAlignment="1">
      <alignment horizontal="center" vertical="center" wrapText="1" readingOrder="1"/>
    </xf>
    <xf numFmtId="165" fontId="21" fillId="8" borderId="14" xfId="0" applyNumberFormat="1" applyFont="1" applyFill="1" applyBorder="1" applyAlignment="1">
      <alignment horizontal="center" vertical="center" wrapText="1" readingOrder="1"/>
    </xf>
    <xf numFmtId="165" fontId="21" fillId="8" borderId="5" xfId="0" applyNumberFormat="1" applyFont="1" applyFill="1" applyBorder="1" applyAlignment="1">
      <alignment horizontal="center" vertical="center" wrapText="1" readingOrder="1"/>
    </xf>
    <xf numFmtId="165" fontId="21" fillId="8" borderId="20" xfId="0" applyNumberFormat="1" applyFont="1" applyFill="1" applyBorder="1" applyAlignment="1">
      <alignment horizontal="center" vertical="center" wrapText="1" readingOrder="1"/>
    </xf>
    <xf numFmtId="165" fontId="21" fillId="8" borderId="4" xfId="0" applyNumberFormat="1" applyFont="1" applyFill="1" applyBorder="1" applyAlignment="1">
      <alignment horizontal="center" vertical="center" wrapText="1" readingOrder="1"/>
    </xf>
    <xf numFmtId="165" fontId="21" fillId="8" borderId="72" xfId="0" applyNumberFormat="1" applyFont="1" applyFill="1" applyBorder="1" applyAlignment="1">
      <alignment horizontal="center" vertical="center" wrapText="1" readingOrder="1"/>
    </xf>
    <xf numFmtId="165" fontId="21" fillId="8" borderId="92" xfId="0" applyNumberFormat="1" applyFont="1" applyFill="1" applyBorder="1" applyAlignment="1">
      <alignment horizontal="center" vertical="center" wrapText="1" readingOrder="1"/>
    </xf>
    <xf numFmtId="165" fontId="18" fillId="5" borderId="4" xfId="0" applyNumberFormat="1" applyFont="1" applyFill="1" applyBorder="1" applyAlignment="1">
      <alignment horizontal="center" vertical="center" wrapText="1" readingOrder="1"/>
    </xf>
    <xf numFmtId="165" fontId="18" fillId="5" borderId="5" xfId="0" applyNumberFormat="1" applyFont="1" applyFill="1" applyBorder="1" applyAlignment="1">
      <alignment horizontal="center" vertical="center" wrapText="1" readingOrder="1"/>
    </xf>
    <xf numFmtId="165" fontId="18" fillId="5" borderId="20" xfId="0" applyNumberFormat="1" applyFont="1" applyFill="1" applyBorder="1" applyAlignment="1">
      <alignment horizontal="center" vertical="center" wrapText="1" readingOrder="1"/>
    </xf>
    <xf numFmtId="165" fontId="18" fillId="5" borderId="72" xfId="0" applyNumberFormat="1" applyFont="1" applyFill="1" applyBorder="1" applyAlignment="1">
      <alignment horizontal="center" vertical="center" wrapText="1" readingOrder="1"/>
    </xf>
    <xf numFmtId="165" fontId="18" fillId="5" borderId="14" xfId="0" applyNumberFormat="1" applyFont="1" applyFill="1" applyBorder="1" applyAlignment="1">
      <alignment horizontal="center" vertical="center" wrapText="1" readingOrder="1"/>
    </xf>
    <xf numFmtId="165" fontId="18" fillId="13" borderId="86" xfId="0" applyNumberFormat="1" applyFont="1" applyFill="1" applyBorder="1" applyAlignment="1">
      <alignment horizontal="center" vertical="center" wrapText="1" readingOrder="1"/>
    </xf>
    <xf numFmtId="165" fontId="18" fillId="13" borderId="5" xfId="0" applyNumberFormat="1" applyFont="1" applyFill="1" applyBorder="1" applyAlignment="1">
      <alignment horizontal="center" vertical="center" wrapText="1" readingOrder="1"/>
    </xf>
    <xf numFmtId="165" fontId="18" fillId="13" borderId="72" xfId="0" applyNumberFormat="1" applyFont="1" applyFill="1" applyBorder="1" applyAlignment="1">
      <alignment horizontal="center" vertical="center" wrapText="1" readingOrder="1"/>
    </xf>
    <xf numFmtId="165" fontId="18" fillId="13" borderId="14" xfId="0" applyNumberFormat="1" applyFont="1" applyFill="1" applyBorder="1" applyAlignment="1">
      <alignment horizontal="center" vertical="center" wrapText="1" readingOrder="1"/>
    </xf>
    <xf numFmtId="165" fontId="18" fillId="13" borderId="20" xfId="0" applyNumberFormat="1" applyFont="1" applyFill="1" applyBorder="1" applyAlignment="1">
      <alignment horizontal="center" vertical="center" wrapText="1" readingOrder="1"/>
    </xf>
    <xf numFmtId="165" fontId="18" fillId="13" borderId="4" xfId="0" applyNumberFormat="1" applyFont="1" applyFill="1" applyBorder="1" applyAlignment="1">
      <alignment horizontal="center" vertical="center" wrapText="1" readingOrder="1"/>
    </xf>
    <xf numFmtId="165" fontId="18" fillId="13" borderId="92" xfId="0" applyNumberFormat="1" applyFont="1" applyFill="1" applyBorder="1" applyAlignment="1">
      <alignment horizontal="center" vertical="center" wrapText="1" readingOrder="1"/>
    </xf>
    <xf numFmtId="165" fontId="18" fillId="10" borderId="86" xfId="0" applyNumberFormat="1" applyFont="1" applyFill="1" applyBorder="1" applyAlignment="1">
      <alignment horizontal="center" vertical="center" wrapText="1" readingOrder="1"/>
    </xf>
    <xf numFmtId="165" fontId="18" fillId="10" borderId="5" xfId="0" applyNumberFormat="1" applyFont="1" applyFill="1" applyBorder="1" applyAlignment="1">
      <alignment horizontal="center" vertical="center" wrapText="1" readingOrder="1"/>
    </xf>
    <xf numFmtId="165" fontId="18" fillId="10" borderId="20" xfId="0" applyNumberFormat="1" applyFont="1" applyFill="1" applyBorder="1" applyAlignment="1">
      <alignment horizontal="center" vertical="center" wrapText="1" readingOrder="1"/>
    </xf>
    <xf numFmtId="165" fontId="18" fillId="10" borderId="4" xfId="0" applyNumberFormat="1" applyFont="1" applyFill="1" applyBorder="1" applyAlignment="1">
      <alignment horizontal="center" vertical="center" wrapText="1" readingOrder="1"/>
    </xf>
    <xf numFmtId="165" fontId="18" fillId="10" borderId="72" xfId="0" applyNumberFormat="1" applyFont="1" applyFill="1" applyBorder="1" applyAlignment="1">
      <alignment horizontal="center" vertical="center" wrapText="1" readingOrder="1"/>
    </xf>
    <xf numFmtId="165" fontId="18" fillId="10" borderId="14" xfId="0" applyNumberFormat="1" applyFont="1" applyFill="1" applyBorder="1" applyAlignment="1">
      <alignment horizontal="center" vertical="center" wrapText="1" readingOrder="1"/>
    </xf>
    <xf numFmtId="165" fontId="18" fillId="10" borderId="92" xfId="0" applyNumberFormat="1" applyFont="1" applyFill="1" applyBorder="1" applyAlignment="1">
      <alignment horizontal="center" vertical="center" wrapText="1" readingOrder="1"/>
    </xf>
    <xf numFmtId="165" fontId="18" fillId="15" borderId="5" xfId="0" applyNumberFormat="1" applyFont="1" applyFill="1" applyBorder="1" applyAlignment="1">
      <alignment horizontal="center" vertical="center" wrapText="1" readingOrder="1"/>
    </xf>
    <xf numFmtId="167" fontId="18" fillId="16" borderId="86" xfId="0" applyNumberFormat="1" applyFont="1" applyFill="1" applyBorder="1" applyAlignment="1">
      <alignment horizontal="center" vertical="center" wrapText="1" readingOrder="1"/>
    </xf>
    <xf numFmtId="165" fontId="18" fillId="16" borderId="86" xfId="0" applyNumberFormat="1" applyFont="1" applyFill="1" applyBorder="1" applyAlignment="1">
      <alignment horizontal="center" vertical="center" wrapText="1" readingOrder="1"/>
    </xf>
    <xf numFmtId="167" fontId="18" fillId="16" borderId="5" xfId="0" applyNumberFormat="1" applyFont="1" applyFill="1" applyBorder="1" applyAlignment="1">
      <alignment horizontal="center" vertical="center" wrapText="1" readingOrder="1"/>
    </xf>
    <xf numFmtId="165" fontId="18" fillId="16" borderId="5" xfId="0" applyNumberFormat="1" applyFont="1" applyFill="1" applyBorder="1" applyAlignment="1">
      <alignment horizontal="center" vertical="center" wrapText="1" readingOrder="1"/>
    </xf>
    <xf numFmtId="167" fontId="18" fillId="16" borderId="92" xfId="0" applyNumberFormat="1" applyFont="1" applyFill="1" applyBorder="1" applyAlignment="1">
      <alignment horizontal="center" vertical="center" wrapText="1" readingOrder="1"/>
    </xf>
    <xf numFmtId="165" fontId="18" fillId="16" borderId="92" xfId="0" applyNumberFormat="1" applyFont="1" applyFill="1" applyBorder="1" applyAlignment="1">
      <alignment horizontal="center" vertical="center" wrapText="1" readingOrder="1"/>
    </xf>
    <xf numFmtId="165" fontId="18" fillId="20" borderId="4" xfId="0" applyNumberFormat="1" applyFont="1" applyFill="1" applyBorder="1" applyAlignment="1">
      <alignment horizontal="center" vertical="center" wrapText="1" readingOrder="1"/>
    </xf>
    <xf numFmtId="165" fontId="18" fillId="20" borderId="5" xfId="0" applyNumberFormat="1" applyFont="1" applyFill="1" applyBorder="1" applyAlignment="1">
      <alignment horizontal="center" vertical="center" wrapText="1" readingOrder="1"/>
    </xf>
    <xf numFmtId="165" fontId="18" fillId="20" borderId="20" xfId="0" applyNumberFormat="1" applyFont="1" applyFill="1" applyBorder="1" applyAlignment="1">
      <alignment horizontal="center" vertical="center" wrapText="1" readingOrder="1"/>
    </xf>
    <xf numFmtId="0" fontId="18" fillId="15" borderId="15" xfId="0" applyFont="1" applyFill="1" applyBorder="1" applyAlignment="1">
      <alignment horizontal="left" vertical="center" wrapText="1" readingOrder="1"/>
    </xf>
    <xf numFmtId="0" fontId="18" fillId="15" borderId="31" xfId="0" applyFont="1" applyFill="1" applyBorder="1" applyAlignment="1">
      <alignment horizontal="left" vertical="center" wrapText="1" readingOrder="1"/>
    </xf>
    <xf numFmtId="0" fontId="18" fillId="15" borderId="17" xfId="0" applyFont="1" applyFill="1" applyBorder="1" applyAlignment="1">
      <alignment horizontal="left" vertical="center" wrapText="1" readingOrder="1"/>
    </xf>
    <xf numFmtId="0" fontId="18" fillId="15" borderId="82" xfId="0" applyFont="1" applyFill="1" applyBorder="1" applyAlignment="1">
      <alignment horizontal="left" vertical="center" wrapText="1" readingOrder="1"/>
    </xf>
    <xf numFmtId="0" fontId="0" fillId="18" borderId="0" xfId="0" applyFill="1" applyAlignment="1">
      <alignment vertical="center"/>
    </xf>
    <xf numFmtId="0" fontId="28" fillId="0" borderId="14" xfId="0" applyFont="1" applyBorder="1"/>
    <xf numFmtId="170" fontId="28" fillId="0" borderId="14" xfId="2" applyNumberFormat="1" applyFont="1" applyFill="1" applyBorder="1" applyAlignment="1">
      <alignment horizontal="center"/>
    </xf>
    <xf numFmtId="0" fontId="28" fillId="0" borderId="14" xfId="0" applyFont="1" applyBorder="1" applyAlignment="1">
      <alignment horizontal="center"/>
    </xf>
    <xf numFmtId="166" fontId="28" fillId="0" borderId="14" xfId="2" applyNumberFormat="1" applyFont="1" applyFill="1" applyBorder="1" applyAlignment="1">
      <alignment horizontal="center"/>
    </xf>
    <xf numFmtId="167" fontId="28" fillId="0" borderId="15" xfId="0" applyNumberFormat="1" applyFont="1" applyBorder="1" applyAlignment="1">
      <alignment horizontal="center"/>
    </xf>
    <xf numFmtId="167" fontId="29" fillId="0" borderId="22" xfId="0" applyNumberFormat="1" applyFont="1" applyBorder="1" applyAlignment="1">
      <alignment horizontal="center"/>
    </xf>
    <xf numFmtId="167" fontId="29" fillId="0" borderId="23" xfId="0" applyNumberFormat="1" applyFont="1" applyBorder="1" applyAlignment="1">
      <alignment horizontal="center"/>
    </xf>
    <xf numFmtId="167" fontId="29" fillId="0" borderId="14" xfId="0" applyNumberFormat="1" applyFont="1" applyBorder="1" applyAlignment="1">
      <alignment horizontal="center"/>
    </xf>
    <xf numFmtId="0" fontId="28" fillId="0" borderId="4" xfId="0" applyFont="1" applyBorder="1" applyAlignment="1">
      <alignment horizontal="left" indent="1"/>
    </xf>
    <xf numFmtId="170" fontId="28" fillId="0" borderId="4" xfId="2" applyNumberFormat="1" applyFont="1" applyFill="1" applyBorder="1" applyAlignment="1">
      <alignment horizontal="center"/>
    </xf>
    <xf numFmtId="0" fontId="28" fillId="0" borderId="4" xfId="0" applyFont="1" applyBorder="1" applyAlignment="1">
      <alignment horizontal="center"/>
    </xf>
    <xf numFmtId="166" fontId="28" fillId="0" borderId="4" xfId="2" applyNumberFormat="1" applyFont="1" applyFill="1" applyBorder="1" applyAlignment="1">
      <alignment horizontal="center"/>
    </xf>
    <xf numFmtId="167" fontId="28" fillId="0" borderId="17" xfId="0" applyNumberFormat="1" applyFont="1" applyBorder="1" applyAlignment="1">
      <alignment horizontal="center"/>
    </xf>
    <xf numFmtId="167" fontId="29" fillId="0" borderId="24" xfId="0" applyNumberFormat="1" applyFont="1" applyBorder="1" applyAlignment="1">
      <alignment horizontal="center"/>
    </xf>
    <xf numFmtId="167" fontId="28" fillId="0" borderId="25" xfId="0" applyNumberFormat="1" applyFont="1" applyBorder="1" applyAlignment="1">
      <alignment horizontal="center"/>
    </xf>
    <xf numFmtId="167" fontId="28" fillId="0" borderId="5" xfId="0" applyNumberFormat="1" applyFont="1" applyBorder="1" applyAlignment="1">
      <alignment horizontal="center"/>
    </xf>
    <xf numFmtId="167" fontId="29" fillId="0" borderId="25" xfId="0" applyNumberFormat="1" applyFont="1" applyBorder="1" applyAlignment="1">
      <alignment horizontal="center"/>
    </xf>
    <xf numFmtId="0" fontId="28" fillId="0" borderId="20" xfId="0" applyFont="1" applyBorder="1"/>
    <xf numFmtId="170" fontId="28" fillId="0" borderId="20" xfId="2" applyNumberFormat="1" applyFont="1" applyFill="1" applyBorder="1" applyAlignment="1">
      <alignment horizontal="center"/>
    </xf>
    <xf numFmtId="0" fontId="28" fillId="0" borderId="20" xfId="0" applyFont="1" applyBorder="1" applyAlignment="1">
      <alignment horizontal="center"/>
    </xf>
    <xf numFmtId="166" fontId="28" fillId="0" borderId="20" xfId="2" applyNumberFormat="1" applyFont="1" applyFill="1" applyBorder="1" applyAlignment="1">
      <alignment horizontal="center"/>
    </xf>
    <xf numFmtId="167" fontId="28" fillId="0" borderId="21" xfId="0" applyNumberFormat="1" applyFont="1" applyBorder="1" applyAlignment="1">
      <alignment horizontal="center"/>
    </xf>
    <xf numFmtId="167" fontId="29" fillId="0" borderId="26" xfId="0" applyNumberFormat="1" applyFont="1" applyBorder="1" applyAlignment="1">
      <alignment horizontal="center"/>
    </xf>
    <xf numFmtId="167" fontId="29" fillId="0" borderId="27" xfId="0" applyNumberFormat="1" applyFont="1" applyBorder="1" applyAlignment="1">
      <alignment horizontal="center"/>
    </xf>
    <xf numFmtId="167" fontId="29" fillId="0" borderId="20" xfId="0" applyNumberFormat="1" applyFont="1" applyBorder="1" applyAlignment="1">
      <alignment horizontal="center"/>
    </xf>
    <xf numFmtId="0" fontId="29" fillId="0" borderId="0" xfId="0" applyFont="1"/>
    <xf numFmtId="0" fontId="28" fillId="0" borderId="5" xfId="0" applyFont="1" applyBorder="1"/>
    <xf numFmtId="170" fontId="28" fillId="0" borderId="5" xfId="2" applyNumberFormat="1" applyFont="1" applyFill="1" applyBorder="1" applyAlignment="1">
      <alignment horizontal="center"/>
    </xf>
    <xf numFmtId="0" fontId="28" fillId="0" borderId="5" xfId="0" applyFont="1" applyBorder="1" applyAlignment="1">
      <alignment horizontal="center"/>
    </xf>
    <xf numFmtId="166" fontId="28" fillId="0" borderId="5" xfId="2" applyNumberFormat="1" applyFont="1" applyFill="1" applyBorder="1" applyAlignment="1">
      <alignment horizontal="center"/>
    </xf>
    <xf numFmtId="0" fontId="28" fillId="0" borderId="0" xfId="0" applyFont="1"/>
    <xf numFmtId="167" fontId="28" fillId="0" borderId="27" xfId="0" applyNumberFormat="1" applyFont="1" applyBorder="1" applyAlignment="1">
      <alignment horizontal="center"/>
    </xf>
    <xf numFmtId="167" fontId="28" fillId="0" borderId="20" xfId="0" applyNumberFormat="1" applyFont="1" applyBorder="1" applyAlignment="1">
      <alignment horizontal="center"/>
    </xf>
    <xf numFmtId="0" fontId="28" fillId="0" borderId="5" xfId="0" applyFont="1" applyBorder="1" applyAlignment="1">
      <alignment horizontal="left" indent="1"/>
    </xf>
    <xf numFmtId="167" fontId="29" fillId="0" borderId="5" xfId="0" applyNumberFormat="1" applyFont="1" applyBorder="1" applyAlignment="1">
      <alignment horizontal="center"/>
    </xf>
    <xf numFmtId="0" fontId="28" fillId="0" borderId="5" xfId="0" quotePrefix="1" applyFont="1" applyBorder="1" applyAlignment="1">
      <alignment horizontal="left" indent="1"/>
    </xf>
    <xf numFmtId="0" fontId="28" fillId="2" borderId="0" xfId="0" applyFont="1" applyFill="1"/>
    <xf numFmtId="0" fontId="28" fillId="22" borderId="14" xfId="0" applyFont="1" applyFill="1" applyBorder="1"/>
    <xf numFmtId="170" fontId="28" fillId="22" borderId="14" xfId="2" applyNumberFormat="1" applyFont="1" applyFill="1" applyBorder="1" applyAlignment="1">
      <alignment horizontal="center"/>
    </xf>
    <xf numFmtId="0" fontId="28" fillId="22" borderId="14" xfId="0" applyFont="1" applyFill="1" applyBorder="1" applyAlignment="1">
      <alignment horizontal="center"/>
    </xf>
    <xf numFmtId="166" fontId="28" fillId="22" borderId="14" xfId="2" applyNumberFormat="1" applyFont="1" applyFill="1" applyBorder="1" applyAlignment="1">
      <alignment horizontal="center"/>
    </xf>
    <xf numFmtId="167" fontId="28" fillId="22" borderId="15" xfId="0" applyNumberFormat="1" applyFont="1" applyFill="1" applyBorder="1" applyAlignment="1">
      <alignment horizontal="center"/>
    </xf>
    <xf numFmtId="167" fontId="29" fillId="22" borderId="22" xfId="0" applyNumberFormat="1" applyFont="1" applyFill="1" applyBorder="1" applyAlignment="1">
      <alignment horizontal="center"/>
    </xf>
    <xf numFmtId="167" fontId="29" fillId="22" borderId="23" xfId="0" applyNumberFormat="1" applyFont="1" applyFill="1" applyBorder="1" applyAlignment="1">
      <alignment horizontal="center"/>
    </xf>
    <xf numFmtId="167" fontId="29" fillId="22" borderId="14" xfId="0" applyNumberFormat="1" applyFont="1" applyFill="1" applyBorder="1" applyAlignment="1">
      <alignment horizontal="center"/>
    </xf>
    <xf numFmtId="0" fontId="28" fillId="22" borderId="5" xfId="0" applyFont="1" applyFill="1" applyBorder="1"/>
    <xf numFmtId="170" fontId="28" fillId="22" borderId="5" xfId="2" applyNumberFormat="1" applyFont="1" applyFill="1" applyBorder="1" applyAlignment="1">
      <alignment horizontal="center"/>
    </xf>
    <xf numFmtId="0" fontId="28" fillId="22" borderId="5" xfId="0" applyFont="1" applyFill="1" applyBorder="1" applyAlignment="1">
      <alignment horizontal="center"/>
    </xf>
    <xf numFmtId="166" fontId="28" fillId="22" borderId="5" xfId="2" applyNumberFormat="1" applyFont="1" applyFill="1" applyBorder="1" applyAlignment="1">
      <alignment horizontal="center"/>
    </xf>
    <xf numFmtId="167" fontId="28" fillId="22" borderId="17" xfId="0" applyNumberFormat="1" applyFont="1" applyFill="1" applyBorder="1" applyAlignment="1">
      <alignment horizontal="center"/>
    </xf>
    <xf numFmtId="167" fontId="29" fillId="22" borderId="24" xfId="0" applyNumberFormat="1" applyFont="1" applyFill="1" applyBorder="1" applyAlignment="1">
      <alignment horizontal="center"/>
    </xf>
    <xf numFmtId="167" fontId="28" fillId="22" borderId="25" xfId="0" applyNumberFormat="1" applyFont="1" applyFill="1" applyBorder="1" applyAlignment="1">
      <alignment horizontal="center"/>
    </xf>
    <xf numFmtId="167" fontId="28" fillId="22" borderId="5" xfId="0" applyNumberFormat="1" applyFont="1" applyFill="1" applyBorder="1" applyAlignment="1">
      <alignment horizontal="center"/>
    </xf>
    <xf numFmtId="167" fontId="29" fillId="22" borderId="25" xfId="0" applyNumberFormat="1" applyFont="1" applyFill="1" applyBorder="1" applyAlignment="1">
      <alignment horizontal="center"/>
    </xf>
    <xf numFmtId="0" fontId="28" fillId="22" borderId="20" xfId="0" applyFont="1" applyFill="1" applyBorder="1"/>
    <xf numFmtId="170" fontId="28" fillId="22" borderId="20" xfId="2" applyNumberFormat="1" applyFont="1" applyFill="1" applyBorder="1" applyAlignment="1">
      <alignment horizontal="center"/>
    </xf>
    <xf numFmtId="0" fontId="28" fillId="22" borderId="20" xfId="0" applyFont="1" applyFill="1" applyBorder="1" applyAlignment="1">
      <alignment horizontal="center"/>
    </xf>
    <xf numFmtId="166" fontId="28" fillId="22" borderId="20" xfId="2" applyNumberFormat="1" applyFont="1" applyFill="1" applyBorder="1" applyAlignment="1">
      <alignment horizontal="center"/>
    </xf>
    <xf numFmtId="167" fontId="28" fillId="22" borderId="21" xfId="0" applyNumberFormat="1" applyFont="1" applyFill="1" applyBorder="1" applyAlignment="1">
      <alignment horizontal="center"/>
    </xf>
    <xf numFmtId="167" fontId="29" fillId="22" borderId="26" xfId="0" applyNumberFormat="1" applyFont="1" applyFill="1" applyBorder="1" applyAlignment="1">
      <alignment horizontal="center"/>
    </xf>
    <xf numFmtId="167" fontId="29" fillId="22" borderId="27" xfId="0" applyNumberFormat="1" applyFont="1" applyFill="1" applyBorder="1" applyAlignment="1">
      <alignment horizontal="center"/>
    </xf>
    <xf numFmtId="167" fontId="29" fillId="22" borderId="20" xfId="0" applyNumberFormat="1" applyFont="1" applyFill="1" applyBorder="1" applyAlignment="1">
      <alignment horizontal="center"/>
    </xf>
    <xf numFmtId="0" fontId="28" fillId="23" borderId="14" xfId="0" applyFont="1" applyFill="1" applyBorder="1"/>
    <xf numFmtId="170" fontId="28" fillId="23" borderId="14" xfId="2" applyNumberFormat="1" applyFont="1" applyFill="1" applyBorder="1" applyAlignment="1">
      <alignment horizontal="center"/>
    </xf>
    <xf numFmtId="0" fontId="28" fillId="23" borderId="14" xfId="0" applyFont="1" applyFill="1" applyBorder="1" applyAlignment="1">
      <alignment horizontal="center"/>
    </xf>
    <xf numFmtId="166" fontId="28" fillId="23" borderId="14" xfId="2" applyNumberFormat="1" applyFont="1" applyFill="1" applyBorder="1" applyAlignment="1">
      <alignment horizontal="center"/>
    </xf>
    <xf numFmtId="167" fontId="28" fillId="23" borderId="15" xfId="0" applyNumberFormat="1" applyFont="1" applyFill="1" applyBorder="1" applyAlignment="1">
      <alignment horizontal="center"/>
    </xf>
    <xf numFmtId="167" fontId="29" fillId="23" borderId="22" xfId="0" applyNumberFormat="1" applyFont="1" applyFill="1" applyBorder="1" applyAlignment="1">
      <alignment horizontal="center"/>
    </xf>
    <xf numFmtId="167" fontId="29" fillId="23" borderId="23" xfId="0" applyNumberFormat="1" applyFont="1" applyFill="1" applyBorder="1" applyAlignment="1">
      <alignment horizontal="center"/>
    </xf>
    <xf numFmtId="167" fontId="29" fillId="23" borderId="14" xfId="0" applyNumberFormat="1" applyFont="1" applyFill="1" applyBorder="1" applyAlignment="1">
      <alignment horizontal="center"/>
    </xf>
    <xf numFmtId="0" fontId="28" fillId="23" borderId="5" xfId="0" applyFont="1" applyFill="1" applyBorder="1"/>
    <xf numFmtId="170" fontId="28" fillId="23" borderId="5" xfId="2" applyNumberFormat="1" applyFont="1" applyFill="1" applyBorder="1" applyAlignment="1">
      <alignment horizontal="center"/>
    </xf>
    <xf numFmtId="0" fontId="28" fillId="23" borderId="5" xfId="0" applyFont="1" applyFill="1" applyBorder="1" applyAlignment="1">
      <alignment horizontal="center"/>
    </xf>
    <xf numFmtId="166" fontId="28" fillId="23" borderId="5" xfId="2" applyNumberFormat="1" applyFont="1" applyFill="1" applyBorder="1" applyAlignment="1">
      <alignment horizontal="center"/>
    </xf>
    <xf numFmtId="167" fontId="28" fillId="23" borderId="17" xfId="0" applyNumberFormat="1" applyFont="1" applyFill="1" applyBorder="1" applyAlignment="1">
      <alignment horizontal="center"/>
    </xf>
    <xf numFmtId="167" fontId="29" fillId="23" borderId="24" xfId="0" applyNumberFormat="1" applyFont="1" applyFill="1" applyBorder="1" applyAlignment="1">
      <alignment horizontal="center"/>
    </xf>
    <xf numFmtId="167" fontId="28" fillId="23" borderId="25" xfId="0" applyNumberFormat="1" applyFont="1" applyFill="1" applyBorder="1" applyAlignment="1">
      <alignment horizontal="center"/>
    </xf>
    <xf numFmtId="167" fontId="28" fillId="23" borderId="5" xfId="0" applyNumberFormat="1" applyFont="1" applyFill="1" applyBorder="1" applyAlignment="1">
      <alignment horizontal="center"/>
    </xf>
    <xf numFmtId="167" fontId="29" fillId="23" borderId="25" xfId="0" applyNumberFormat="1" applyFont="1" applyFill="1" applyBorder="1" applyAlignment="1">
      <alignment horizontal="center"/>
    </xf>
    <xf numFmtId="0" fontId="28" fillId="23" borderId="20" xfId="0" applyFont="1" applyFill="1" applyBorder="1"/>
    <xf numFmtId="170" fontId="28" fillId="23" borderId="20" xfId="2" applyNumberFormat="1" applyFont="1" applyFill="1" applyBorder="1" applyAlignment="1">
      <alignment horizontal="center"/>
    </xf>
    <xf numFmtId="0" fontId="28" fillId="23" borderId="20" xfId="0" applyFont="1" applyFill="1" applyBorder="1" applyAlignment="1">
      <alignment horizontal="center"/>
    </xf>
    <xf numFmtId="166" fontId="28" fillId="23" borderId="20" xfId="2" applyNumberFormat="1" applyFont="1" applyFill="1" applyBorder="1" applyAlignment="1">
      <alignment horizontal="center"/>
    </xf>
    <xf numFmtId="167" fontId="28" fillId="23" borderId="21" xfId="0" applyNumberFormat="1" applyFont="1" applyFill="1" applyBorder="1" applyAlignment="1">
      <alignment horizontal="center"/>
    </xf>
    <xf numFmtId="167" fontId="29" fillId="23" borderId="26" xfId="0" applyNumberFormat="1" applyFont="1" applyFill="1" applyBorder="1" applyAlignment="1">
      <alignment horizontal="center"/>
    </xf>
    <xf numFmtId="167" fontId="29" fillId="23" borderId="27" xfId="0" applyNumberFormat="1" applyFont="1" applyFill="1" applyBorder="1" applyAlignment="1">
      <alignment horizontal="center"/>
    </xf>
    <xf numFmtId="167" fontId="29" fillId="23" borderId="20" xfId="0" applyNumberFormat="1" applyFont="1" applyFill="1" applyBorder="1" applyAlignment="1">
      <alignment horizontal="center"/>
    </xf>
    <xf numFmtId="167" fontId="28" fillId="22" borderId="27" xfId="0" applyNumberFormat="1" applyFont="1" applyFill="1" applyBorder="1" applyAlignment="1">
      <alignment horizontal="center"/>
    </xf>
    <xf numFmtId="167" fontId="28" fillId="22" borderId="20" xfId="0" applyNumberFormat="1" applyFont="1" applyFill="1" applyBorder="1" applyAlignment="1">
      <alignment horizontal="center"/>
    </xf>
    <xf numFmtId="170" fontId="28" fillId="23" borderId="4" xfId="2" applyNumberFormat="1" applyFont="1" applyFill="1" applyBorder="1" applyAlignment="1">
      <alignment horizontal="center"/>
    </xf>
    <xf numFmtId="0" fontId="28" fillId="23" borderId="4" xfId="0" applyFont="1" applyFill="1" applyBorder="1" applyAlignment="1">
      <alignment horizontal="center"/>
    </xf>
    <xf numFmtId="166" fontId="28" fillId="23" borderId="4" xfId="2" applyNumberFormat="1" applyFont="1" applyFill="1" applyBorder="1" applyAlignment="1">
      <alignment horizontal="center"/>
    </xf>
    <xf numFmtId="0" fontId="28" fillId="22" borderId="4" xfId="0" applyFont="1" applyFill="1" applyBorder="1"/>
    <xf numFmtId="170" fontId="28" fillId="22" borderId="4" xfId="2" applyNumberFormat="1" applyFont="1" applyFill="1" applyBorder="1" applyAlignment="1">
      <alignment horizontal="center"/>
    </xf>
    <xf numFmtId="0" fontId="28" fillId="22" borderId="4" xfId="0" applyFont="1" applyFill="1" applyBorder="1" applyAlignment="1">
      <alignment horizontal="center"/>
    </xf>
    <xf numFmtId="166" fontId="28" fillId="22" borderId="4" xfId="2" applyNumberFormat="1" applyFont="1" applyFill="1" applyBorder="1" applyAlignment="1">
      <alignment horizontal="center"/>
    </xf>
    <xf numFmtId="167" fontId="28" fillId="22" borderId="31" xfId="0" applyNumberFormat="1" applyFont="1" applyFill="1" applyBorder="1" applyAlignment="1">
      <alignment horizontal="center"/>
    </xf>
    <xf numFmtId="167" fontId="29" fillId="22" borderId="32" xfId="0" applyNumberFormat="1" applyFont="1" applyFill="1" applyBorder="1" applyAlignment="1">
      <alignment horizontal="center"/>
    </xf>
    <xf numFmtId="167" fontId="29" fillId="22" borderId="33" xfId="0" applyNumberFormat="1" applyFont="1" applyFill="1" applyBorder="1" applyAlignment="1">
      <alignment horizontal="center"/>
    </xf>
    <xf numFmtId="167" fontId="29" fillId="22" borderId="4" xfId="0" applyNumberFormat="1" applyFont="1" applyFill="1" applyBorder="1" applyAlignment="1">
      <alignment horizontal="center"/>
    </xf>
    <xf numFmtId="0" fontId="28" fillId="22" borderId="4" xfId="0" applyFont="1" applyFill="1" applyBorder="1" applyAlignment="1">
      <alignment horizontal="left" indent="1"/>
    </xf>
    <xf numFmtId="0" fontId="28" fillId="22" borderId="5" xfId="0" applyFont="1" applyFill="1" applyBorder="1" applyAlignment="1">
      <alignment wrapText="1"/>
    </xf>
    <xf numFmtId="0" fontId="28" fillId="14" borderId="14" xfId="0" applyFont="1" applyFill="1" applyBorder="1"/>
    <xf numFmtId="170" fontId="28" fillId="14" borderId="14" xfId="2" applyNumberFormat="1" applyFont="1" applyFill="1" applyBorder="1" applyAlignment="1">
      <alignment horizontal="center"/>
    </xf>
    <xf numFmtId="0" fontId="28" fillId="14" borderId="14" xfId="0" applyFont="1" applyFill="1" applyBorder="1" applyAlignment="1">
      <alignment horizontal="center"/>
    </xf>
    <xf numFmtId="166" fontId="28" fillId="14" borderId="14" xfId="2" applyNumberFormat="1" applyFont="1" applyFill="1" applyBorder="1" applyAlignment="1">
      <alignment horizontal="center"/>
    </xf>
    <xf numFmtId="167" fontId="28" fillId="14" borderId="15" xfId="0" applyNumberFormat="1" applyFont="1" applyFill="1" applyBorder="1" applyAlignment="1">
      <alignment horizontal="center"/>
    </xf>
    <xf numFmtId="167" fontId="29" fillId="14" borderId="22" xfId="0" applyNumberFormat="1" applyFont="1" applyFill="1" applyBorder="1" applyAlignment="1">
      <alignment horizontal="center"/>
    </xf>
    <xf numFmtId="167" fontId="29" fillId="14" borderId="23" xfId="0" applyNumberFormat="1" applyFont="1" applyFill="1" applyBorder="1" applyAlignment="1">
      <alignment horizontal="center"/>
    </xf>
    <xf numFmtId="167" fontId="29" fillId="14" borderId="14" xfId="0" applyNumberFormat="1" applyFont="1" applyFill="1" applyBorder="1" applyAlignment="1">
      <alignment horizontal="center"/>
    </xf>
    <xf numFmtId="0" fontId="28" fillId="14" borderId="4" xfId="0" applyFont="1" applyFill="1" applyBorder="1"/>
    <xf numFmtId="170" fontId="28" fillId="14" borderId="4" xfId="2" applyNumberFormat="1" applyFont="1" applyFill="1" applyBorder="1" applyAlignment="1">
      <alignment horizontal="center"/>
    </xf>
    <xf numFmtId="0" fontId="28" fillId="14" borderId="4" xfId="0" applyFont="1" applyFill="1" applyBorder="1" applyAlignment="1">
      <alignment horizontal="center"/>
    </xf>
    <xf numFmtId="166" fontId="28" fillId="14" borderId="4" xfId="2" applyNumberFormat="1" applyFont="1" applyFill="1" applyBorder="1" applyAlignment="1">
      <alignment horizontal="center"/>
    </xf>
    <xf numFmtId="167" fontId="28" fillId="14" borderId="31" xfId="0" applyNumberFormat="1" applyFont="1" applyFill="1" applyBorder="1" applyAlignment="1">
      <alignment horizontal="center"/>
    </xf>
    <xf numFmtId="167" fontId="29" fillId="14" borderId="32" xfId="0" applyNumberFormat="1" applyFont="1" applyFill="1" applyBorder="1" applyAlignment="1">
      <alignment horizontal="center"/>
    </xf>
    <xf numFmtId="167" fontId="29" fillId="14" borderId="33" xfId="0" applyNumberFormat="1" applyFont="1" applyFill="1" applyBorder="1" applyAlignment="1">
      <alignment horizontal="center"/>
    </xf>
    <xf numFmtId="167" fontId="29" fillId="14" borderId="4" xfId="0" applyNumberFormat="1" applyFont="1" applyFill="1" applyBorder="1" applyAlignment="1">
      <alignment horizontal="center"/>
    </xf>
    <xf numFmtId="0" fontId="28" fillId="14" borderId="4" xfId="0" applyFont="1" applyFill="1" applyBorder="1" applyAlignment="1">
      <alignment horizontal="left" indent="1"/>
    </xf>
    <xf numFmtId="167" fontId="28" fillId="14" borderId="17" xfId="0" applyNumberFormat="1" applyFont="1" applyFill="1" applyBorder="1" applyAlignment="1">
      <alignment horizontal="center"/>
    </xf>
    <xf numFmtId="0" fontId="28" fillId="14" borderId="4" xfId="0" applyFont="1" applyFill="1" applyBorder="1" applyAlignment="1">
      <alignment horizontal="left"/>
    </xf>
    <xf numFmtId="9" fontId="28" fillId="14" borderId="4" xfId="1" applyFont="1" applyFill="1" applyBorder="1" applyAlignment="1">
      <alignment horizontal="center"/>
    </xf>
    <xf numFmtId="167" fontId="29" fillId="14" borderId="24" xfId="0" applyNumberFormat="1" applyFont="1" applyFill="1" applyBorder="1" applyAlignment="1">
      <alignment horizontal="center"/>
    </xf>
    <xf numFmtId="167" fontId="28" fillId="14" borderId="25" xfId="0" applyNumberFormat="1" applyFont="1" applyFill="1" applyBorder="1" applyAlignment="1">
      <alignment horizontal="center"/>
    </xf>
    <xf numFmtId="167" fontId="28" fillId="14" borderId="5" xfId="0" applyNumberFormat="1" applyFont="1" applyFill="1" applyBorder="1" applyAlignment="1">
      <alignment horizontal="center"/>
    </xf>
    <xf numFmtId="167" fontId="29" fillId="14" borderId="25" xfId="0" applyNumberFormat="1" applyFont="1" applyFill="1" applyBorder="1" applyAlignment="1">
      <alignment horizontal="center"/>
    </xf>
    <xf numFmtId="0" fontId="28" fillId="14" borderId="20" xfId="0" applyFont="1" applyFill="1" applyBorder="1"/>
    <xf numFmtId="170" fontId="28" fillId="14" borderId="20" xfId="2" applyNumberFormat="1" applyFont="1" applyFill="1" applyBorder="1" applyAlignment="1">
      <alignment horizontal="center"/>
    </xf>
    <xf numFmtId="0" fontId="28" fillId="14" borderId="20" xfId="0" applyFont="1" applyFill="1" applyBorder="1" applyAlignment="1">
      <alignment horizontal="center"/>
    </xf>
    <xf numFmtId="166" fontId="28" fillId="14" borderId="20" xfId="2" applyNumberFormat="1" applyFont="1" applyFill="1" applyBorder="1" applyAlignment="1">
      <alignment horizontal="center"/>
    </xf>
    <xf numFmtId="167" fontId="28" fillId="14" borderId="21" xfId="0" applyNumberFormat="1" applyFont="1" applyFill="1" applyBorder="1" applyAlignment="1">
      <alignment horizontal="center"/>
    </xf>
    <xf numFmtId="167" fontId="29" fillId="14" borderId="26" xfId="0" applyNumberFormat="1" applyFont="1" applyFill="1" applyBorder="1" applyAlignment="1">
      <alignment horizontal="center"/>
    </xf>
    <xf numFmtId="167" fontId="29" fillId="14" borderId="27" xfId="0" applyNumberFormat="1" applyFont="1" applyFill="1" applyBorder="1" applyAlignment="1">
      <alignment horizontal="center"/>
    </xf>
    <xf numFmtId="167" fontId="29" fillId="14" borderId="20" xfId="0" applyNumberFormat="1" applyFont="1" applyFill="1" applyBorder="1" applyAlignment="1">
      <alignment horizontal="center"/>
    </xf>
    <xf numFmtId="0" fontId="28" fillId="14" borderId="5" xfId="0" applyFont="1" applyFill="1" applyBorder="1"/>
    <xf numFmtId="170" fontId="28" fillId="14" borderId="5" xfId="2" applyNumberFormat="1" applyFont="1" applyFill="1" applyBorder="1" applyAlignment="1">
      <alignment horizontal="center"/>
    </xf>
    <xf numFmtId="0" fontId="28" fillId="14" borderId="5" xfId="0" applyFont="1" applyFill="1" applyBorder="1" applyAlignment="1">
      <alignment horizontal="center"/>
    </xf>
    <xf numFmtId="166" fontId="28" fillId="14" borderId="5" xfId="2" applyNumberFormat="1" applyFont="1" applyFill="1" applyBorder="1" applyAlignment="1">
      <alignment horizontal="center"/>
    </xf>
    <xf numFmtId="0" fontId="28" fillId="17" borderId="14" xfId="0" applyFont="1" applyFill="1" applyBorder="1"/>
    <xf numFmtId="170" fontId="28" fillId="17" borderId="14" xfId="2" applyNumberFormat="1" applyFont="1" applyFill="1" applyBorder="1" applyAlignment="1">
      <alignment horizontal="center"/>
    </xf>
    <xf numFmtId="0" fontId="28" fillId="17" borderId="14" xfId="0" applyFont="1" applyFill="1" applyBorder="1" applyAlignment="1">
      <alignment horizontal="center"/>
    </xf>
    <xf numFmtId="166" fontId="28" fillId="17" borderId="14" xfId="2" applyNumberFormat="1" applyFont="1" applyFill="1" applyBorder="1" applyAlignment="1">
      <alignment horizontal="center"/>
    </xf>
    <xf numFmtId="167" fontId="28" fillId="17" borderId="15" xfId="0" applyNumberFormat="1" applyFont="1" applyFill="1" applyBorder="1" applyAlignment="1">
      <alignment horizontal="center"/>
    </xf>
    <xf numFmtId="167" fontId="29" fillId="17" borderId="22" xfId="0" applyNumberFormat="1" applyFont="1" applyFill="1" applyBorder="1" applyAlignment="1">
      <alignment horizontal="center"/>
    </xf>
    <xf numFmtId="167" fontId="29" fillId="17" borderId="23" xfId="0" applyNumberFormat="1" applyFont="1" applyFill="1" applyBorder="1" applyAlignment="1">
      <alignment horizontal="center"/>
    </xf>
    <xf numFmtId="167" fontId="29" fillId="17" borderId="14" xfId="0" applyNumberFormat="1" applyFont="1" applyFill="1" applyBorder="1" applyAlignment="1">
      <alignment horizontal="center"/>
    </xf>
    <xf numFmtId="0" fontId="28" fillId="17" borderId="5" xfId="0" applyFont="1" applyFill="1" applyBorder="1"/>
    <xf numFmtId="170" fontId="28" fillId="17" borderId="5" xfId="2" applyNumberFormat="1" applyFont="1" applyFill="1" applyBorder="1" applyAlignment="1">
      <alignment horizontal="center"/>
    </xf>
    <xf numFmtId="0" fontId="28" fillId="17" borderId="5" xfId="0" applyFont="1" applyFill="1" applyBorder="1" applyAlignment="1">
      <alignment horizontal="center"/>
    </xf>
    <xf numFmtId="166" fontId="28" fillId="17" borderId="5" xfId="2" applyNumberFormat="1" applyFont="1" applyFill="1" applyBorder="1" applyAlignment="1">
      <alignment horizontal="center"/>
    </xf>
    <xf numFmtId="167" fontId="28" fillId="17" borderId="17" xfId="0" applyNumberFormat="1" applyFont="1" applyFill="1" applyBorder="1" applyAlignment="1">
      <alignment horizontal="center"/>
    </xf>
    <xf numFmtId="167" fontId="29" fillId="17" borderId="24" xfId="0" applyNumberFormat="1" applyFont="1" applyFill="1" applyBorder="1" applyAlignment="1">
      <alignment horizontal="center"/>
    </xf>
    <xf numFmtId="167" fontId="28" fillId="17" borderId="25" xfId="0" applyNumberFormat="1" applyFont="1" applyFill="1" applyBorder="1" applyAlignment="1">
      <alignment horizontal="center"/>
    </xf>
    <xf numFmtId="167" fontId="28" fillId="17" borderId="5" xfId="0" applyNumberFormat="1" applyFont="1" applyFill="1" applyBorder="1" applyAlignment="1">
      <alignment horizontal="center"/>
    </xf>
    <xf numFmtId="167" fontId="29" fillId="17" borderId="25" xfId="0" applyNumberFormat="1" applyFont="1" applyFill="1" applyBorder="1" applyAlignment="1">
      <alignment horizontal="center"/>
    </xf>
    <xf numFmtId="0" fontId="28" fillId="17" borderId="20" xfId="0" applyFont="1" applyFill="1" applyBorder="1"/>
    <xf numFmtId="170" fontId="28" fillId="17" borderId="20" xfId="2" applyNumberFormat="1" applyFont="1" applyFill="1" applyBorder="1" applyAlignment="1">
      <alignment horizontal="center"/>
    </xf>
    <xf numFmtId="0" fontId="28" fillId="17" borderId="20" xfId="0" applyFont="1" applyFill="1" applyBorder="1" applyAlignment="1">
      <alignment horizontal="center"/>
    </xf>
    <xf numFmtId="166" fontId="28" fillId="17" borderId="20" xfId="2" applyNumberFormat="1" applyFont="1" applyFill="1" applyBorder="1" applyAlignment="1">
      <alignment horizontal="center"/>
    </xf>
    <xf numFmtId="167" fontId="28" fillId="17" borderId="21" xfId="0" applyNumberFormat="1" applyFont="1" applyFill="1" applyBorder="1" applyAlignment="1">
      <alignment horizontal="center"/>
    </xf>
    <xf numFmtId="167" fontId="29" fillId="17" borderId="26" xfId="0" applyNumberFormat="1" applyFont="1" applyFill="1" applyBorder="1" applyAlignment="1">
      <alignment horizontal="center"/>
    </xf>
    <xf numFmtId="167" fontId="29" fillId="17" borderId="27" xfId="0" applyNumberFormat="1" applyFont="1" applyFill="1" applyBorder="1" applyAlignment="1">
      <alignment horizontal="center"/>
    </xf>
    <xf numFmtId="167" fontId="29" fillId="17" borderId="20" xfId="0" applyNumberFormat="1" applyFont="1" applyFill="1" applyBorder="1" applyAlignment="1">
      <alignment horizontal="center"/>
    </xf>
    <xf numFmtId="0" fontId="28" fillId="17" borderId="4" xfId="0" applyFont="1" applyFill="1" applyBorder="1" applyAlignment="1">
      <alignment horizontal="center"/>
    </xf>
    <xf numFmtId="0" fontId="28" fillId="17" borderId="4" xfId="0" applyFont="1" applyFill="1" applyBorder="1"/>
    <xf numFmtId="170" fontId="28" fillId="17" borderId="4" xfId="2" applyNumberFormat="1" applyFont="1" applyFill="1" applyBorder="1" applyAlignment="1">
      <alignment horizontal="center"/>
    </xf>
    <xf numFmtId="166" fontId="28" fillId="17" borderId="4" xfId="2" applyNumberFormat="1" applyFont="1" applyFill="1" applyBorder="1" applyAlignment="1">
      <alignment horizontal="center"/>
    </xf>
    <xf numFmtId="167" fontId="28" fillId="17" borderId="31" xfId="0" applyNumberFormat="1" applyFont="1" applyFill="1" applyBorder="1" applyAlignment="1">
      <alignment horizontal="center"/>
    </xf>
    <xf numFmtId="167" fontId="29" fillId="17" borderId="32" xfId="0" applyNumberFormat="1" applyFont="1" applyFill="1" applyBorder="1" applyAlignment="1">
      <alignment horizontal="center"/>
    </xf>
    <xf numFmtId="167" fontId="29" fillId="17" borderId="33" xfId="0" applyNumberFormat="1" applyFont="1" applyFill="1" applyBorder="1" applyAlignment="1">
      <alignment horizontal="center"/>
    </xf>
    <xf numFmtId="167" fontId="29" fillId="17" borderId="4" xfId="0" applyNumberFormat="1" applyFont="1" applyFill="1" applyBorder="1" applyAlignment="1">
      <alignment horizontal="center"/>
    </xf>
    <xf numFmtId="167" fontId="28" fillId="17" borderId="27" xfId="0" applyNumberFormat="1" applyFont="1" applyFill="1" applyBorder="1" applyAlignment="1">
      <alignment horizontal="center"/>
    </xf>
    <xf numFmtId="167" fontId="28" fillId="17" borderId="20" xfId="0" applyNumberFormat="1" applyFont="1" applyFill="1" applyBorder="1" applyAlignment="1">
      <alignment horizontal="center"/>
    </xf>
    <xf numFmtId="0" fontId="28" fillId="22" borderId="5" xfId="0" applyFont="1" applyFill="1" applyBorder="1" applyAlignment="1">
      <alignment horizontal="left" indent="1"/>
    </xf>
    <xf numFmtId="0" fontId="28" fillId="22" borderId="20" xfId="0" applyFont="1" applyFill="1" applyBorder="1" applyAlignment="1">
      <alignment horizontal="left" indent="1"/>
    </xf>
    <xf numFmtId="0" fontId="28" fillId="23" borderId="4" xfId="0" applyFont="1" applyFill="1" applyBorder="1" applyAlignment="1">
      <alignment horizontal="left" indent="1"/>
    </xf>
    <xf numFmtId="167" fontId="29" fillId="23" borderId="5" xfId="0" applyNumberFormat="1" applyFont="1" applyFill="1" applyBorder="1" applyAlignment="1">
      <alignment horizontal="center"/>
    </xf>
    <xf numFmtId="0" fontId="28" fillId="23" borderId="5" xfId="0" applyFont="1" applyFill="1" applyBorder="1" applyAlignment="1">
      <alignment horizontal="left" indent="1"/>
    </xf>
    <xf numFmtId="10" fontId="28" fillId="23" borderId="5" xfId="1" applyNumberFormat="1" applyFont="1" applyFill="1" applyBorder="1" applyAlignment="1">
      <alignment horizontal="center"/>
    </xf>
    <xf numFmtId="0" fontId="28" fillId="23" borderId="5" xfId="0" applyFont="1" applyFill="1" applyBorder="1" applyAlignment="1">
      <alignment vertical="top" wrapText="1"/>
    </xf>
    <xf numFmtId="0" fontId="28" fillId="14" borderId="0" xfId="0" applyFont="1" applyFill="1"/>
    <xf numFmtId="0" fontId="28" fillId="14" borderId="72" xfId="0" applyFont="1" applyFill="1" applyBorder="1"/>
    <xf numFmtId="170" fontId="28" fillId="14" borderId="72" xfId="2" applyNumberFormat="1" applyFont="1" applyFill="1" applyBorder="1" applyAlignment="1">
      <alignment horizontal="center"/>
    </xf>
    <xf numFmtId="0" fontId="28" fillId="14" borderId="72" xfId="0" applyFont="1" applyFill="1" applyBorder="1" applyAlignment="1">
      <alignment horizontal="center"/>
    </xf>
    <xf numFmtId="166" fontId="28" fillId="14" borderId="72" xfId="2" applyNumberFormat="1" applyFont="1" applyFill="1" applyBorder="1" applyAlignment="1">
      <alignment horizontal="center"/>
    </xf>
    <xf numFmtId="167" fontId="28" fillId="14" borderId="82" xfId="0" applyNumberFormat="1" applyFont="1" applyFill="1" applyBorder="1" applyAlignment="1">
      <alignment horizontal="center"/>
    </xf>
    <xf numFmtId="167" fontId="29" fillId="14" borderId="71" xfId="0" applyNumberFormat="1" applyFont="1" applyFill="1" applyBorder="1" applyAlignment="1">
      <alignment horizontal="center"/>
    </xf>
    <xf numFmtId="167" fontId="28" fillId="14" borderId="107" xfId="0" applyNumberFormat="1" applyFont="1" applyFill="1" applyBorder="1" applyAlignment="1">
      <alignment horizontal="center"/>
    </xf>
    <xf numFmtId="167" fontId="28" fillId="14" borderId="72" xfId="0" applyNumberFormat="1" applyFont="1" applyFill="1" applyBorder="1" applyAlignment="1">
      <alignment horizontal="center"/>
    </xf>
    <xf numFmtId="167" fontId="29" fillId="14" borderId="107" xfId="0" applyNumberFormat="1" applyFont="1" applyFill="1" applyBorder="1" applyAlignment="1">
      <alignment horizontal="center"/>
    </xf>
    <xf numFmtId="0" fontId="30" fillId="14" borderId="72" xfId="0" applyFont="1" applyFill="1" applyBorder="1" applyAlignment="1">
      <alignment horizontal="left" indent="1"/>
    </xf>
    <xf numFmtId="0" fontId="28" fillId="14" borderId="72" xfId="0" applyFont="1" applyFill="1" applyBorder="1" applyAlignment="1">
      <alignment horizontal="left" indent="2"/>
    </xf>
    <xf numFmtId="166" fontId="28" fillId="14" borderId="72" xfId="2" applyNumberFormat="1" applyFont="1" applyFill="1" applyBorder="1" applyAlignment="1">
      <alignment horizontal="right"/>
    </xf>
    <xf numFmtId="169" fontId="28" fillId="14" borderId="72" xfId="1" applyNumberFormat="1" applyFont="1" applyFill="1" applyBorder="1" applyAlignment="1">
      <alignment horizontal="right"/>
    </xf>
    <xf numFmtId="166" fontId="28" fillId="14" borderId="41" xfId="2" applyNumberFormat="1" applyFont="1" applyFill="1" applyBorder="1" applyAlignment="1">
      <alignment horizontal="center"/>
    </xf>
    <xf numFmtId="0" fontId="28" fillId="14" borderId="72" xfId="0" applyFont="1" applyFill="1" applyBorder="1" applyAlignment="1">
      <alignment horizontal="left" indent="1"/>
    </xf>
    <xf numFmtId="166" fontId="28" fillId="14" borderId="108" xfId="2" applyNumberFormat="1" applyFont="1" applyFill="1" applyBorder="1" applyAlignment="1">
      <alignment horizontal="right"/>
    </xf>
    <xf numFmtId="167" fontId="29" fillId="14" borderId="82" xfId="0" applyNumberFormat="1" applyFont="1" applyFill="1" applyBorder="1" applyAlignment="1">
      <alignment horizontal="center"/>
    </xf>
    <xf numFmtId="167" fontId="29" fillId="14" borderId="72" xfId="0" applyNumberFormat="1" applyFont="1" applyFill="1" applyBorder="1" applyAlignment="1">
      <alignment horizontal="center"/>
    </xf>
    <xf numFmtId="0" fontId="29" fillId="14" borderId="0" xfId="0" applyFont="1" applyFill="1"/>
    <xf numFmtId="167" fontId="28" fillId="14" borderId="27" xfId="0" applyNumberFormat="1" applyFont="1" applyFill="1" applyBorder="1" applyAlignment="1">
      <alignment horizontal="center"/>
    </xf>
    <xf numFmtId="167" fontId="28" fillId="14" borderId="20" xfId="0" applyNumberFormat="1" applyFont="1" applyFill="1" applyBorder="1" applyAlignment="1">
      <alignment horizontal="center"/>
    </xf>
    <xf numFmtId="0" fontId="28" fillId="22" borderId="72" xfId="0" applyFont="1" applyFill="1" applyBorder="1" applyAlignment="1">
      <alignment wrapText="1"/>
    </xf>
    <xf numFmtId="170" fontId="28" fillId="22" borderId="72" xfId="2" applyNumberFormat="1" applyFont="1" applyFill="1" applyBorder="1" applyAlignment="1">
      <alignment horizontal="center"/>
    </xf>
    <xf numFmtId="0" fontId="28" fillId="22" borderId="41" xfId="0" applyFont="1" applyFill="1" applyBorder="1" applyAlignment="1">
      <alignment horizontal="center"/>
    </xf>
    <xf numFmtId="166" fontId="28" fillId="22" borderId="72" xfId="2" applyNumberFormat="1" applyFont="1" applyFill="1" applyBorder="1" applyAlignment="1">
      <alignment horizontal="center"/>
    </xf>
    <xf numFmtId="167" fontId="28" fillId="22" borderId="82" xfId="0" applyNumberFormat="1" applyFont="1" applyFill="1" applyBorder="1" applyAlignment="1">
      <alignment horizontal="center"/>
    </xf>
    <xf numFmtId="167" fontId="29" fillId="22" borderId="71" xfId="0" applyNumberFormat="1" applyFont="1" applyFill="1" applyBorder="1" applyAlignment="1">
      <alignment horizontal="center"/>
    </xf>
    <xf numFmtId="167" fontId="28" fillId="22" borderId="107" xfId="0" applyNumberFormat="1" applyFont="1" applyFill="1" applyBorder="1" applyAlignment="1">
      <alignment horizontal="center"/>
    </xf>
    <xf numFmtId="167" fontId="28" fillId="22" borderId="72" xfId="0" applyNumberFormat="1" applyFont="1" applyFill="1" applyBorder="1" applyAlignment="1">
      <alignment horizontal="center"/>
    </xf>
    <xf numFmtId="167" fontId="29" fillId="22" borderId="107" xfId="0" applyNumberFormat="1" applyFont="1" applyFill="1" applyBorder="1" applyAlignment="1">
      <alignment horizontal="center"/>
    </xf>
    <xf numFmtId="0" fontId="30" fillId="22" borderId="72" xfId="0" applyFont="1" applyFill="1" applyBorder="1" applyAlignment="1">
      <alignment horizontal="left" indent="1"/>
    </xf>
    <xf numFmtId="0" fontId="28" fillId="22" borderId="72" xfId="0" applyFont="1" applyFill="1" applyBorder="1" applyAlignment="1">
      <alignment horizontal="center"/>
    </xf>
    <xf numFmtId="0" fontId="28" fillId="22" borderId="72" xfId="0" applyFont="1" applyFill="1" applyBorder="1" applyAlignment="1">
      <alignment horizontal="left" indent="2"/>
    </xf>
    <xf numFmtId="166" fontId="28" fillId="22" borderId="72" xfId="2" applyNumberFormat="1" applyFont="1" applyFill="1" applyBorder="1" applyAlignment="1">
      <alignment horizontal="right"/>
    </xf>
    <xf numFmtId="169" fontId="28" fillId="22" borderId="72" xfId="1" applyNumberFormat="1" applyFont="1" applyFill="1" applyBorder="1" applyAlignment="1">
      <alignment horizontal="right"/>
    </xf>
    <xf numFmtId="166" fontId="28" fillId="22" borderId="41" xfId="2" applyNumberFormat="1" applyFont="1" applyFill="1" applyBorder="1" applyAlignment="1">
      <alignment horizontal="center"/>
    </xf>
    <xf numFmtId="0" fontId="28" fillId="22" borderId="72" xfId="0" applyFont="1" applyFill="1" applyBorder="1" applyAlignment="1">
      <alignment horizontal="left" indent="1"/>
    </xf>
    <xf numFmtId="166" fontId="28" fillId="22" borderId="108" xfId="2" applyNumberFormat="1" applyFont="1" applyFill="1" applyBorder="1" applyAlignment="1">
      <alignment horizontal="right"/>
    </xf>
    <xf numFmtId="0" fontId="28" fillId="22" borderId="72" xfId="0" applyFont="1" applyFill="1" applyBorder="1"/>
    <xf numFmtId="0" fontId="0" fillId="22" borderId="0" xfId="0" applyFill="1" applyAlignment="1">
      <alignment wrapText="1"/>
    </xf>
    <xf numFmtId="0" fontId="28" fillId="14" borderId="5" xfId="0" applyFont="1" applyFill="1" applyBorder="1" applyAlignment="1">
      <alignment horizontal="left" indent="1"/>
    </xf>
    <xf numFmtId="0" fontId="17" fillId="8" borderId="20" xfId="0" applyFont="1" applyFill="1" applyBorder="1" applyAlignment="1">
      <alignment horizontal="center" vertical="center" wrapText="1" readingOrder="1"/>
    </xf>
    <xf numFmtId="0" fontId="16" fillId="8" borderId="14" xfId="0" applyFont="1" applyFill="1" applyBorder="1" applyAlignment="1">
      <alignment horizontal="center" vertical="center" wrapText="1" readingOrder="1"/>
    </xf>
    <xf numFmtId="0" fontId="16" fillId="8" borderId="5" xfId="0" applyFont="1" applyFill="1" applyBorder="1" applyAlignment="1">
      <alignment horizontal="center" vertical="center" wrapText="1" readingOrder="1"/>
    </xf>
    <xf numFmtId="0" fontId="16" fillId="8" borderId="20" xfId="0" applyFont="1" applyFill="1" applyBorder="1" applyAlignment="1">
      <alignment horizontal="center" vertical="center" wrapText="1" readingOrder="1"/>
    </xf>
    <xf numFmtId="0" fontId="16" fillId="8" borderId="4" xfId="0" applyFont="1" applyFill="1" applyBorder="1" applyAlignment="1">
      <alignment horizontal="center" vertical="center" wrapText="1" readingOrder="1"/>
    </xf>
    <xf numFmtId="0" fontId="32" fillId="8" borderId="92" xfId="0" applyFont="1" applyFill="1" applyBorder="1" applyAlignment="1">
      <alignment horizontal="center" vertical="center" wrapText="1" readingOrder="1"/>
    </xf>
    <xf numFmtId="0" fontId="16" fillId="5" borderId="4" xfId="0" applyFont="1" applyFill="1" applyBorder="1" applyAlignment="1">
      <alignment horizontal="center" vertical="center" wrapText="1" readingOrder="1"/>
    </xf>
    <xf numFmtId="0" fontId="16" fillId="5" borderId="5" xfId="0" applyFont="1" applyFill="1" applyBorder="1" applyAlignment="1">
      <alignment horizontal="center" vertical="center" wrapText="1" readingOrder="1"/>
    </xf>
    <xf numFmtId="0" fontId="16" fillId="5" borderId="20" xfId="0" applyFont="1" applyFill="1" applyBorder="1" applyAlignment="1">
      <alignment horizontal="center" vertical="center" wrapText="1" readingOrder="1"/>
    </xf>
    <xf numFmtId="0" fontId="16" fillId="5" borderId="72" xfId="0" applyFont="1" applyFill="1" applyBorder="1" applyAlignment="1">
      <alignment horizontal="center" vertical="center" wrapText="1" readingOrder="1"/>
    </xf>
    <xf numFmtId="0" fontId="16" fillId="5" borderId="14" xfId="0" applyFont="1" applyFill="1" applyBorder="1" applyAlignment="1">
      <alignment horizontal="center" vertical="center" wrapText="1" readingOrder="1"/>
    </xf>
    <xf numFmtId="0" fontId="32" fillId="5" borderId="72" xfId="0" applyFont="1" applyFill="1" applyBorder="1" applyAlignment="1">
      <alignment horizontal="center" vertical="center" wrapText="1" readingOrder="1"/>
    </xf>
    <xf numFmtId="0" fontId="16" fillId="13" borderId="5" xfId="0" applyFont="1" applyFill="1" applyBorder="1" applyAlignment="1">
      <alignment horizontal="center" vertical="center" wrapText="1" readingOrder="1"/>
    </xf>
    <xf numFmtId="0" fontId="16" fillId="13" borderId="72" xfId="0" applyFont="1" applyFill="1" applyBorder="1" applyAlignment="1">
      <alignment horizontal="center" vertical="center" wrapText="1" readingOrder="1"/>
    </xf>
    <xf numFmtId="0" fontId="16" fillId="13" borderId="14" xfId="0" applyFont="1" applyFill="1" applyBorder="1" applyAlignment="1">
      <alignment horizontal="center" vertical="center" wrapText="1" readingOrder="1"/>
    </xf>
    <xf numFmtId="0" fontId="16" fillId="13" borderId="20" xfId="0" applyFont="1" applyFill="1" applyBorder="1" applyAlignment="1">
      <alignment horizontal="center" vertical="center" wrapText="1" readingOrder="1"/>
    </xf>
    <xf numFmtId="0" fontId="16" fillId="13" borderId="4" xfId="0" applyFont="1" applyFill="1" applyBorder="1" applyAlignment="1">
      <alignment horizontal="center" vertical="center" wrapText="1" readingOrder="1"/>
    </xf>
    <xf numFmtId="0" fontId="16" fillId="13" borderId="92" xfId="0" applyFont="1" applyFill="1" applyBorder="1" applyAlignment="1">
      <alignment horizontal="center" vertical="center" wrapText="1" readingOrder="1"/>
    </xf>
    <xf numFmtId="0" fontId="16" fillId="10" borderId="86" xfId="0" applyFont="1" applyFill="1" applyBorder="1" applyAlignment="1">
      <alignment horizontal="center" vertical="center" wrapText="1" readingOrder="1"/>
    </xf>
    <xf numFmtId="0" fontId="16" fillId="10" borderId="5" xfId="0" applyFont="1" applyFill="1" applyBorder="1" applyAlignment="1">
      <alignment horizontal="center" vertical="center" wrapText="1" readingOrder="1"/>
    </xf>
    <xf numFmtId="0" fontId="16" fillId="10" borderId="20" xfId="0" applyFont="1" applyFill="1" applyBorder="1" applyAlignment="1">
      <alignment horizontal="center" vertical="center" wrapText="1" readingOrder="1"/>
    </xf>
    <xf numFmtId="0" fontId="16" fillId="10" borderId="4" xfId="0" applyFont="1" applyFill="1" applyBorder="1" applyAlignment="1">
      <alignment horizontal="center" vertical="center" wrapText="1" readingOrder="1"/>
    </xf>
    <xf numFmtId="0" fontId="16" fillId="10" borderId="72" xfId="0" applyFont="1" applyFill="1" applyBorder="1" applyAlignment="1">
      <alignment horizontal="center" vertical="center" wrapText="1" readingOrder="1"/>
    </xf>
    <xf numFmtId="0" fontId="16" fillId="10" borderId="14" xfId="0" applyFont="1" applyFill="1" applyBorder="1" applyAlignment="1">
      <alignment horizontal="center" vertical="center" wrapText="1" readingOrder="1"/>
    </xf>
    <xf numFmtId="0" fontId="16" fillId="10" borderId="92" xfId="0" applyFont="1" applyFill="1" applyBorder="1" applyAlignment="1">
      <alignment horizontal="center" vertical="center" wrapText="1" readingOrder="1"/>
    </xf>
    <xf numFmtId="0" fontId="16" fillId="15" borderId="4" xfId="0" applyFont="1" applyFill="1" applyBorder="1" applyAlignment="1">
      <alignment horizontal="center" vertical="center" wrapText="1" readingOrder="1"/>
    </xf>
    <xf numFmtId="0" fontId="16" fillId="15" borderId="5" xfId="0" applyFont="1" applyFill="1" applyBorder="1" applyAlignment="1">
      <alignment horizontal="center" vertical="center" wrapText="1" readingOrder="1"/>
    </xf>
    <xf numFmtId="0" fontId="16" fillId="15" borderId="72" xfId="0" applyFont="1" applyFill="1" applyBorder="1" applyAlignment="1">
      <alignment horizontal="center" vertical="center" wrapText="1" readingOrder="1"/>
    </xf>
    <xf numFmtId="0" fontId="16" fillId="15" borderId="14" xfId="0" applyFont="1" applyFill="1" applyBorder="1" applyAlignment="1">
      <alignment horizontal="center" vertical="center" wrapText="1" readingOrder="1"/>
    </xf>
    <xf numFmtId="0" fontId="16" fillId="16" borderId="86" xfId="0" applyFont="1" applyFill="1" applyBorder="1" applyAlignment="1">
      <alignment horizontal="center" vertical="center" wrapText="1" readingOrder="1"/>
    </xf>
    <xf numFmtId="0" fontId="16" fillId="16" borderId="5" xfId="0" applyFont="1" applyFill="1" applyBorder="1" applyAlignment="1">
      <alignment horizontal="center" vertical="center" wrapText="1" readingOrder="1"/>
    </xf>
    <xf numFmtId="0" fontId="16" fillId="16" borderId="92" xfId="0" applyFont="1" applyFill="1" applyBorder="1" applyAlignment="1">
      <alignment horizontal="center" vertical="center" wrapText="1" readingOrder="1"/>
    </xf>
    <xf numFmtId="0" fontId="16" fillId="20" borderId="4" xfId="0" applyFont="1" applyFill="1" applyBorder="1" applyAlignment="1">
      <alignment horizontal="center" vertical="center" wrapText="1" readingOrder="1"/>
    </xf>
    <xf numFmtId="0" fontId="16" fillId="20" borderId="5" xfId="0" applyFont="1" applyFill="1" applyBorder="1" applyAlignment="1">
      <alignment horizontal="center" vertical="center" wrapText="1" readingOrder="1"/>
    </xf>
    <xf numFmtId="0" fontId="16" fillId="20" borderId="20" xfId="0" applyFont="1" applyFill="1" applyBorder="1" applyAlignment="1">
      <alignment horizontal="center" vertical="center" wrapText="1" readingOrder="1"/>
    </xf>
    <xf numFmtId="0" fontId="25" fillId="8" borderId="66" xfId="0" applyFont="1" applyFill="1" applyBorder="1" applyAlignment="1">
      <alignment horizontal="center" vertical="center" wrapText="1" readingOrder="1"/>
    </xf>
    <xf numFmtId="0" fontId="25" fillId="8" borderId="5" xfId="0" applyFont="1" applyFill="1" applyBorder="1" applyAlignment="1">
      <alignment horizontal="center" vertical="center" wrapText="1" readingOrder="1"/>
    </xf>
    <xf numFmtId="167" fontId="9" fillId="18" borderId="109" xfId="0" applyNumberFormat="1" applyFont="1" applyFill="1" applyBorder="1" applyAlignment="1">
      <alignment horizontal="center" vertical="center" wrapText="1" readingOrder="1"/>
    </xf>
    <xf numFmtId="0" fontId="9" fillId="18" borderId="109" xfId="0" applyFont="1" applyFill="1" applyBorder="1" applyAlignment="1">
      <alignment horizontal="center" vertical="center" wrapText="1" readingOrder="1"/>
    </xf>
    <xf numFmtId="0" fontId="9" fillId="18" borderId="113" xfId="0" applyFont="1" applyFill="1" applyBorder="1" applyAlignment="1">
      <alignment horizontal="center" vertical="center" wrapText="1" readingOrder="1"/>
    </xf>
    <xf numFmtId="0" fontId="5" fillId="4" borderId="57" xfId="0" applyFont="1" applyFill="1" applyBorder="1" applyAlignment="1">
      <alignment horizontal="center" vertical="top" wrapText="1"/>
    </xf>
    <xf numFmtId="0" fontId="0" fillId="0" borderId="0" xfId="0" applyAlignment="1">
      <alignment horizontal="center" vertical="center"/>
    </xf>
    <xf numFmtId="0" fontId="0" fillId="0" borderId="3" xfId="0" applyBorder="1" applyAlignment="1">
      <alignment horizontal="center" vertical="center"/>
    </xf>
    <xf numFmtId="0" fontId="25" fillId="8" borderId="69" xfId="0" applyFont="1" applyFill="1" applyBorder="1" applyAlignment="1">
      <alignment horizontal="left" vertical="center" wrapText="1" readingOrder="1"/>
    </xf>
    <xf numFmtId="0" fontId="25" fillId="13" borderId="18" xfId="0" applyFont="1" applyFill="1" applyBorder="1" applyAlignment="1">
      <alignment horizontal="left" vertical="center" wrapText="1" readingOrder="1"/>
    </xf>
    <xf numFmtId="170" fontId="28" fillId="23" borderId="72" xfId="2" applyNumberFormat="1" applyFont="1" applyFill="1" applyBorder="1" applyAlignment="1">
      <alignment horizontal="center"/>
    </xf>
    <xf numFmtId="0" fontId="28" fillId="23" borderId="72" xfId="0" applyFont="1" applyFill="1" applyBorder="1" applyAlignment="1">
      <alignment horizontal="center"/>
    </xf>
    <xf numFmtId="166" fontId="28" fillId="23" borderId="72" xfId="2" applyNumberFormat="1" applyFont="1" applyFill="1" applyBorder="1" applyAlignment="1">
      <alignment horizontal="center"/>
    </xf>
    <xf numFmtId="167" fontId="28" fillId="23" borderId="82" xfId="0" applyNumberFormat="1" applyFont="1" applyFill="1" applyBorder="1" applyAlignment="1">
      <alignment horizontal="center"/>
    </xf>
    <xf numFmtId="167" fontId="29" fillId="23" borderId="71" xfId="0" applyNumberFormat="1" applyFont="1" applyFill="1" applyBorder="1" applyAlignment="1">
      <alignment horizontal="center"/>
    </xf>
    <xf numFmtId="167" fontId="28" fillId="23" borderId="107" xfId="0" applyNumberFormat="1" applyFont="1" applyFill="1" applyBorder="1" applyAlignment="1">
      <alignment horizontal="center"/>
    </xf>
    <xf numFmtId="167" fontId="28" fillId="23" borderId="72" xfId="0" applyNumberFormat="1" applyFont="1" applyFill="1" applyBorder="1" applyAlignment="1">
      <alignment horizontal="center"/>
    </xf>
    <xf numFmtId="167" fontId="29" fillId="23" borderId="107" xfId="0" applyNumberFormat="1" applyFont="1" applyFill="1" applyBorder="1" applyAlignment="1">
      <alignment horizontal="center"/>
    </xf>
    <xf numFmtId="167" fontId="28" fillId="23" borderId="31" xfId="0" applyNumberFormat="1" applyFont="1" applyFill="1" applyBorder="1" applyAlignment="1">
      <alignment horizontal="center"/>
    </xf>
    <xf numFmtId="167" fontId="29" fillId="23" borderId="32" xfId="0" applyNumberFormat="1" applyFont="1" applyFill="1" applyBorder="1" applyAlignment="1">
      <alignment horizontal="center"/>
    </xf>
    <xf numFmtId="167" fontId="29" fillId="23" borderId="33" xfId="0" applyNumberFormat="1" applyFont="1" applyFill="1" applyBorder="1" applyAlignment="1">
      <alignment horizontal="center"/>
    </xf>
    <xf numFmtId="167" fontId="29" fillId="23" borderId="4" xfId="0" applyNumberFormat="1" applyFont="1" applyFill="1" applyBorder="1" applyAlignment="1">
      <alignment horizontal="center"/>
    </xf>
    <xf numFmtId="0" fontId="30" fillId="23" borderId="4" xfId="0" applyFont="1" applyFill="1" applyBorder="1"/>
    <xf numFmtId="167" fontId="9" fillId="24" borderId="109" xfId="0" applyNumberFormat="1" applyFont="1" applyFill="1" applyBorder="1" applyAlignment="1">
      <alignment horizontal="center" vertical="center" wrapText="1" readingOrder="1"/>
    </xf>
    <xf numFmtId="0" fontId="9" fillId="24" borderId="10" xfId="0" applyFont="1" applyFill="1" applyBorder="1" applyAlignment="1">
      <alignment horizontal="center" vertical="center" wrapText="1" readingOrder="1"/>
    </xf>
    <xf numFmtId="0" fontId="18" fillId="8" borderId="75" xfId="0" applyFont="1" applyFill="1" applyBorder="1" applyAlignment="1">
      <alignment horizontal="left" vertical="center" wrapText="1" readingOrder="1"/>
    </xf>
    <xf numFmtId="0" fontId="25" fillId="8" borderId="5" xfId="0" applyFont="1" applyFill="1" applyBorder="1" applyAlignment="1">
      <alignment horizontal="left" vertical="center" wrapText="1" indent="1" readingOrder="1"/>
    </xf>
    <xf numFmtId="0" fontId="25" fillId="8" borderId="5" xfId="0" applyFont="1" applyFill="1" applyBorder="1" applyAlignment="1">
      <alignment horizontal="left" vertical="center" wrapText="1" indent="2" readingOrder="1"/>
    </xf>
    <xf numFmtId="167" fontId="18" fillId="6" borderId="5" xfId="0" applyNumberFormat="1" applyFont="1" applyFill="1" applyBorder="1" applyAlignment="1">
      <alignment horizontal="center" vertical="center" wrapText="1" readingOrder="1"/>
    </xf>
    <xf numFmtId="165" fontId="18" fillId="6" borderId="5" xfId="0" applyNumberFormat="1" applyFont="1" applyFill="1" applyBorder="1" applyAlignment="1">
      <alignment horizontal="center" vertical="center" wrapText="1" readingOrder="1"/>
    </xf>
    <xf numFmtId="167" fontId="18" fillId="6" borderId="4" xfId="0" applyNumberFormat="1" applyFont="1" applyFill="1" applyBorder="1" applyAlignment="1">
      <alignment horizontal="center" vertical="center" wrapText="1" readingOrder="1"/>
    </xf>
    <xf numFmtId="165" fontId="18" fillId="6" borderId="4" xfId="0" applyNumberFormat="1" applyFont="1" applyFill="1" applyBorder="1" applyAlignment="1">
      <alignment horizontal="center" vertical="center" wrapText="1" readingOrder="1"/>
    </xf>
    <xf numFmtId="167" fontId="18" fillId="6" borderId="72" xfId="0" applyNumberFormat="1" applyFont="1" applyFill="1" applyBorder="1" applyAlignment="1">
      <alignment horizontal="center" vertical="center" wrapText="1" readingOrder="1"/>
    </xf>
    <xf numFmtId="165" fontId="18" fillId="6" borderId="72" xfId="0" applyNumberFormat="1" applyFont="1" applyFill="1" applyBorder="1" applyAlignment="1">
      <alignment horizontal="center" vertical="center" wrapText="1" readingOrder="1"/>
    </xf>
    <xf numFmtId="167" fontId="21" fillId="6" borderId="14" xfId="0" applyNumberFormat="1" applyFont="1" applyFill="1" applyBorder="1" applyAlignment="1">
      <alignment horizontal="center" vertical="center" wrapText="1" readingOrder="1"/>
    </xf>
    <xf numFmtId="165" fontId="21" fillId="6" borderId="14" xfId="0" applyNumberFormat="1" applyFont="1" applyFill="1" applyBorder="1" applyAlignment="1">
      <alignment horizontal="center" vertical="center" wrapText="1" readingOrder="1"/>
    </xf>
    <xf numFmtId="167" fontId="21" fillId="6" borderId="5" xfId="0" applyNumberFormat="1" applyFont="1" applyFill="1" applyBorder="1" applyAlignment="1">
      <alignment horizontal="center" vertical="center" wrapText="1" readingOrder="1"/>
    </xf>
    <xf numFmtId="165" fontId="21" fillId="6" borderId="5" xfId="0" applyNumberFormat="1" applyFont="1" applyFill="1" applyBorder="1" applyAlignment="1">
      <alignment horizontal="center" vertical="center" wrapText="1" readingOrder="1"/>
    </xf>
    <xf numFmtId="167" fontId="21" fillId="6" borderId="72" xfId="0" applyNumberFormat="1" applyFont="1" applyFill="1" applyBorder="1" applyAlignment="1">
      <alignment horizontal="center" vertical="center" wrapText="1" readingOrder="1"/>
    </xf>
    <xf numFmtId="165" fontId="21" fillId="6" borderId="72" xfId="0" applyNumberFormat="1" applyFont="1" applyFill="1" applyBorder="1" applyAlignment="1">
      <alignment horizontal="center" vertical="center" wrapText="1" readingOrder="1"/>
    </xf>
    <xf numFmtId="167" fontId="21" fillId="6" borderId="20" xfId="0" applyNumberFormat="1" applyFont="1" applyFill="1" applyBorder="1" applyAlignment="1">
      <alignment horizontal="center" vertical="center" wrapText="1" readingOrder="1"/>
    </xf>
    <xf numFmtId="165" fontId="21" fillId="6" borderId="20" xfId="0" applyNumberFormat="1" applyFont="1" applyFill="1" applyBorder="1" applyAlignment="1">
      <alignment horizontal="center" vertical="center" wrapText="1" readingOrder="1"/>
    </xf>
    <xf numFmtId="167" fontId="21" fillId="6" borderId="4" xfId="0" applyNumberFormat="1" applyFont="1" applyFill="1" applyBorder="1" applyAlignment="1">
      <alignment horizontal="center" vertical="center" wrapText="1" readingOrder="1"/>
    </xf>
    <xf numFmtId="165" fontId="21" fillId="6" borderId="4" xfId="0" applyNumberFormat="1" applyFont="1" applyFill="1" applyBorder="1" applyAlignment="1">
      <alignment horizontal="center" vertical="center" wrapText="1" readingOrder="1"/>
    </xf>
    <xf numFmtId="167" fontId="21" fillId="6" borderId="92" xfId="0" applyNumberFormat="1" applyFont="1" applyFill="1" applyBorder="1" applyAlignment="1">
      <alignment horizontal="center" vertical="center" wrapText="1" readingOrder="1"/>
    </xf>
    <xf numFmtId="165" fontId="21" fillId="6" borderId="92" xfId="0" applyNumberFormat="1" applyFont="1" applyFill="1" applyBorder="1" applyAlignment="1">
      <alignment horizontal="center" vertical="center" wrapText="1" readingOrder="1"/>
    </xf>
    <xf numFmtId="167" fontId="18" fillId="6" borderId="20" xfId="0" applyNumberFormat="1" applyFont="1" applyFill="1" applyBorder="1" applyAlignment="1">
      <alignment horizontal="center" vertical="center" wrapText="1" readingOrder="1"/>
    </xf>
    <xf numFmtId="165" fontId="18" fillId="6" borderId="20" xfId="0" applyNumberFormat="1" applyFont="1" applyFill="1" applyBorder="1" applyAlignment="1">
      <alignment horizontal="center" vertical="center" wrapText="1" readingOrder="1"/>
    </xf>
    <xf numFmtId="167" fontId="18" fillId="6" borderId="14" xfId="0" applyNumberFormat="1" applyFont="1" applyFill="1" applyBorder="1" applyAlignment="1">
      <alignment horizontal="center" vertical="center" wrapText="1" readingOrder="1"/>
    </xf>
    <xf numFmtId="165" fontId="18" fillId="6" borderId="14" xfId="0" applyNumberFormat="1" applyFont="1" applyFill="1" applyBorder="1" applyAlignment="1">
      <alignment horizontal="center" vertical="center" wrapText="1" readingOrder="1"/>
    </xf>
    <xf numFmtId="167" fontId="18" fillId="6" borderId="92" xfId="0" applyNumberFormat="1" applyFont="1" applyFill="1" applyBorder="1" applyAlignment="1">
      <alignment horizontal="center" vertical="center" wrapText="1" readingOrder="1"/>
    </xf>
    <xf numFmtId="165" fontId="18" fillId="6" borderId="92" xfId="0" applyNumberFormat="1" applyFont="1" applyFill="1" applyBorder="1" applyAlignment="1">
      <alignment horizontal="center" vertical="center" wrapText="1" readingOrder="1"/>
    </xf>
    <xf numFmtId="0" fontId="33" fillId="14" borderId="4" xfId="0" applyFont="1" applyFill="1" applyBorder="1"/>
    <xf numFmtId="172" fontId="28" fillId="14" borderId="4" xfId="2" applyNumberFormat="1" applyFont="1" applyFill="1" applyBorder="1" applyAlignment="1">
      <alignment horizontal="center"/>
    </xf>
    <xf numFmtId="0" fontId="18" fillId="8" borderId="5" xfId="0" applyFont="1" applyFill="1" applyBorder="1" applyAlignment="1">
      <alignment horizontal="left" vertical="center" wrapText="1" indent="1" readingOrder="1"/>
    </xf>
    <xf numFmtId="0" fontId="18" fillId="8" borderId="5" xfId="0" applyFont="1" applyFill="1" applyBorder="1" applyAlignment="1">
      <alignment horizontal="left" vertical="center" wrapText="1" indent="2" readingOrder="1"/>
    </xf>
    <xf numFmtId="0" fontId="18" fillId="8" borderId="5" xfId="0" applyFont="1" applyFill="1" applyBorder="1" applyAlignment="1">
      <alignment horizontal="left" vertical="center" wrapText="1" indent="3" readingOrder="1"/>
    </xf>
    <xf numFmtId="0" fontId="18" fillId="8" borderId="5" xfId="0" applyFont="1" applyFill="1" applyBorder="1" applyAlignment="1">
      <alignment horizontal="left" vertical="center" wrapText="1" indent="4" readingOrder="1"/>
    </xf>
    <xf numFmtId="0" fontId="25" fillId="8" borderId="5" xfId="0" applyFont="1" applyFill="1" applyBorder="1" applyAlignment="1">
      <alignment horizontal="left" vertical="center" wrapText="1" indent="3" readingOrder="1"/>
    </xf>
    <xf numFmtId="0" fontId="25" fillId="5" borderId="5" xfId="0" applyFont="1" applyFill="1" applyBorder="1" applyAlignment="1">
      <alignment horizontal="left" vertical="center" wrapText="1" indent="1" readingOrder="1"/>
    </xf>
    <xf numFmtId="0" fontId="25" fillId="5" borderId="5" xfId="0" applyFont="1" applyFill="1" applyBorder="1" applyAlignment="1">
      <alignment horizontal="left" vertical="center" wrapText="1" indent="2" readingOrder="1"/>
    </xf>
    <xf numFmtId="0" fontId="25" fillId="5" borderId="5" xfId="0" applyFont="1" applyFill="1" applyBorder="1" applyAlignment="1">
      <alignment horizontal="left" vertical="center" wrapText="1" indent="3" readingOrder="1"/>
    </xf>
    <xf numFmtId="0" fontId="25" fillId="5" borderId="5" xfId="0" applyFont="1" applyFill="1" applyBorder="1" applyAlignment="1">
      <alignment horizontal="left" vertical="center" wrapText="1" indent="4" readingOrder="1"/>
    </xf>
    <xf numFmtId="0" fontId="28" fillId="22" borderId="41" xfId="0" applyFont="1" applyFill="1" applyBorder="1" applyAlignment="1">
      <alignment horizontal="left" indent="1"/>
    </xf>
    <xf numFmtId="170" fontId="28" fillId="22" borderId="41" xfId="2" applyNumberFormat="1" applyFont="1" applyFill="1" applyBorder="1" applyAlignment="1">
      <alignment horizontal="center"/>
    </xf>
    <xf numFmtId="0" fontId="33" fillId="22" borderId="4" xfId="0" applyFont="1" applyFill="1" applyBorder="1"/>
    <xf numFmtId="0" fontId="28" fillId="0" borderId="41" xfId="0" applyFont="1" applyBorder="1" applyAlignment="1">
      <alignment horizontal="left" indent="1"/>
    </xf>
    <xf numFmtId="170" fontId="28" fillId="0" borderId="41" xfId="2" applyNumberFormat="1" applyFont="1" applyFill="1" applyBorder="1" applyAlignment="1">
      <alignment horizontal="center"/>
    </xf>
    <xf numFmtId="0" fontId="28" fillId="0" borderId="41" xfId="0" applyFont="1" applyBorder="1" applyAlignment="1">
      <alignment horizontal="center"/>
    </xf>
    <xf numFmtId="166" fontId="28" fillId="0" borderId="41" xfId="2" applyNumberFormat="1" applyFont="1" applyFill="1" applyBorder="1" applyAlignment="1">
      <alignment horizontal="center"/>
    </xf>
    <xf numFmtId="167" fontId="28" fillId="0" borderId="82" xfId="0" applyNumberFormat="1" applyFont="1" applyBorder="1" applyAlignment="1">
      <alignment horizontal="center"/>
    </xf>
    <xf numFmtId="167" fontId="29" fillId="0" borderId="71" xfId="0" applyNumberFormat="1" applyFont="1" applyBorder="1" applyAlignment="1">
      <alignment horizontal="center"/>
    </xf>
    <xf numFmtId="167" fontId="28" fillId="0" borderId="107" xfId="0" applyNumberFormat="1" applyFont="1" applyBorder="1" applyAlignment="1">
      <alignment horizontal="center"/>
    </xf>
    <xf numFmtId="167" fontId="28" fillId="0" borderId="72" xfId="0" applyNumberFormat="1" applyFont="1" applyBorder="1" applyAlignment="1">
      <alignment horizontal="center"/>
    </xf>
    <xf numFmtId="167" fontId="29" fillId="0" borderId="107" xfId="0" applyNumberFormat="1" applyFont="1" applyBorder="1" applyAlignment="1">
      <alignment horizontal="center"/>
    </xf>
    <xf numFmtId="167" fontId="28" fillId="0" borderId="31" xfId="0" applyNumberFormat="1" applyFont="1" applyBorder="1" applyAlignment="1">
      <alignment horizontal="center"/>
    </xf>
    <xf numFmtId="167" fontId="29" fillId="0" borderId="32" xfId="0" applyNumberFormat="1" applyFont="1" applyBorder="1" applyAlignment="1">
      <alignment horizontal="center"/>
    </xf>
    <xf numFmtId="167" fontId="29" fillId="0" borderId="33" xfId="0" applyNumberFormat="1" applyFont="1" applyBorder="1" applyAlignment="1">
      <alignment horizontal="center"/>
    </xf>
    <xf numFmtId="167" fontId="29" fillId="0" borderId="4" xfId="0" applyNumberFormat="1" applyFont="1" applyBorder="1" applyAlignment="1">
      <alignment horizontal="center"/>
    </xf>
    <xf numFmtId="0" fontId="25" fillId="13" borderId="85" xfId="0" applyFont="1" applyFill="1" applyBorder="1" applyAlignment="1">
      <alignment horizontal="left" vertical="center" wrapText="1" readingOrder="1"/>
    </xf>
    <xf numFmtId="0" fontId="25" fillId="13" borderId="86" xfId="0" applyFont="1" applyFill="1" applyBorder="1" applyAlignment="1">
      <alignment horizontal="left" vertical="center" wrapText="1" readingOrder="1"/>
    </xf>
    <xf numFmtId="0" fontId="16" fillId="13" borderId="86" xfId="0" applyFont="1" applyFill="1" applyBorder="1" applyAlignment="1">
      <alignment horizontal="center" vertical="center" wrapText="1" readingOrder="1"/>
    </xf>
    <xf numFmtId="0" fontId="25" fillId="15" borderId="5" xfId="0" applyFont="1" applyFill="1" applyBorder="1" applyAlignment="1">
      <alignment horizontal="left" vertical="center" wrapText="1" indent="1" readingOrder="1"/>
    </xf>
    <xf numFmtId="0" fontId="25" fillId="15" borderId="5" xfId="0" applyFont="1" applyFill="1" applyBorder="1" applyAlignment="1">
      <alignment horizontal="left" vertical="center" wrapText="1" indent="2" readingOrder="1"/>
    </xf>
    <xf numFmtId="0" fontId="25" fillId="15" borderId="4" xfId="0" applyFont="1" applyFill="1" applyBorder="1" applyAlignment="1">
      <alignment horizontal="left" vertical="center" wrapText="1" indent="1" readingOrder="1"/>
    </xf>
    <xf numFmtId="0" fontId="25" fillId="15" borderId="4" xfId="0" applyFont="1" applyFill="1" applyBorder="1" applyAlignment="1">
      <alignment horizontal="left" vertical="center" wrapText="1" indent="2" readingOrder="1"/>
    </xf>
    <xf numFmtId="0" fontId="25" fillId="20" borderId="5" xfId="0" applyFont="1" applyFill="1" applyBorder="1" applyAlignment="1">
      <alignment horizontal="left" vertical="center" wrapText="1" indent="1" readingOrder="1"/>
    </xf>
    <xf numFmtId="0" fontId="25" fillId="13" borderId="5" xfId="0" applyFont="1" applyFill="1" applyBorder="1" applyAlignment="1">
      <alignment horizontal="left" vertical="center" wrapText="1" indent="1" readingOrder="1"/>
    </xf>
    <xf numFmtId="0" fontId="25" fillId="13" borderId="5" xfId="0" applyFont="1" applyFill="1" applyBorder="1" applyAlignment="1">
      <alignment horizontal="left" vertical="center" wrapText="1" indent="2" readingOrder="1"/>
    </xf>
    <xf numFmtId="0" fontId="25" fillId="13" borderId="5" xfId="0" applyFont="1" applyFill="1" applyBorder="1" applyAlignment="1">
      <alignment horizontal="left" vertical="center" wrapText="1" indent="3" readingOrder="1"/>
    </xf>
    <xf numFmtId="0" fontId="25" fillId="10" borderId="5" xfId="0" applyFont="1" applyFill="1" applyBorder="1" applyAlignment="1">
      <alignment horizontal="left" vertical="center" wrapText="1" indent="1" readingOrder="1"/>
    </xf>
    <xf numFmtId="0" fontId="25" fillId="10" borderId="5" xfId="0" applyFont="1" applyFill="1" applyBorder="1" applyAlignment="1">
      <alignment horizontal="left" vertical="center" wrapText="1" indent="2" readingOrder="1"/>
    </xf>
    <xf numFmtId="0" fontId="25" fillId="10" borderId="5" xfId="0" applyFont="1" applyFill="1" applyBorder="1" applyAlignment="1">
      <alignment horizontal="left" vertical="center" wrapText="1" indent="3" readingOrder="1"/>
    </xf>
    <xf numFmtId="167" fontId="18" fillId="8" borderId="92" xfId="0" applyNumberFormat="1" applyFont="1" applyFill="1" applyBorder="1" applyAlignment="1">
      <alignment horizontal="center" vertical="center" wrapText="1" readingOrder="1"/>
    </xf>
    <xf numFmtId="165" fontId="18" fillId="8" borderId="92" xfId="0" applyNumberFormat="1" applyFont="1" applyFill="1" applyBorder="1" applyAlignment="1">
      <alignment horizontal="center" vertical="center" wrapText="1" readingOrder="1"/>
    </xf>
    <xf numFmtId="0" fontId="21" fillId="8" borderId="31" xfId="0" applyFont="1" applyFill="1" applyBorder="1" applyAlignment="1">
      <alignment horizontal="left" vertical="center" wrapText="1" readingOrder="1"/>
    </xf>
    <xf numFmtId="0" fontId="17" fillId="9" borderId="20" xfId="0" applyFont="1" applyFill="1" applyBorder="1" applyAlignment="1">
      <alignment horizontal="center" vertical="center" wrapText="1" readingOrder="1"/>
    </xf>
    <xf numFmtId="0" fontId="18" fillId="8" borderId="121" xfId="0" applyFont="1" applyFill="1" applyBorder="1" applyAlignment="1">
      <alignment horizontal="left" vertical="center" wrapText="1" readingOrder="1"/>
    </xf>
    <xf numFmtId="0" fontId="21" fillId="8" borderId="120" xfId="0" applyFont="1" applyFill="1" applyBorder="1" applyAlignment="1">
      <alignment horizontal="left" vertical="center" wrapText="1" readingOrder="1"/>
    </xf>
    <xf numFmtId="0" fontId="25" fillId="8" borderId="19" xfId="0" applyFont="1" applyFill="1" applyBorder="1" applyAlignment="1">
      <alignment horizontal="left" vertical="center" wrapText="1" readingOrder="1"/>
    </xf>
    <xf numFmtId="0" fontId="21" fillId="8" borderId="121" xfId="0" applyFont="1" applyFill="1" applyBorder="1" applyAlignment="1">
      <alignment horizontal="left" vertical="center" wrapText="1" readingOrder="1"/>
    </xf>
    <xf numFmtId="0" fontId="28" fillId="23" borderId="41" xfId="0" applyFont="1" applyFill="1" applyBorder="1" applyAlignment="1">
      <alignment horizontal="left" indent="1"/>
    </xf>
    <xf numFmtId="170" fontId="28" fillId="23" borderId="41" xfId="2" applyNumberFormat="1" applyFont="1" applyFill="1" applyBorder="1" applyAlignment="1">
      <alignment horizontal="center"/>
    </xf>
    <xf numFmtId="0" fontId="28" fillId="23" borderId="41" xfId="0" applyFont="1" applyFill="1" applyBorder="1" applyAlignment="1">
      <alignment horizontal="center"/>
    </xf>
    <xf numFmtId="166" fontId="28" fillId="23" borderId="41" xfId="2" applyNumberFormat="1" applyFont="1" applyFill="1" applyBorder="1" applyAlignment="1">
      <alignment horizontal="center"/>
    </xf>
    <xf numFmtId="0" fontId="30" fillId="0" borderId="4" xfId="0" applyFont="1" applyBorder="1"/>
    <xf numFmtId="0" fontId="30" fillId="22" borderId="4" xfId="0" applyFont="1" applyFill="1" applyBorder="1"/>
    <xf numFmtId="0" fontId="28" fillId="23" borderId="28" xfId="0" applyFont="1" applyFill="1" applyBorder="1" applyAlignment="1">
      <alignment vertical="top" wrapText="1"/>
    </xf>
    <xf numFmtId="0" fontId="28" fillId="23" borderId="101" xfId="0" applyFont="1" applyFill="1" applyBorder="1" applyAlignment="1">
      <alignment vertical="top" wrapText="1"/>
    </xf>
    <xf numFmtId="0" fontId="28" fillId="23" borderId="41" xfId="0" applyFont="1" applyFill="1" applyBorder="1" applyAlignment="1">
      <alignment vertical="top" wrapText="1"/>
    </xf>
    <xf numFmtId="0" fontId="28" fillId="23" borderId="72" xfId="0" applyFont="1" applyFill="1" applyBorder="1"/>
    <xf numFmtId="164" fontId="28" fillId="14" borderId="41" xfId="2" applyNumberFormat="1" applyFont="1" applyFill="1" applyBorder="1" applyAlignment="1">
      <alignment horizontal="right"/>
    </xf>
    <xf numFmtId="170" fontId="28" fillId="0" borderId="72" xfId="2" applyNumberFormat="1" applyFont="1" applyFill="1" applyBorder="1" applyAlignment="1">
      <alignment horizontal="center"/>
    </xf>
    <xf numFmtId="0" fontId="28" fillId="0" borderId="72" xfId="0" applyFont="1" applyBorder="1" applyAlignment="1">
      <alignment horizontal="center"/>
    </xf>
    <xf numFmtId="166" fontId="28" fillId="0" borderId="72" xfId="2" applyNumberFormat="1" applyFont="1" applyFill="1" applyBorder="1" applyAlignment="1">
      <alignment horizontal="center"/>
    </xf>
    <xf numFmtId="0" fontId="28" fillId="0" borderId="20" xfId="0" applyFont="1" applyBorder="1" applyAlignment="1">
      <alignment horizontal="left" indent="1"/>
    </xf>
    <xf numFmtId="0" fontId="28" fillId="0" borderId="72" xfId="0" applyFont="1" applyBorder="1"/>
    <xf numFmtId="167" fontId="29" fillId="0" borderId="72" xfId="0" applyNumberFormat="1" applyFont="1" applyBorder="1" applyAlignment="1">
      <alignment horizontal="center"/>
    </xf>
    <xf numFmtId="167" fontId="28" fillId="23" borderId="27" xfId="0" applyNumberFormat="1" applyFont="1" applyFill="1" applyBorder="1" applyAlignment="1">
      <alignment horizontal="center"/>
    </xf>
    <xf numFmtId="167" fontId="28" fillId="23" borderId="20" xfId="0" applyNumberFormat="1" applyFont="1" applyFill="1" applyBorder="1" applyAlignment="1">
      <alignment horizontal="center"/>
    </xf>
    <xf numFmtId="0" fontId="28" fillId="23" borderId="41" xfId="0" applyFont="1" applyFill="1" applyBorder="1" applyAlignment="1">
      <alignment horizontal="left" vertical="top" wrapText="1"/>
    </xf>
    <xf numFmtId="0" fontId="28" fillId="0" borderId="4" xfId="0" applyFont="1" applyBorder="1"/>
    <xf numFmtId="0" fontId="28" fillId="23" borderId="4" xfId="0" applyFont="1" applyFill="1" applyBorder="1"/>
    <xf numFmtId="0" fontId="28" fillId="23" borderId="41" xfId="0" applyFont="1" applyFill="1" applyBorder="1"/>
    <xf numFmtId="167" fontId="28" fillId="23" borderId="122" xfId="0" applyNumberFormat="1" applyFont="1" applyFill="1" applyBorder="1" applyAlignment="1">
      <alignment horizontal="center"/>
    </xf>
    <xf numFmtId="167" fontId="29" fillId="23" borderId="7" xfId="0" applyNumberFormat="1" applyFont="1" applyFill="1" applyBorder="1" applyAlignment="1">
      <alignment horizontal="center"/>
    </xf>
    <xf numFmtId="167" fontId="29" fillId="23" borderId="0" xfId="0" applyNumberFormat="1" applyFont="1" applyFill="1" applyAlignment="1">
      <alignment horizontal="center"/>
    </xf>
    <xf numFmtId="167" fontId="29" fillId="23" borderId="41" xfId="0" applyNumberFormat="1" applyFont="1" applyFill="1" applyBorder="1" applyAlignment="1">
      <alignment horizontal="center"/>
    </xf>
    <xf numFmtId="167" fontId="28" fillId="23" borderId="33" xfId="0" applyNumberFormat="1" applyFont="1" applyFill="1" applyBorder="1" applyAlignment="1">
      <alignment horizontal="center"/>
    </xf>
    <xf numFmtId="167" fontId="28" fillId="23" borderId="4" xfId="0" applyNumberFormat="1" applyFont="1" applyFill="1" applyBorder="1" applyAlignment="1">
      <alignment horizontal="center"/>
    </xf>
    <xf numFmtId="167" fontId="18" fillId="13" borderId="66" xfId="0" applyNumberFormat="1" applyFont="1" applyFill="1" applyBorder="1" applyAlignment="1">
      <alignment horizontal="center" vertical="center" wrapText="1" readingOrder="1"/>
    </xf>
    <xf numFmtId="165" fontId="18" fillId="13" borderId="66" xfId="0" applyNumberFormat="1" applyFont="1" applyFill="1" applyBorder="1" applyAlignment="1">
      <alignment horizontal="center" vertical="center" wrapText="1" readingOrder="1"/>
    </xf>
    <xf numFmtId="167" fontId="29" fillId="0" borderId="22" xfId="0" applyNumberFormat="1" applyFont="1" applyBorder="1" applyAlignment="1">
      <alignment horizontal="right"/>
    </xf>
    <xf numFmtId="167" fontId="29" fillId="0" borderId="32" xfId="0" applyNumberFormat="1" applyFont="1" applyBorder="1" applyAlignment="1">
      <alignment horizontal="right"/>
    </xf>
    <xf numFmtId="167" fontId="29" fillId="0" borderId="24" xfId="0" applyNumberFormat="1" applyFont="1" applyBorder="1" applyAlignment="1">
      <alignment horizontal="right"/>
    </xf>
    <xf numFmtId="167" fontId="29" fillId="0" borderId="71" xfId="0" applyNumberFormat="1" applyFont="1" applyBorder="1" applyAlignment="1">
      <alignment horizontal="right"/>
    </xf>
    <xf numFmtId="167" fontId="29" fillId="0" borderId="26" xfId="0" applyNumberFormat="1" applyFont="1" applyBorder="1" applyAlignment="1">
      <alignment horizontal="right"/>
    </xf>
    <xf numFmtId="167" fontId="29" fillId="23" borderId="22" xfId="0" applyNumberFormat="1" applyFont="1" applyFill="1" applyBorder="1" applyAlignment="1">
      <alignment horizontal="right"/>
    </xf>
    <xf numFmtId="167" fontId="29" fillId="23" borderId="32" xfId="0" applyNumberFormat="1" applyFont="1" applyFill="1" applyBorder="1" applyAlignment="1">
      <alignment horizontal="right"/>
    </xf>
    <xf numFmtId="167" fontId="29" fillId="23" borderId="24" xfId="0" applyNumberFormat="1" applyFont="1" applyFill="1" applyBorder="1" applyAlignment="1">
      <alignment horizontal="right"/>
    </xf>
    <xf numFmtId="167" fontId="29" fillId="23" borderId="71" xfId="0" applyNumberFormat="1" applyFont="1" applyFill="1" applyBorder="1" applyAlignment="1">
      <alignment horizontal="right"/>
    </xf>
    <xf numFmtId="167" fontId="29" fillId="23" borderId="7" xfId="0" applyNumberFormat="1" applyFont="1" applyFill="1" applyBorder="1" applyAlignment="1">
      <alignment horizontal="right"/>
    </xf>
    <xf numFmtId="167" fontId="29" fillId="23" borderId="26" xfId="0" applyNumberFormat="1" applyFont="1" applyFill="1" applyBorder="1" applyAlignment="1">
      <alignment horizontal="right"/>
    </xf>
    <xf numFmtId="170" fontId="28" fillId="14" borderId="41" xfId="2" applyNumberFormat="1" applyFont="1" applyFill="1" applyBorder="1" applyAlignment="1">
      <alignment horizontal="center"/>
    </xf>
    <xf numFmtId="0" fontId="28" fillId="14" borderId="41" xfId="0" applyFont="1" applyFill="1" applyBorder="1" applyAlignment="1">
      <alignment horizontal="center"/>
    </xf>
    <xf numFmtId="167" fontId="28" fillId="14" borderId="122" xfId="0" applyNumberFormat="1" applyFont="1" applyFill="1" applyBorder="1" applyAlignment="1">
      <alignment horizontal="center"/>
    </xf>
    <xf numFmtId="167" fontId="29" fillId="14" borderId="7" xfId="0" applyNumberFormat="1" applyFont="1" applyFill="1" applyBorder="1" applyAlignment="1">
      <alignment horizontal="center"/>
    </xf>
    <xf numFmtId="167" fontId="29" fillId="14" borderId="0" xfId="0" applyNumberFormat="1" applyFont="1" applyFill="1" applyAlignment="1">
      <alignment horizontal="center"/>
    </xf>
    <xf numFmtId="167" fontId="29" fillId="14" borderId="41" xfId="0" applyNumberFormat="1" applyFont="1" applyFill="1" applyBorder="1" applyAlignment="1">
      <alignment horizontal="center"/>
    </xf>
    <xf numFmtId="0" fontId="28" fillId="14" borderId="35" xfId="0" applyFont="1" applyFill="1" applyBorder="1" applyAlignment="1">
      <alignment horizontal="center"/>
    </xf>
    <xf numFmtId="166" fontId="28" fillId="14" borderId="35" xfId="2" applyNumberFormat="1" applyFont="1" applyFill="1" applyBorder="1" applyAlignment="1">
      <alignment horizontal="center"/>
    </xf>
    <xf numFmtId="167" fontId="28" fillId="14" borderId="36" xfId="0" applyNumberFormat="1" applyFont="1" applyFill="1" applyBorder="1" applyAlignment="1">
      <alignment horizontal="center"/>
    </xf>
    <xf numFmtId="167" fontId="29" fillId="14" borderId="8" xfId="0" applyNumberFormat="1" applyFont="1" applyFill="1" applyBorder="1" applyAlignment="1">
      <alignment horizontal="center"/>
    </xf>
    <xf numFmtId="167" fontId="29" fillId="14" borderId="12" xfId="0" applyNumberFormat="1" applyFont="1" applyFill="1" applyBorder="1" applyAlignment="1">
      <alignment horizontal="center"/>
    </xf>
    <xf numFmtId="167" fontId="29" fillId="14" borderId="35" xfId="0" applyNumberFormat="1" applyFont="1" applyFill="1" applyBorder="1" applyAlignment="1">
      <alignment horizontal="center"/>
    </xf>
    <xf numFmtId="0" fontId="28" fillId="14" borderId="29" xfId="0" applyFont="1" applyFill="1" applyBorder="1" applyAlignment="1">
      <alignment vertical="top" wrapText="1"/>
    </xf>
    <xf numFmtId="0" fontId="28" fillId="14" borderId="41" xfId="0" applyFont="1" applyFill="1" applyBorder="1" applyAlignment="1">
      <alignment vertical="top" wrapText="1"/>
    </xf>
    <xf numFmtId="0" fontId="28" fillId="14" borderId="35" xfId="0" applyFont="1" applyFill="1" applyBorder="1" applyAlignment="1">
      <alignment vertical="top" wrapText="1"/>
    </xf>
    <xf numFmtId="0" fontId="28" fillId="22" borderId="29" xfId="0" applyFont="1" applyFill="1" applyBorder="1" applyAlignment="1">
      <alignment vertical="top" wrapText="1"/>
    </xf>
    <xf numFmtId="0" fontId="28" fillId="22" borderId="41" xfId="0" applyFont="1" applyFill="1" applyBorder="1" applyAlignment="1">
      <alignment vertical="top" wrapText="1"/>
    </xf>
    <xf numFmtId="0" fontId="28" fillId="22" borderId="35" xfId="0" applyFont="1" applyFill="1" applyBorder="1" applyAlignment="1">
      <alignment vertical="top" wrapText="1"/>
    </xf>
    <xf numFmtId="0" fontId="28" fillId="0" borderId="41" xfId="0" applyFont="1" applyBorder="1"/>
    <xf numFmtId="170" fontId="28" fillId="14" borderId="14" xfId="2" applyNumberFormat="1" applyFont="1" applyFill="1" applyBorder="1" applyAlignment="1">
      <alignment horizontal="left"/>
    </xf>
    <xf numFmtId="170" fontId="28" fillId="14" borderId="4" xfId="2" applyNumberFormat="1" applyFont="1" applyFill="1" applyBorder="1" applyAlignment="1">
      <alignment horizontal="left"/>
    </xf>
    <xf numFmtId="170" fontId="28" fillId="14" borderId="41" xfId="2" applyNumberFormat="1" applyFont="1" applyFill="1" applyBorder="1" applyAlignment="1">
      <alignment horizontal="left"/>
    </xf>
    <xf numFmtId="170" fontId="28" fillId="14" borderId="20" xfId="2" applyNumberFormat="1" applyFont="1" applyFill="1" applyBorder="1" applyAlignment="1">
      <alignment horizontal="left"/>
    </xf>
    <xf numFmtId="0" fontId="29" fillId="0" borderId="20" xfId="0" applyFont="1" applyBorder="1"/>
    <xf numFmtId="166" fontId="28" fillId="14" borderId="15" xfId="2" applyNumberFormat="1" applyFont="1" applyFill="1" applyBorder="1" applyAlignment="1">
      <alignment horizontal="center"/>
    </xf>
    <xf numFmtId="166" fontId="28" fillId="14" borderId="31" xfId="2" applyNumberFormat="1" applyFont="1" applyFill="1" applyBorder="1" applyAlignment="1">
      <alignment horizontal="center"/>
    </xf>
    <xf numFmtId="166" fontId="28" fillId="14" borderId="122" xfId="2" applyNumberFormat="1" applyFont="1" applyFill="1" applyBorder="1" applyAlignment="1">
      <alignment horizontal="center"/>
    </xf>
    <xf numFmtId="166" fontId="28" fillId="14" borderId="21" xfId="2" applyNumberFormat="1" applyFont="1" applyFill="1" applyBorder="1" applyAlignment="1">
      <alignment horizontal="center"/>
    </xf>
    <xf numFmtId="166" fontId="28" fillId="0" borderId="21" xfId="2" applyNumberFormat="1" applyFont="1" applyFill="1" applyBorder="1" applyAlignment="1">
      <alignment horizontal="center"/>
    </xf>
    <xf numFmtId="166" fontId="28" fillId="14" borderId="75" xfId="2" applyNumberFormat="1" applyFont="1" applyFill="1" applyBorder="1" applyAlignment="1">
      <alignment horizontal="center"/>
    </xf>
    <xf numFmtId="166" fontId="28" fillId="14" borderId="38" xfId="2" applyNumberFormat="1" applyFont="1" applyFill="1" applyBorder="1" applyAlignment="1">
      <alignment horizontal="center"/>
    </xf>
    <xf numFmtId="166" fontId="28" fillId="14" borderId="3" xfId="2" applyNumberFormat="1" applyFont="1" applyFill="1" applyBorder="1" applyAlignment="1">
      <alignment horizontal="center"/>
    </xf>
    <xf numFmtId="166" fontId="28" fillId="14" borderId="19" xfId="2" applyNumberFormat="1" applyFont="1" applyFill="1" applyBorder="1" applyAlignment="1">
      <alignment horizontal="center"/>
    </xf>
    <xf numFmtId="166" fontId="28" fillId="0" borderId="19" xfId="2" applyNumberFormat="1" applyFont="1" applyFill="1" applyBorder="1" applyAlignment="1">
      <alignment horizontal="center"/>
    </xf>
    <xf numFmtId="166" fontId="28" fillId="0" borderId="123" xfId="2" applyNumberFormat="1" applyFont="1" applyFill="1" applyBorder="1" applyAlignment="1">
      <alignment horizontal="center"/>
    </xf>
    <xf numFmtId="166" fontId="28" fillId="0" borderId="124" xfId="2" applyNumberFormat="1" applyFont="1" applyFill="1" applyBorder="1" applyAlignment="1">
      <alignment horizontal="center"/>
    </xf>
    <xf numFmtId="166" fontId="28" fillId="0" borderId="126" xfId="2" applyNumberFormat="1" applyFont="1" applyFill="1" applyBorder="1" applyAlignment="1">
      <alignment horizontal="center"/>
    </xf>
    <xf numFmtId="166" fontId="28" fillId="14" borderId="123" xfId="2" applyNumberFormat="1" applyFont="1" applyFill="1" applyBorder="1" applyAlignment="1">
      <alignment horizontal="center"/>
    </xf>
    <xf numFmtId="166" fontId="28" fillId="14" borderId="124" xfId="2" applyNumberFormat="1" applyFont="1" applyFill="1" applyBorder="1" applyAlignment="1">
      <alignment horizontal="center"/>
    </xf>
    <xf numFmtId="166" fontId="28" fillId="14" borderId="125" xfId="2" applyNumberFormat="1" applyFont="1" applyFill="1" applyBorder="1" applyAlignment="1">
      <alignment horizontal="center"/>
    </xf>
    <xf numFmtId="166" fontId="28" fillId="14" borderId="126" xfId="2" applyNumberFormat="1" applyFont="1" applyFill="1" applyBorder="1" applyAlignment="1">
      <alignment horizontal="center"/>
    </xf>
    <xf numFmtId="166" fontId="28" fillId="0" borderId="127" xfId="2" applyNumberFormat="1" applyFont="1" applyFill="1" applyBorder="1" applyAlignment="1">
      <alignment horizontal="center"/>
    </xf>
    <xf numFmtId="166" fontId="28" fillId="0" borderId="128" xfId="2" applyNumberFormat="1" applyFont="1" applyFill="1" applyBorder="1" applyAlignment="1">
      <alignment horizontal="center"/>
    </xf>
    <xf numFmtId="167" fontId="29" fillId="0" borderId="129" xfId="0" applyNumberFormat="1" applyFont="1" applyBorder="1" applyAlignment="1">
      <alignment horizontal="center"/>
    </xf>
    <xf numFmtId="167" fontId="29" fillId="0" borderId="130" xfId="0" applyNumberFormat="1" applyFont="1" applyBorder="1" applyAlignment="1">
      <alignment horizontal="center"/>
    </xf>
    <xf numFmtId="167" fontId="29" fillId="0" borderId="131" xfId="0" applyNumberFormat="1" applyFont="1" applyBorder="1" applyAlignment="1">
      <alignment horizontal="center"/>
    </xf>
    <xf numFmtId="166" fontId="28" fillId="14" borderId="129" xfId="2" applyNumberFormat="1" applyFont="1" applyFill="1" applyBorder="1" applyAlignment="1">
      <alignment horizontal="center"/>
    </xf>
    <xf numFmtId="166" fontId="28" fillId="14" borderId="132" xfId="2" applyNumberFormat="1" applyFont="1" applyFill="1" applyBorder="1" applyAlignment="1">
      <alignment horizontal="center"/>
    </xf>
    <xf numFmtId="166" fontId="28" fillId="14" borderId="133" xfId="2" applyNumberFormat="1" applyFont="1" applyFill="1" applyBorder="1" applyAlignment="1">
      <alignment horizontal="center"/>
    </xf>
    <xf numFmtId="166" fontId="28" fillId="14" borderId="134" xfId="2" applyNumberFormat="1" applyFont="1" applyFill="1" applyBorder="1" applyAlignment="1">
      <alignment horizontal="center"/>
    </xf>
    <xf numFmtId="166" fontId="28" fillId="0" borderId="134" xfId="2" applyNumberFormat="1" applyFont="1" applyFill="1" applyBorder="1" applyAlignment="1">
      <alignment horizontal="center"/>
    </xf>
    <xf numFmtId="167" fontId="28" fillId="0" borderId="135" xfId="0" applyNumberFormat="1" applyFont="1" applyBorder="1" applyAlignment="1">
      <alignment horizontal="center"/>
    </xf>
    <xf numFmtId="167" fontId="28" fillId="0" borderId="136" xfId="0" applyNumberFormat="1" applyFont="1" applyBorder="1" applyAlignment="1">
      <alignment horizontal="center"/>
    </xf>
    <xf numFmtId="167" fontId="28" fillId="0" borderId="137" xfId="0" applyNumberFormat="1" applyFont="1" applyBorder="1" applyAlignment="1">
      <alignment horizontal="center"/>
    </xf>
    <xf numFmtId="166" fontId="28" fillId="14" borderId="135" xfId="2" applyNumberFormat="1" applyFont="1" applyFill="1" applyBorder="1" applyAlignment="1">
      <alignment horizontal="center"/>
    </xf>
    <xf numFmtId="166" fontId="28" fillId="14" borderId="138" xfId="2" applyNumberFormat="1" applyFont="1" applyFill="1" applyBorder="1" applyAlignment="1">
      <alignment horizontal="center"/>
    </xf>
    <xf numFmtId="166" fontId="28" fillId="14" borderId="139" xfId="2" applyNumberFormat="1" applyFont="1" applyFill="1" applyBorder="1" applyAlignment="1">
      <alignment horizontal="center"/>
    </xf>
    <xf numFmtId="166" fontId="28" fillId="14" borderId="140" xfId="2" applyNumberFormat="1" applyFont="1" applyFill="1" applyBorder="1" applyAlignment="1">
      <alignment horizontal="center"/>
    </xf>
    <xf numFmtId="166" fontId="28" fillId="0" borderId="140" xfId="2" applyNumberFormat="1" applyFont="1" applyFill="1" applyBorder="1" applyAlignment="1">
      <alignment horizontal="center"/>
    </xf>
    <xf numFmtId="167" fontId="28" fillId="0" borderId="138" xfId="0" applyNumberFormat="1" applyFont="1" applyBorder="1" applyAlignment="1">
      <alignment horizontal="center"/>
    </xf>
    <xf numFmtId="167" fontId="29" fillId="0" borderId="132" xfId="0" applyNumberFormat="1" applyFont="1" applyBorder="1" applyAlignment="1">
      <alignment horizontal="center"/>
    </xf>
    <xf numFmtId="167" fontId="29" fillId="6" borderId="130" xfId="0" applyNumberFormat="1" applyFont="1" applyFill="1" applyBorder="1" applyAlignment="1">
      <alignment horizontal="center"/>
    </xf>
    <xf numFmtId="167" fontId="29" fillId="25" borderId="130" xfId="0" applyNumberFormat="1" applyFont="1" applyFill="1" applyBorder="1" applyAlignment="1">
      <alignment horizontal="center"/>
    </xf>
    <xf numFmtId="167" fontId="29" fillId="0" borderId="15" xfId="0" applyNumberFormat="1" applyFont="1" applyBorder="1" applyAlignment="1">
      <alignment horizontal="center"/>
    </xf>
    <xf numFmtId="167" fontId="29" fillId="0" borderId="31" xfId="0" applyNumberFormat="1" applyFont="1" applyBorder="1" applyAlignment="1">
      <alignment horizontal="center"/>
    </xf>
    <xf numFmtId="167" fontId="29" fillId="0" borderId="17" xfId="0" applyNumberFormat="1" applyFont="1" applyBorder="1" applyAlignment="1">
      <alignment horizontal="center"/>
    </xf>
    <xf numFmtId="167" fontId="29" fillId="0" borderId="82" xfId="0" applyNumberFormat="1" applyFont="1" applyBorder="1" applyAlignment="1">
      <alignment horizontal="center"/>
    </xf>
    <xf numFmtId="166" fontId="28" fillId="14" borderId="22" xfId="2" applyNumberFormat="1" applyFont="1" applyFill="1" applyBorder="1" applyAlignment="1">
      <alignment horizontal="center"/>
    </xf>
    <xf numFmtId="166" fontId="28" fillId="14" borderId="32" xfId="2" applyNumberFormat="1" applyFont="1" applyFill="1" applyBorder="1" applyAlignment="1">
      <alignment horizontal="center"/>
    </xf>
    <xf numFmtId="166" fontId="28" fillId="14" borderId="7" xfId="2" applyNumberFormat="1" applyFont="1" applyFill="1" applyBorder="1" applyAlignment="1">
      <alignment horizontal="center"/>
    </xf>
    <xf numFmtId="166" fontId="28" fillId="14" borderId="26" xfId="2" applyNumberFormat="1" applyFont="1" applyFill="1" applyBorder="1" applyAlignment="1">
      <alignment horizontal="center"/>
    </xf>
    <xf numFmtId="166" fontId="28" fillId="0" borderId="26" xfId="2" applyNumberFormat="1" applyFont="1" applyFill="1" applyBorder="1" applyAlignment="1">
      <alignment horizontal="center"/>
    </xf>
    <xf numFmtId="0" fontId="28" fillId="0" borderId="35" xfId="0" applyFont="1" applyBorder="1" applyAlignment="1">
      <alignment horizontal="left" indent="1"/>
    </xf>
    <xf numFmtId="167" fontId="29" fillId="6" borderId="24" xfId="0" applyNumberFormat="1" applyFont="1" applyFill="1" applyBorder="1" applyAlignment="1">
      <alignment horizontal="center"/>
    </xf>
    <xf numFmtId="167" fontId="34" fillId="25" borderId="24" xfId="0" applyNumberFormat="1" applyFont="1" applyFill="1" applyBorder="1" applyAlignment="1">
      <alignment horizontal="center"/>
    </xf>
    <xf numFmtId="167" fontId="29" fillId="25" borderId="24" xfId="0" applyNumberFormat="1" applyFont="1" applyFill="1" applyBorder="1" applyAlignment="1">
      <alignment horizontal="center"/>
    </xf>
    <xf numFmtId="167" fontId="29" fillId="6" borderId="71" xfId="0" applyNumberFormat="1" applyFont="1" applyFill="1" applyBorder="1" applyAlignment="1">
      <alignment horizontal="center"/>
    </xf>
    <xf numFmtId="166" fontId="28" fillId="23" borderId="124" xfId="2" applyNumberFormat="1" applyFont="1" applyFill="1" applyBorder="1" applyAlignment="1">
      <alignment horizontal="center"/>
    </xf>
    <xf numFmtId="0" fontId="28" fillId="23" borderId="124" xfId="0" applyFont="1" applyFill="1" applyBorder="1"/>
    <xf numFmtId="0" fontId="28" fillId="23" borderId="38" xfId="0" applyFont="1" applyFill="1" applyBorder="1" applyAlignment="1">
      <alignment horizontal="center"/>
    </xf>
    <xf numFmtId="170" fontId="28" fillId="23" borderId="32" xfId="2" applyNumberFormat="1" applyFont="1" applyFill="1" applyBorder="1" applyAlignment="1">
      <alignment horizontal="center"/>
    </xf>
    <xf numFmtId="167" fontId="28" fillId="22" borderId="23" xfId="0" applyNumberFormat="1" applyFont="1" applyFill="1" applyBorder="1" applyAlignment="1">
      <alignment horizontal="center"/>
    </xf>
    <xf numFmtId="167" fontId="28" fillId="22" borderId="14" xfId="0" applyNumberFormat="1" applyFont="1" applyFill="1" applyBorder="1" applyAlignment="1">
      <alignment horizontal="center"/>
    </xf>
    <xf numFmtId="167" fontId="28" fillId="22" borderId="33" xfId="0" applyNumberFormat="1" applyFont="1" applyFill="1" applyBorder="1" applyAlignment="1">
      <alignment horizontal="center"/>
    </xf>
    <xf numFmtId="167" fontId="28" fillId="22" borderId="4" xfId="0" applyNumberFormat="1" applyFont="1" applyFill="1" applyBorder="1" applyAlignment="1">
      <alignment horizontal="center"/>
    </xf>
    <xf numFmtId="167" fontId="29" fillId="6" borderId="32" xfId="0" applyNumberFormat="1" applyFont="1" applyFill="1" applyBorder="1" applyAlignment="1">
      <alignment horizontal="center"/>
    </xf>
    <xf numFmtId="0" fontId="28" fillId="0" borderId="141" xfId="0" applyFont="1" applyBorder="1"/>
    <xf numFmtId="170" fontId="28" fillId="0" borderId="141" xfId="2" applyNumberFormat="1" applyFont="1" applyFill="1" applyBorder="1" applyAlignment="1">
      <alignment horizontal="center"/>
    </xf>
    <xf numFmtId="0" fontId="28" fillId="0" borderId="141" xfId="0" applyFont="1" applyBorder="1" applyAlignment="1">
      <alignment horizontal="center"/>
    </xf>
    <xf numFmtId="166" fontId="28" fillId="0" borderId="141" xfId="2" applyNumberFormat="1" applyFont="1" applyFill="1" applyBorder="1" applyAlignment="1">
      <alignment horizontal="center"/>
    </xf>
    <xf numFmtId="167" fontId="28" fillId="0" borderId="142" xfId="0" applyNumberFormat="1" applyFont="1" applyBorder="1" applyAlignment="1">
      <alignment horizontal="center"/>
    </xf>
    <xf numFmtId="167" fontId="29" fillId="0" borderId="143" xfId="0" applyNumberFormat="1" applyFont="1" applyBorder="1" applyAlignment="1">
      <alignment horizontal="center"/>
    </xf>
    <xf numFmtId="167" fontId="29" fillId="0" borderId="144" xfId="0" applyNumberFormat="1" applyFont="1" applyBorder="1" applyAlignment="1">
      <alignment horizontal="center"/>
    </xf>
    <xf numFmtId="167" fontId="29" fillId="0" borderId="141" xfId="0" applyNumberFormat="1" applyFont="1" applyBorder="1" applyAlignment="1">
      <alignment horizontal="center"/>
    </xf>
    <xf numFmtId="0" fontId="28" fillId="0" borderId="145" xfId="0" applyFont="1" applyBorder="1" applyAlignment="1">
      <alignment horizontal="left" indent="1"/>
    </xf>
    <xf numFmtId="170" fontId="28" fillId="0" borderId="145" xfId="2" applyNumberFormat="1" applyFont="1" applyFill="1" applyBorder="1" applyAlignment="1">
      <alignment horizontal="center"/>
    </xf>
    <xf numFmtId="0" fontId="28" fillId="0" borderId="145" xfId="0" applyFont="1" applyBorder="1" applyAlignment="1">
      <alignment horizontal="center"/>
    </xf>
    <xf numFmtId="166" fontId="28" fillId="0" borderId="145" xfId="2" applyNumberFormat="1" applyFont="1" applyFill="1" applyBorder="1" applyAlignment="1">
      <alignment horizontal="center"/>
    </xf>
    <xf numFmtId="167" fontId="28" fillId="0" borderId="146" xfId="0" applyNumberFormat="1" applyFont="1" applyBorder="1" applyAlignment="1">
      <alignment horizontal="center"/>
    </xf>
    <xf numFmtId="167" fontId="29" fillId="0" borderId="147" xfId="0" applyNumberFormat="1" applyFont="1" applyBorder="1" applyAlignment="1">
      <alignment horizontal="center"/>
    </xf>
    <xf numFmtId="167" fontId="28" fillId="0" borderId="148" xfId="0" applyNumberFormat="1" applyFont="1" applyBorder="1" applyAlignment="1">
      <alignment horizontal="center"/>
    </xf>
    <xf numFmtId="167" fontId="28" fillId="0" borderId="145" xfId="0" applyNumberFormat="1" applyFont="1" applyBorder="1" applyAlignment="1">
      <alignment horizontal="center"/>
    </xf>
    <xf numFmtId="167" fontId="29" fillId="0" borderId="148" xfId="0" applyNumberFormat="1" applyFont="1" applyBorder="1" applyAlignment="1">
      <alignment horizontal="center"/>
    </xf>
    <xf numFmtId="0" fontId="28" fillId="0" borderId="145" xfId="0" applyFont="1" applyBorder="1"/>
    <xf numFmtId="0" fontId="28" fillId="0" borderId="149" xfId="0" applyFont="1" applyBorder="1" applyAlignment="1">
      <alignment horizontal="left" indent="1"/>
    </xf>
    <xf numFmtId="170" fontId="28" fillId="0" borderId="149" xfId="2" applyNumberFormat="1" applyFont="1" applyFill="1" applyBorder="1" applyAlignment="1">
      <alignment horizontal="center"/>
    </xf>
    <xf numFmtId="0" fontId="28" fillId="0" borderId="149" xfId="0" applyFont="1" applyBorder="1" applyAlignment="1">
      <alignment horizontal="center"/>
    </xf>
    <xf numFmtId="166" fontId="28" fillId="0" borderId="149" xfId="2" applyNumberFormat="1" applyFont="1" applyFill="1" applyBorder="1" applyAlignment="1">
      <alignment horizontal="center"/>
    </xf>
    <xf numFmtId="167" fontId="28" fillId="0" borderId="150" xfId="0" applyNumberFormat="1" applyFont="1" applyBorder="1" applyAlignment="1">
      <alignment horizontal="center"/>
    </xf>
    <xf numFmtId="167" fontId="29" fillId="0" borderId="151" xfId="0" applyNumberFormat="1" applyFont="1" applyBorder="1" applyAlignment="1">
      <alignment horizontal="center"/>
    </xf>
    <xf numFmtId="167" fontId="28" fillId="0" borderId="152" xfId="0" applyNumberFormat="1" applyFont="1" applyBorder="1" applyAlignment="1">
      <alignment horizontal="center"/>
    </xf>
    <xf numFmtId="167" fontId="28" fillId="0" borderId="149" xfId="0" applyNumberFormat="1" applyFont="1" applyBorder="1" applyAlignment="1">
      <alignment horizontal="center"/>
    </xf>
    <xf numFmtId="167" fontId="29" fillId="0" borderId="152" xfId="0" applyNumberFormat="1" applyFont="1" applyBorder="1" applyAlignment="1">
      <alignment horizontal="center"/>
    </xf>
    <xf numFmtId="167" fontId="29" fillId="6" borderId="147" xfId="0" applyNumberFormat="1" applyFont="1" applyFill="1" applyBorder="1" applyAlignment="1">
      <alignment horizontal="center"/>
    </xf>
    <xf numFmtId="167" fontId="29" fillId="25" borderId="147" xfId="0" applyNumberFormat="1" applyFont="1" applyFill="1" applyBorder="1" applyAlignment="1">
      <alignment horizontal="center"/>
    </xf>
    <xf numFmtId="167" fontId="29" fillId="25" borderId="32" xfId="0" applyNumberFormat="1" applyFont="1" applyFill="1" applyBorder="1" applyAlignment="1">
      <alignment horizontal="center"/>
    </xf>
    <xf numFmtId="167" fontId="29" fillId="25" borderId="71" xfId="0" applyNumberFormat="1" applyFont="1" applyFill="1" applyBorder="1" applyAlignment="1">
      <alignment horizontal="center"/>
    </xf>
    <xf numFmtId="167" fontId="28" fillId="22" borderId="82" xfId="0" applyNumberFormat="1" applyFont="1" applyFill="1" applyBorder="1" applyAlignment="1">
      <alignment horizontal="left"/>
    </xf>
    <xf numFmtId="0" fontId="28" fillId="0" borderId="28" xfId="0" applyFont="1" applyBorder="1" applyAlignment="1">
      <alignment vertical="top" wrapText="1"/>
    </xf>
    <xf numFmtId="0" fontId="28" fillId="0" borderId="101" xfId="0" applyFont="1" applyBorder="1" applyAlignment="1">
      <alignment vertical="top" wrapText="1"/>
    </xf>
    <xf numFmtId="0" fontId="28" fillId="0" borderId="34" xfId="0" applyFont="1" applyBorder="1" applyAlignment="1">
      <alignment vertical="top" wrapText="1"/>
    </xf>
    <xf numFmtId="0" fontId="28" fillId="0" borderId="29" xfId="0" applyFont="1" applyBorder="1" applyAlignment="1">
      <alignment vertical="top" wrapText="1"/>
    </xf>
    <xf numFmtId="0" fontId="28" fillId="0" borderId="41" xfId="0" applyFont="1" applyBorder="1" applyAlignment="1">
      <alignment vertical="top" wrapText="1"/>
    </xf>
    <xf numFmtId="0" fontId="28" fillId="0" borderId="35" xfId="0" applyFont="1" applyBorder="1" applyAlignment="1">
      <alignment vertical="top" wrapText="1"/>
    </xf>
    <xf numFmtId="0" fontId="28" fillId="23" borderId="39" xfId="0" applyFont="1" applyFill="1" applyBorder="1" applyAlignment="1">
      <alignment vertical="top" wrapText="1"/>
    </xf>
    <xf numFmtId="0" fontId="28" fillId="23" borderId="3" xfId="0" applyFont="1" applyFill="1" applyBorder="1" applyAlignment="1">
      <alignment vertical="top" wrapText="1"/>
    </xf>
    <xf numFmtId="0" fontId="28" fillId="23" borderId="40" xfId="0" applyFont="1" applyFill="1" applyBorder="1" applyAlignment="1">
      <alignment vertical="top" wrapText="1"/>
    </xf>
    <xf numFmtId="0" fontId="28" fillId="23" borderId="34" xfId="0" applyFont="1" applyFill="1" applyBorder="1" applyAlignment="1">
      <alignment vertical="top" wrapText="1"/>
    </xf>
    <xf numFmtId="0" fontId="35" fillId="12" borderId="65" xfId="0" applyFont="1" applyFill="1" applyBorder="1" applyAlignment="1">
      <alignment vertical="center"/>
    </xf>
    <xf numFmtId="166" fontId="0" fillId="0" borderId="153" xfId="0" applyNumberFormat="1" applyBorder="1" applyAlignment="1">
      <alignment vertical="center"/>
    </xf>
    <xf numFmtId="166" fontId="11" fillId="0" borderId="153" xfId="0" applyNumberFormat="1" applyFont="1" applyBorder="1" applyAlignment="1">
      <alignment vertical="center"/>
    </xf>
    <xf numFmtId="0" fontId="4" fillId="17" borderId="63" xfId="0" applyFont="1" applyFill="1" applyBorder="1" applyAlignment="1">
      <alignment vertical="center"/>
    </xf>
    <xf numFmtId="2" fontId="4" fillId="17" borderId="63" xfId="2" applyNumberFormat="1" applyFont="1" applyFill="1" applyBorder="1" applyAlignment="1">
      <alignment horizontal="center" vertical="center"/>
    </xf>
    <xf numFmtId="166" fontId="4" fillId="17" borderId="154" xfId="0" applyNumberFormat="1" applyFont="1" applyFill="1" applyBorder="1" applyAlignment="1">
      <alignment horizontal="center" vertical="center" wrapText="1"/>
    </xf>
    <xf numFmtId="0" fontId="25" fillId="8" borderId="66" xfId="0" applyFont="1" applyFill="1" applyBorder="1" applyAlignment="1">
      <alignment horizontal="left" vertical="center" wrapText="1" readingOrder="1"/>
    </xf>
    <xf numFmtId="0" fontId="16" fillId="9" borderId="5" xfId="0" applyFont="1" applyFill="1" applyBorder="1" applyAlignment="1">
      <alignment horizontal="center" vertical="center" wrapText="1" readingOrder="1"/>
    </xf>
    <xf numFmtId="0" fontId="25" fillId="8" borderId="43" xfId="0" applyFont="1" applyFill="1" applyBorder="1" applyAlignment="1">
      <alignment horizontal="left" vertical="center" wrapText="1" readingOrder="1"/>
    </xf>
    <xf numFmtId="0" fontId="16" fillId="8" borderId="72" xfId="0" applyFont="1" applyFill="1" applyBorder="1" applyAlignment="1">
      <alignment horizontal="center" vertical="center" wrapText="1" readingOrder="1"/>
    </xf>
    <xf numFmtId="167" fontId="18" fillId="6" borderId="86" xfId="0" applyNumberFormat="1" applyFont="1" applyFill="1" applyBorder="1" applyAlignment="1">
      <alignment horizontal="center" vertical="center" wrapText="1" readingOrder="1"/>
    </xf>
    <xf numFmtId="165" fontId="18" fillId="6" borderId="86" xfId="0" applyNumberFormat="1" applyFont="1" applyFill="1" applyBorder="1" applyAlignment="1">
      <alignment horizontal="center" vertical="center" wrapText="1" readingOrder="1"/>
    </xf>
    <xf numFmtId="0" fontId="28" fillId="0" borderId="39" xfId="0" applyFont="1" applyBorder="1" applyAlignment="1">
      <alignment vertical="top" wrapText="1"/>
    </xf>
    <xf numFmtId="0" fontId="28" fillId="0" borderId="3" xfId="0" applyFont="1" applyBorder="1" applyAlignment="1">
      <alignment vertical="top" wrapText="1"/>
    </xf>
    <xf numFmtId="167" fontId="29" fillId="25" borderId="26" xfId="0" applyNumberFormat="1" applyFont="1" applyFill="1" applyBorder="1" applyAlignment="1">
      <alignment horizontal="center"/>
    </xf>
    <xf numFmtId="0" fontId="28" fillId="14" borderId="28" xfId="0" applyFont="1" applyFill="1" applyBorder="1" applyAlignment="1">
      <alignment vertical="top"/>
    </xf>
    <xf numFmtId="0" fontId="28" fillId="14" borderId="101" xfId="0" applyFont="1" applyFill="1" applyBorder="1" applyAlignment="1">
      <alignment vertical="top"/>
    </xf>
    <xf numFmtId="0" fontId="28" fillId="14" borderId="34" xfId="0" applyFont="1" applyFill="1" applyBorder="1" applyAlignment="1">
      <alignment vertical="top"/>
    </xf>
    <xf numFmtId="0" fontId="28" fillId="22" borderId="28" xfId="0" applyFont="1" applyFill="1" applyBorder="1" applyAlignment="1">
      <alignment vertical="top" wrapText="1"/>
    </xf>
    <xf numFmtId="0" fontId="28" fillId="22" borderId="101" xfId="0" applyFont="1" applyFill="1" applyBorder="1" applyAlignment="1">
      <alignment vertical="top" wrapText="1"/>
    </xf>
    <xf numFmtId="0" fontId="28" fillId="22" borderId="34" xfId="0" applyFont="1" applyFill="1" applyBorder="1" applyAlignment="1">
      <alignment vertical="top" wrapText="1"/>
    </xf>
    <xf numFmtId="0" fontId="28" fillId="22" borderId="28" xfId="0" applyFont="1" applyFill="1" applyBorder="1" applyAlignment="1">
      <alignment vertical="top"/>
    </xf>
    <xf numFmtId="0" fontId="28" fillId="22" borderId="101" xfId="0" applyFont="1" applyFill="1" applyBorder="1" applyAlignment="1">
      <alignment vertical="top"/>
    </xf>
    <xf numFmtId="0" fontId="28" fillId="22" borderId="34" xfId="0" applyFont="1" applyFill="1" applyBorder="1" applyAlignment="1">
      <alignment vertical="top"/>
    </xf>
    <xf numFmtId="0" fontId="28" fillId="22" borderId="39" xfId="0" applyFont="1" applyFill="1" applyBorder="1" applyAlignment="1">
      <alignment vertical="top" wrapText="1"/>
    </xf>
    <xf numFmtId="0" fontId="28" fillId="22" borderId="3" xfId="0" applyFont="1" applyFill="1" applyBorder="1" applyAlignment="1">
      <alignment vertical="top" wrapText="1"/>
    </xf>
    <xf numFmtId="0" fontId="28" fillId="22" borderId="40" xfId="0" applyFont="1" applyFill="1" applyBorder="1" applyAlignment="1">
      <alignment vertical="top" wrapText="1"/>
    </xf>
    <xf numFmtId="0" fontId="28" fillId="22" borderId="11" xfId="0" applyFont="1" applyFill="1" applyBorder="1" applyAlignment="1">
      <alignment vertical="top"/>
    </xf>
    <xf numFmtId="0" fontId="28" fillId="22" borderId="0" xfId="0" applyFont="1" applyFill="1" applyAlignment="1">
      <alignment vertical="top"/>
    </xf>
    <xf numFmtId="0" fontId="28" fillId="22" borderId="12" xfId="0" applyFont="1" applyFill="1" applyBorder="1" applyAlignment="1">
      <alignment vertical="top"/>
    </xf>
    <xf numFmtId="0" fontId="28" fillId="0" borderId="4" xfId="0" applyFont="1" applyBorder="1" applyAlignment="1">
      <alignment wrapText="1"/>
    </xf>
    <xf numFmtId="0" fontId="28" fillId="0" borderId="40" xfId="0" applyFont="1" applyBorder="1" applyAlignment="1">
      <alignment vertical="top" wrapText="1"/>
    </xf>
    <xf numFmtId="167" fontId="19" fillId="13" borderId="14" xfId="0" applyNumberFormat="1" applyFont="1" applyFill="1" applyBorder="1" applyAlignment="1">
      <alignment horizontal="center" vertical="center" wrapText="1" readingOrder="1"/>
    </xf>
    <xf numFmtId="165" fontId="19" fillId="13" borderId="14" xfId="0" applyNumberFormat="1" applyFont="1" applyFill="1" applyBorder="1" applyAlignment="1">
      <alignment horizontal="center" vertical="center" wrapText="1" readingOrder="1"/>
    </xf>
    <xf numFmtId="167" fontId="19" fillId="13" borderId="5" xfId="0" applyNumberFormat="1" applyFont="1" applyFill="1" applyBorder="1" applyAlignment="1">
      <alignment horizontal="center" vertical="center" wrapText="1" readingOrder="1"/>
    </xf>
    <xf numFmtId="165" fontId="19" fillId="13" borderId="5" xfId="0" applyNumberFormat="1" applyFont="1" applyFill="1" applyBorder="1" applyAlignment="1">
      <alignment horizontal="center" vertical="center" wrapText="1" readingOrder="1"/>
    </xf>
    <xf numFmtId="167" fontId="19" fillId="10" borderId="86" xfId="0" applyNumberFormat="1" applyFont="1" applyFill="1" applyBorder="1" applyAlignment="1">
      <alignment horizontal="center" vertical="center" wrapText="1" readingOrder="1"/>
    </xf>
    <xf numFmtId="165" fontId="19" fillId="10" borderId="86" xfId="0" applyNumberFormat="1" applyFont="1" applyFill="1" applyBorder="1" applyAlignment="1">
      <alignment horizontal="center" vertical="center" wrapText="1" readingOrder="1"/>
    </xf>
    <xf numFmtId="167" fontId="19" fillId="10" borderId="5" xfId="0" applyNumberFormat="1" applyFont="1" applyFill="1" applyBorder="1" applyAlignment="1">
      <alignment horizontal="center" vertical="center" wrapText="1" readingOrder="1"/>
    </xf>
    <xf numFmtId="165" fontId="19" fillId="10" borderId="5" xfId="0" applyNumberFormat="1" applyFont="1" applyFill="1" applyBorder="1" applyAlignment="1">
      <alignment horizontal="center" vertical="center" wrapText="1" readingOrder="1"/>
    </xf>
    <xf numFmtId="0" fontId="28" fillId="0" borderId="28" xfId="0" applyFont="1" applyBorder="1" applyAlignment="1">
      <alignment vertical="top"/>
    </xf>
    <xf numFmtId="0" fontId="28" fillId="0" borderId="101" xfId="0" applyFont="1" applyBorder="1" applyAlignment="1">
      <alignment vertical="top"/>
    </xf>
    <xf numFmtId="0" fontId="28" fillId="0" borderId="34" xfId="0" applyFont="1" applyBorder="1" applyAlignment="1">
      <alignment vertical="top"/>
    </xf>
    <xf numFmtId="0" fontId="28" fillId="14" borderId="41" xfId="0" applyFont="1" applyFill="1" applyBorder="1" applyAlignment="1">
      <alignment horizontal="left" indent="1"/>
    </xf>
    <xf numFmtId="0" fontId="28" fillId="14" borderId="28" xfId="0" applyFont="1" applyFill="1" applyBorder="1" applyAlignment="1">
      <alignment vertical="top" wrapText="1"/>
    </xf>
    <xf numFmtId="0" fontId="28" fillId="14" borderId="101" xfId="0" applyFont="1" applyFill="1" applyBorder="1" applyAlignment="1">
      <alignment vertical="top" wrapText="1"/>
    </xf>
    <xf numFmtId="0" fontId="28" fillId="14" borderId="34" xfId="0" applyFont="1" applyFill="1" applyBorder="1" applyAlignment="1">
      <alignment vertical="top" wrapText="1"/>
    </xf>
    <xf numFmtId="167" fontId="19" fillId="8" borderId="5" xfId="0" applyNumberFormat="1" applyFont="1" applyFill="1" applyBorder="1" applyAlignment="1">
      <alignment horizontal="center" vertical="center" wrapText="1" readingOrder="1"/>
    </xf>
    <xf numFmtId="165" fontId="19" fillId="8" borderId="5" xfId="0" applyNumberFormat="1" applyFont="1" applyFill="1" applyBorder="1" applyAlignment="1">
      <alignment horizontal="center" vertical="center" wrapText="1" readingOrder="1"/>
    </xf>
    <xf numFmtId="167" fontId="19" fillId="8" borderId="4" xfId="0" applyNumberFormat="1" applyFont="1" applyFill="1" applyBorder="1" applyAlignment="1">
      <alignment horizontal="center" vertical="center" wrapText="1" readingOrder="1"/>
    </xf>
    <xf numFmtId="165" fontId="19" fillId="8" borderId="4" xfId="0" applyNumberFormat="1" applyFont="1" applyFill="1" applyBorder="1" applyAlignment="1">
      <alignment horizontal="center" vertical="center" wrapText="1" readingOrder="1"/>
    </xf>
    <xf numFmtId="167" fontId="19" fillId="8" borderId="14" xfId="0" applyNumberFormat="1" applyFont="1" applyFill="1" applyBorder="1" applyAlignment="1">
      <alignment horizontal="center" vertical="center" wrapText="1" readingOrder="1"/>
    </xf>
    <xf numFmtId="165" fontId="19" fillId="8" borderId="14" xfId="0" applyNumberFormat="1" applyFont="1" applyFill="1" applyBorder="1" applyAlignment="1">
      <alignment horizontal="center" vertical="center" wrapText="1" readingOrder="1"/>
    </xf>
    <xf numFmtId="0" fontId="25" fillId="16" borderId="5" xfId="0" applyFont="1" applyFill="1" applyBorder="1" applyAlignment="1">
      <alignment vertical="center" wrapText="1" readingOrder="1"/>
    </xf>
    <xf numFmtId="167" fontId="19" fillId="16" borderId="5" xfId="0" applyNumberFormat="1" applyFont="1" applyFill="1" applyBorder="1" applyAlignment="1">
      <alignment horizontal="center" vertical="center" wrapText="1" readingOrder="1"/>
    </xf>
    <xf numFmtId="165" fontId="19" fillId="16" borderId="5" xfId="0" applyNumberFormat="1" applyFont="1" applyFill="1" applyBorder="1" applyAlignment="1">
      <alignment horizontal="center" vertical="center" wrapText="1" readingOrder="1"/>
    </xf>
    <xf numFmtId="167" fontId="19" fillId="20" borderId="4" xfId="0" applyNumberFormat="1" applyFont="1" applyFill="1" applyBorder="1" applyAlignment="1">
      <alignment horizontal="center" vertical="center" wrapText="1" readingOrder="1"/>
    </xf>
    <xf numFmtId="165" fontId="19" fillId="20" borderId="4" xfId="0" applyNumberFormat="1" applyFont="1" applyFill="1" applyBorder="1" applyAlignment="1">
      <alignment horizontal="center" vertical="center" wrapText="1" readingOrder="1"/>
    </xf>
    <xf numFmtId="167" fontId="19" fillId="20" borderId="5" xfId="0" applyNumberFormat="1" applyFont="1" applyFill="1" applyBorder="1" applyAlignment="1">
      <alignment horizontal="center" vertical="center" wrapText="1" readingOrder="1"/>
    </xf>
    <xf numFmtId="165" fontId="19" fillId="20" borderId="5" xfId="0" applyNumberFormat="1" applyFont="1" applyFill="1" applyBorder="1" applyAlignment="1">
      <alignment horizontal="center" vertical="center" wrapText="1" readingOrder="1"/>
    </xf>
    <xf numFmtId="167" fontId="29" fillId="6" borderId="7" xfId="0" applyNumberFormat="1" applyFont="1" applyFill="1" applyBorder="1" applyAlignment="1">
      <alignment horizontal="center"/>
    </xf>
    <xf numFmtId="167" fontId="29" fillId="25" borderId="7" xfId="0" applyNumberFormat="1" applyFont="1" applyFill="1" applyBorder="1" applyAlignment="1">
      <alignment horizontal="center"/>
    </xf>
    <xf numFmtId="0" fontId="28" fillId="14" borderId="29" xfId="0" applyFont="1" applyFill="1" applyBorder="1" applyAlignment="1">
      <alignment horizontal="left" vertical="top" wrapText="1"/>
    </xf>
    <xf numFmtId="0" fontId="28" fillId="14" borderId="41" xfId="0" applyFont="1" applyFill="1" applyBorder="1" applyAlignment="1">
      <alignment horizontal="left" vertical="top" wrapText="1"/>
    </xf>
    <xf numFmtId="0" fontId="28" fillId="14" borderId="35" xfId="0" applyFont="1" applyFill="1" applyBorder="1" applyAlignment="1">
      <alignment horizontal="left" vertical="top" wrapText="1"/>
    </xf>
    <xf numFmtId="0" fontId="28" fillId="14" borderId="28" xfId="0" applyFont="1" applyFill="1" applyBorder="1" applyAlignment="1">
      <alignment horizontal="left" vertical="top" wrapText="1"/>
    </xf>
    <xf numFmtId="0" fontId="28" fillId="14" borderId="101" xfId="0" applyFont="1" applyFill="1" applyBorder="1" applyAlignment="1">
      <alignment horizontal="left" vertical="top" wrapText="1"/>
    </xf>
    <xf numFmtId="0" fontId="28" fillId="14" borderId="34" xfId="0" applyFont="1" applyFill="1" applyBorder="1" applyAlignment="1">
      <alignment horizontal="left" vertical="top" wrapText="1"/>
    </xf>
    <xf numFmtId="0" fontId="28" fillId="14" borderId="41" xfId="0" applyFont="1" applyFill="1" applyBorder="1"/>
    <xf numFmtId="0" fontId="28" fillId="14" borderId="35" xfId="0" applyFont="1" applyFill="1" applyBorder="1"/>
    <xf numFmtId="170" fontId="28" fillId="14" borderId="35" xfId="2" applyNumberFormat="1" applyFont="1" applyFill="1" applyBorder="1" applyAlignment="1">
      <alignment horizontal="center"/>
    </xf>
    <xf numFmtId="0" fontId="33" fillId="14" borderId="41" xfId="0" applyFont="1" applyFill="1" applyBorder="1" applyAlignment="1">
      <alignment vertical="top"/>
    </xf>
    <xf numFmtId="0" fontId="30" fillId="14" borderId="41" xfId="0" applyFont="1" applyFill="1" applyBorder="1"/>
    <xf numFmtId="0" fontId="28" fillId="14" borderId="29" xfId="0" applyFont="1" applyFill="1" applyBorder="1"/>
    <xf numFmtId="170" fontId="28" fillId="14" borderId="29" xfId="2" applyNumberFormat="1" applyFont="1" applyFill="1" applyBorder="1" applyAlignment="1">
      <alignment horizontal="center"/>
    </xf>
    <xf numFmtId="0" fontId="28" fillId="14" borderId="29" xfId="0" applyFont="1" applyFill="1" applyBorder="1" applyAlignment="1">
      <alignment horizontal="center"/>
    </xf>
    <xf numFmtId="166" fontId="28" fillId="14" borderId="29" xfId="2" applyNumberFormat="1" applyFont="1" applyFill="1" applyBorder="1" applyAlignment="1">
      <alignment horizontal="center"/>
    </xf>
    <xf numFmtId="167" fontId="28" fillId="14" borderId="30" xfId="0" applyNumberFormat="1" applyFont="1" applyFill="1" applyBorder="1" applyAlignment="1">
      <alignment horizontal="center"/>
    </xf>
    <xf numFmtId="167" fontId="29" fillId="14" borderId="6" xfId="0" applyNumberFormat="1" applyFont="1" applyFill="1" applyBorder="1" applyAlignment="1">
      <alignment horizontal="center"/>
    </xf>
    <xf numFmtId="167" fontId="29" fillId="14" borderId="11" xfId="0" applyNumberFormat="1" applyFont="1" applyFill="1" applyBorder="1" applyAlignment="1">
      <alignment horizontal="center"/>
    </xf>
    <xf numFmtId="167" fontId="29" fillId="14" borderId="29" xfId="0" applyNumberFormat="1" applyFont="1" applyFill="1" applyBorder="1" applyAlignment="1">
      <alignment horizontal="center"/>
    </xf>
    <xf numFmtId="167" fontId="29" fillId="25" borderId="8" xfId="0" applyNumberFormat="1" applyFont="1" applyFill="1" applyBorder="1" applyAlignment="1">
      <alignment horizontal="center"/>
    </xf>
    <xf numFmtId="0" fontId="28" fillId="2" borderId="0" xfId="0" applyFont="1" applyFill="1" applyAlignment="1">
      <alignment vertical="center"/>
    </xf>
    <xf numFmtId="0" fontId="28" fillId="14" borderId="28" xfId="0" applyFont="1" applyFill="1" applyBorder="1" applyAlignment="1">
      <alignment horizontal="left" vertical="center" wrapText="1"/>
    </xf>
    <xf numFmtId="0" fontId="28" fillId="14" borderId="29" xfId="0" applyFont="1" applyFill="1" applyBorder="1" applyAlignment="1">
      <alignment horizontal="left" vertical="center" wrapText="1"/>
    </xf>
    <xf numFmtId="0" fontId="28" fillId="14" borderId="29" xfId="0" applyFont="1" applyFill="1" applyBorder="1" applyAlignment="1">
      <alignment vertical="center"/>
    </xf>
    <xf numFmtId="170" fontId="28" fillId="14" borderId="29" xfId="2" applyNumberFormat="1" applyFont="1" applyFill="1" applyBorder="1" applyAlignment="1">
      <alignment horizontal="center" vertical="center"/>
    </xf>
    <xf numFmtId="0" fontId="28" fillId="14" borderId="29" xfId="0" applyFont="1" applyFill="1" applyBorder="1" applyAlignment="1">
      <alignment horizontal="center" vertical="center"/>
    </xf>
    <xf numFmtId="166" fontId="28" fillId="14" borderId="29" xfId="2" applyNumberFormat="1" applyFont="1" applyFill="1" applyBorder="1" applyAlignment="1">
      <alignment horizontal="center" vertical="center"/>
    </xf>
    <xf numFmtId="167" fontId="28" fillId="14" borderId="30" xfId="0" applyNumberFormat="1" applyFont="1" applyFill="1" applyBorder="1" applyAlignment="1">
      <alignment horizontal="center" vertical="center"/>
    </xf>
    <xf numFmtId="167" fontId="29" fillId="14" borderId="6" xfId="0" applyNumberFormat="1" applyFont="1" applyFill="1" applyBorder="1" applyAlignment="1">
      <alignment horizontal="center" vertical="center"/>
    </xf>
    <xf numFmtId="167" fontId="29" fillId="14" borderId="11" xfId="0" applyNumberFormat="1" applyFont="1" applyFill="1" applyBorder="1" applyAlignment="1">
      <alignment horizontal="center" vertical="center"/>
    </xf>
    <xf numFmtId="167" fontId="29" fillId="14" borderId="29" xfId="0" applyNumberFormat="1" applyFont="1" applyFill="1" applyBorder="1" applyAlignment="1">
      <alignment horizontal="center" vertical="center"/>
    </xf>
    <xf numFmtId="0" fontId="4" fillId="21" borderId="79" xfId="0" applyFont="1" applyFill="1" applyBorder="1" applyAlignment="1">
      <alignment horizontal="center" vertical="center"/>
    </xf>
    <xf numFmtId="0" fontId="4" fillId="12" borderId="55" xfId="0" applyFont="1" applyFill="1" applyBorder="1" applyAlignment="1">
      <alignment horizontal="center" vertical="center"/>
    </xf>
    <xf numFmtId="0" fontId="4" fillId="9" borderId="59" xfId="0" applyFont="1" applyFill="1" applyBorder="1" applyAlignment="1">
      <alignment horizontal="center" vertical="center"/>
    </xf>
    <xf numFmtId="0" fontId="4" fillId="9" borderId="55" xfId="0" applyFont="1" applyFill="1" applyBorder="1" applyAlignment="1">
      <alignment horizontal="center" vertical="center"/>
    </xf>
    <xf numFmtId="0" fontId="4" fillId="9" borderId="62" xfId="0" applyFont="1" applyFill="1" applyBorder="1" applyAlignment="1">
      <alignment horizontal="center" vertical="center"/>
    </xf>
    <xf numFmtId="0" fontId="4" fillId="14" borderId="55" xfId="0" applyFont="1" applyFill="1" applyBorder="1" applyAlignment="1">
      <alignment horizontal="center" vertical="center"/>
    </xf>
    <xf numFmtId="0" fontId="4" fillId="17" borderId="59" xfId="0" applyFont="1" applyFill="1" applyBorder="1" applyAlignment="1">
      <alignment horizontal="center" vertical="center"/>
    </xf>
    <xf numFmtId="0" fontId="4" fillId="17" borderId="55" xfId="0" applyFont="1" applyFill="1" applyBorder="1" applyAlignment="1">
      <alignment horizontal="center" vertical="center"/>
    </xf>
    <xf numFmtId="0" fontId="4" fillId="17" borderId="62" xfId="0" applyFont="1" applyFill="1" applyBorder="1" applyAlignment="1">
      <alignment horizontal="center" vertical="center"/>
    </xf>
    <xf numFmtId="0" fontId="4" fillId="18" borderId="55" xfId="0" applyFont="1" applyFill="1" applyBorder="1" applyAlignment="1">
      <alignment horizontal="center" vertical="center"/>
    </xf>
    <xf numFmtId="0" fontId="5" fillId="4" borderId="116" xfId="0" applyFont="1" applyFill="1" applyBorder="1" applyAlignment="1">
      <alignment horizontal="center" vertical="top" wrapText="1"/>
    </xf>
    <xf numFmtId="0" fontId="5" fillId="4" borderId="117" xfId="0" applyFont="1" applyFill="1" applyBorder="1" applyAlignment="1">
      <alignment horizontal="center" vertical="top" wrapText="1"/>
    </xf>
    <xf numFmtId="0" fontId="5" fillId="4" borderId="114" xfId="0" applyFont="1" applyFill="1" applyBorder="1" applyAlignment="1">
      <alignment horizontal="center" vertical="top" wrapText="1"/>
    </xf>
    <xf numFmtId="0" fontId="5" fillId="4" borderId="49" xfId="0" applyFont="1" applyFill="1" applyBorder="1" applyAlignment="1">
      <alignment horizontal="center" vertical="top"/>
    </xf>
    <xf numFmtId="0" fontId="6" fillId="4" borderId="115" xfId="0" applyFont="1" applyFill="1" applyBorder="1" applyAlignment="1">
      <alignment horizontal="center" vertical="top" wrapText="1"/>
    </xf>
    <xf numFmtId="0" fontId="6" fillId="4" borderId="55" xfId="0" applyFont="1" applyFill="1" applyBorder="1" applyAlignment="1">
      <alignment horizontal="center" vertical="top" wrapText="1"/>
    </xf>
    <xf numFmtId="0" fontId="6" fillId="4" borderId="52" xfId="0" applyFont="1" applyFill="1" applyBorder="1" applyAlignment="1">
      <alignment horizontal="center" vertical="top" wrapText="1"/>
    </xf>
    <xf numFmtId="0" fontId="6" fillId="4" borderId="65" xfId="0" applyFont="1" applyFill="1" applyBorder="1" applyAlignment="1">
      <alignment horizontal="center" vertical="top" wrapText="1"/>
    </xf>
    <xf numFmtId="0" fontId="5" fillId="4" borderId="52" xfId="0" applyFont="1" applyFill="1" applyBorder="1" applyAlignment="1">
      <alignment horizontal="center" vertical="top" wrapText="1"/>
    </xf>
    <xf numFmtId="0" fontId="5" fillId="4" borderId="65" xfId="0" applyFont="1" applyFill="1" applyBorder="1" applyAlignment="1">
      <alignment horizontal="center" vertical="top" wrapText="1"/>
    </xf>
    <xf numFmtId="0" fontId="16" fillId="19" borderId="83" xfId="0" applyFont="1" applyFill="1" applyBorder="1" applyAlignment="1">
      <alignment horizontal="center" vertical="center" wrapText="1" readingOrder="1"/>
    </xf>
    <xf numFmtId="0" fontId="16" fillId="19" borderId="44" xfId="0" applyFont="1" applyFill="1" applyBorder="1" applyAlignment="1">
      <alignment horizontal="center" vertical="center" wrapText="1" readingOrder="1"/>
    </xf>
    <xf numFmtId="0" fontId="16" fillId="9" borderId="44" xfId="0" applyFont="1" applyFill="1" applyBorder="1" applyAlignment="1">
      <alignment horizontal="center" vertical="center" wrapText="1" readingOrder="1"/>
    </xf>
    <xf numFmtId="167" fontId="18" fillId="5" borderId="4" xfId="0" applyNumberFormat="1" applyFont="1" applyFill="1" applyBorder="1" applyAlignment="1">
      <alignment horizontal="center" vertical="center" wrapText="1" readingOrder="1"/>
    </xf>
    <xf numFmtId="167" fontId="18" fillId="5" borderId="5" xfId="0" applyNumberFormat="1" applyFont="1" applyFill="1" applyBorder="1" applyAlignment="1">
      <alignment horizontal="center" vertical="center" wrapText="1" readingOrder="1"/>
    </xf>
    <xf numFmtId="0" fontId="18" fillId="5" borderId="72" xfId="0" applyFont="1" applyFill="1" applyBorder="1" applyAlignment="1">
      <alignment horizontal="center" vertical="center" wrapText="1" readingOrder="1"/>
    </xf>
    <xf numFmtId="167" fontId="18" fillId="5" borderId="14" xfId="0" applyNumberFormat="1" applyFont="1" applyFill="1" applyBorder="1" applyAlignment="1">
      <alignment horizontal="center" vertical="center" wrapText="1" readingOrder="1"/>
    </xf>
    <xf numFmtId="0" fontId="18" fillId="5" borderId="5" xfId="0" applyFont="1" applyFill="1" applyBorder="1" applyAlignment="1">
      <alignment horizontal="center" vertical="center" wrapText="1" readingOrder="1"/>
    </xf>
    <xf numFmtId="10" fontId="18" fillId="5" borderId="14" xfId="1" applyNumberFormat="1" applyFont="1" applyFill="1" applyBorder="1" applyAlignment="1">
      <alignment horizontal="center" vertical="center" wrapText="1" readingOrder="1"/>
    </xf>
    <xf numFmtId="10" fontId="18" fillId="5" borderId="5" xfId="1" applyNumberFormat="1" applyFont="1" applyFill="1" applyBorder="1" applyAlignment="1">
      <alignment horizontal="center" vertical="center" wrapText="1" readingOrder="1"/>
    </xf>
    <xf numFmtId="10" fontId="18" fillId="5" borderId="72" xfId="1" applyNumberFormat="1" applyFont="1" applyFill="1" applyBorder="1" applyAlignment="1">
      <alignment horizontal="center" vertical="center" wrapText="1" readingOrder="1"/>
    </xf>
    <xf numFmtId="10" fontId="18" fillId="10" borderId="86" xfId="1" applyNumberFormat="1" applyFont="1" applyFill="1" applyBorder="1" applyAlignment="1">
      <alignment horizontal="center" vertical="center" wrapText="1" readingOrder="1"/>
    </xf>
    <xf numFmtId="10" fontId="18" fillId="10" borderId="5" xfId="1" applyNumberFormat="1" applyFont="1" applyFill="1" applyBorder="1" applyAlignment="1">
      <alignment horizontal="center" vertical="center" wrapText="1" readingOrder="1"/>
    </xf>
    <xf numFmtId="10" fontId="18" fillId="10" borderId="20" xfId="1" applyNumberFormat="1" applyFont="1" applyFill="1" applyBorder="1" applyAlignment="1">
      <alignment horizontal="center" vertical="center" wrapText="1" readingOrder="1"/>
    </xf>
    <xf numFmtId="10" fontId="18" fillId="10" borderId="4" xfId="1" applyNumberFormat="1" applyFont="1" applyFill="1" applyBorder="1" applyAlignment="1">
      <alignment horizontal="center" vertical="center" wrapText="1" readingOrder="1"/>
    </xf>
    <xf numFmtId="10" fontId="18" fillId="10" borderId="72" xfId="1" applyNumberFormat="1" applyFont="1" applyFill="1" applyBorder="1" applyAlignment="1">
      <alignment horizontal="center" vertical="center" wrapText="1" readingOrder="1"/>
    </xf>
    <xf numFmtId="10" fontId="18" fillId="13" borderId="29" xfId="1" applyNumberFormat="1" applyFont="1" applyFill="1" applyBorder="1" applyAlignment="1">
      <alignment horizontal="center" vertical="center" wrapText="1" readingOrder="1"/>
    </xf>
    <xf numFmtId="10" fontId="18" fillId="13" borderId="41" xfId="1" applyNumberFormat="1" applyFont="1" applyFill="1" applyBorder="1" applyAlignment="1">
      <alignment horizontal="center" vertical="center" wrapText="1" readingOrder="1"/>
    </xf>
    <xf numFmtId="10" fontId="18" fillId="13" borderId="93" xfId="1" applyNumberFormat="1" applyFont="1" applyFill="1" applyBorder="1" applyAlignment="1">
      <alignment horizontal="center" vertical="center" wrapText="1" readingOrder="1"/>
    </xf>
    <xf numFmtId="0" fontId="17" fillId="16" borderId="84" xfId="0" applyFont="1" applyFill="1" applyBorder="1" applyAlignment="1">
      <alignment horizontal="center" vertical="center" wrapText="1" readingOrder="1"/>
    </xf>
    <xf numFmtId="0" fontId="17" fillId="16" borderId="7" xfId="0" applyFont="1" applyFill="1" applyBorder="1" applyAlignment="1">
      <alignment horizontal="center" vertical="center" wrapText="1" readingOrder="1"/>
    </xf>
    <xf numFmtId="0" fontId="17" fillId="16" borderId="90" xfId="0" applyFont="1" applyFill="1" applyBorder="1" applyAlignment="1">
      <alignment horizontal="center" vertical="center" wrapText="1" readingOrder="1"/>
    </xf>
    <xf numFmtId="0" fontId="17" fillId="5" borderId="7" xfId="0" applyFont="1" applyFill="1" applyBorder="1" applyAlignment="1">
      <alignment horizontal="center" vertical="center" wrapText="1" readingOrder="1"/>
    </xf>
    <xf numFmtId="0" fontId="16" fillId="14" borderId="83" xfId="0" applyFont="1" applyFill="1" applyBorder="1" applyAlignment="1">
      <alignment horizontal="center" vertical="center" wrapText="1" readingOrder="1"/>
    </xf>
    <xf numFmtId="0" fontId="16" fillId="14" borderId="44" xfId="0" applyFont="1" applyFill="1" applyBorder="1" applyAlignment="1">
      <alignment horizontal="center" vertical="center" wrapText="1" readingOrder="1"/>
    </xf>
    <xf numFmtId="0" fontId="16" fillId="14" borderId="89" xfId="0" applyFont="1" applyFill="1" applyBorder="1" applyAlignment="1">
      <alignment horizontal="center" vertical="center" wrapText="1" readingOrder="1"/>
    </xf>
    <xf numFmtId="0" fontId="16" fillId="17" borderId="83" xfId="0" applyFont="1" applyFill="1" applyBorder="1" applyAlignment="1">
      <alignment horizontal="center" vertical="center" wrapText="1" readingOrder="1"/>
    </xf>
    <xf numFmtId="0" fontId="16" fillId="17" borderId="44" xfId="0" applyFont="1" applyFill="1" applyBorder="1" applyAlignment="1">
      <alignment horizontal="center" vertical="center" wrapText="1" readingOrder="1"/>
    </xf>
    <xf numFmtId="0" fontId="16" fillId="17" borderId="89" xfId="0" applyFont="1" applyFill="1" applyBorder="1" applyAlignment="1">
      <alignment horizontal="center" vertical="center" wrapText="1" readingOrder="1"/>
    </xf>
    <xf numFmtId="0" fontId="17" fillId="10" borderId="22" xfId="0" applyFont="1" applyFill="1" applyBorder="1" applyAlignment="1">
      <alignment horizontal="center" vertical="center" wrapText="1" readingOrder="1"/>
    </xf>
    <xf numFmtId="0" fontId="17" fillId="10" borderId="24" xfId="0" applyFont="1" applyFill="1" applyBorder="1" applyAlignment="1">
      <alignment horizontal="center" vertical="center" wrapText="1" readingOrder="1"/>
    </xf>
    <xf numFmtId="0" fontId="17" fillId="10" borderId="97" xfId="0" applyFont="1" applyFill="1" applyBorder="1" applyAlignment="1">
      <alignment horizontal="center" vertical="center" wrapText="1" readingOrder="1"/>
    </xf>
    <xf numFmtId="0" fontId="17" fillId="15" borderId="32" xfId="0" applyFont="1" applyFill="1" applyBorder="1" applyAlignment="1">
      <alignment horizontal="center" vertical="center" wrapText="1" readingOrder="1"/>
    </xf>
    <xf numFmtId="0" fontId="17" fillId="15" borderId="24" xfId="0" applyFont="1" applyFill="1" applyBorder="1" applyAlignment="1">
      <alignment horizontal="center" vertical="center" wrapText="1" readingOrder="1"/>
    </xf>
    <xf numFmtId="0" fontId="17" fillId="15" borderId="71" xfId="0" applyFont="1" applyFill="1" applyBorder="1" applyAlignment="1">
      <alignment horizontal="center" vertical="center" wrapText="1" readingOrder="1"/>
    </xf>
    <xf numFmtId="0" fontId="17" fillId="15" borderId="6" xfId="0" applyFont="1" applyFill="1" applyBorder="1" applyAlignment="1">
      <alignment horizontal="center" vertical="center" wrapText="1" readingOrder="1"/>
    </xf>
    <xf numFmtId="0" fontId="17" fillId="15" borderId="7" xfId="0" applyFont="1" applyFill="1" applyBorder="1" applyAlignment="1">
      <alignment horizontal="center" vertical="center" wrapText="1" readingOrder="1"/>
    </xf>
    <xf numFmtId="0" fontId="17" fillId="13" borderId="6" xfId="0" applyFont="1" applyFill="1" applyBorder="1" applyAlignment="1">
      <alignment horizontal="center" vertical="center" wrapText="1" readingOrder="1"/>
    </xf>
    <xf numFmtId="0" fontId="17" fillId="13" borderId="7" xfId="0" applyFont="1" applyFill="1" applyBorder="1" applyAlignment="1">
      <alignment horizontal="center" vertical="center" wrapText="1" readingOrder="1"/>
    </xf>
    <xf numFmtId="0" fontId="17" fillId="13" borderId="90" xfId="0" applyFont="1" applyFill="1" applyBorder="1" applyAlignment="1">
      <alignment horizontal="center" vertical="center" wrapText="1" readingOrder="1"/>
    </xf>
    <xf numFmtId="0" fontId="17" fillId="13" borderId="84" xfId="0" applyFont="1" applyFill="1" applyBorder="1" applyAlignment="1">
      <alignment horizontal="center" vertical="center" wrapText="1" readingOrder="1"/>
    </xf>
    <xf numFmtId="0" fontId="17" fillId="5" borderId="6" xfId="0" applyFont="1" applyFill="1" applyBorder="1" applyAlignment="1">
      <alignment horizontal="center" vertical="center" wrapText="1" readingOrder="1"/>
    </xf>
    <xf numFmtId="0" fontId="17" fillId="5" borderId="8" xfId="0" applyFont="1" applyFill="1" applyBorder="1" applyAlignment="1">
      <alignment horizontal="center" vertical="center" wrapText="1" readingOrder="1"/>
    </xf>
    <xf numFmtId="0" fontId="16" fillId="18" borderId="44" xfId="0" applyFont="1" applyFill="1" applyBorder="1" applyAlignment="1">
      <alignment horizontal="center" vertical="center" wrapText="1" readingOrder="1"/>
    </xf>
    <xf numFmtId="0" fontId="18" fillId="13" borderId="29" xfId="0" applyFont="1" applyFill="1" applyBorder="1" applyAlignment="1">
      <alignment horizontal="center" vertical="center" wrapText="1" readingOrder="1"/>
    </xf>
    <xf numFmtId="0" fontId="18" fillId="13" borderId="41" xfId="0" applyFont="1" applyFill="1" applyBorder="1" applyAlignment="1">
      <alignment horizontal="center" vertical="center" wrapText="1" readingOrder="1"/>
    </xf>
    <xf numFmtId="0" fontId="18" fillId="13" borderId="35" xfId="0" applyFont="1" applyFill="1" applyBorder="1" applyAlignment="1">
      <alignment horizontal="center" vertical="center" wrapText="1" readingOrder="1"/>
    </xf>
    <xf numFmtId="10" fontId="18" fillId="13" borderId="35" xfId="1" applyNumberFormat="1" applyFont="1" applyFill="1" applyBorder="1" applyAlignment="1">
      <alignment horizontal="center" vertical="center" wrapText="1" readingOrder="1"/>
    </xf>
    <xf numFmtId="10" fontId="18" fillId="16" borderId="87" xfId="1" applyNumberFormat="1" applyFont="1" applyFill="1" applyBorder="1" applyAlignment="1">
      <alignment horizontal="center" vertical="center" wrapText="1" readingOrder="1"/>
    </xf>
    <xf numFmtId="10" fontId="18" fillId="16" borderId="41" xfId="1" applyNumberFormat="1" applyFont="1" applyFill="1" applyBorder="1" applyAlignment="1">
      <alignment horizontal="center" vertical="center" wrapText="1" readingOrder="1"/>
    </xf>
    <xf numFmtId="10" fontId="18" fillId="16" borderId="93" xfId="1" applyNumberFormat="1" applyFont="1" applyFill="1" applyBorder="1" applyAlignment="1">
      <alignment horizontal="center" vertical="center" wrapText="1" readingOrder="1"/>
    </xf>
    <xf numFmtId="167" fontId="18" fillId="5" borderId="29" xfId="0" applyNumberFormat="1" applyFont="1" applyFill="1" applyBorder="1" applyAlignment="1">
      <alignment horizontal="center" vertical="center" wrapText="1" readingOrder="1"/>
    </xf>
    <xf numFmtId="167" fontId="18" fillId="5" borderId="41" xfId="0" applyNumberFormat="1" applyFont="1" applyFill="1" applyBorder="1" applyAlignment="1">
      <alignment horizontal="center" vertical="center" wrapText="1" readingOrder="1"/>
    </xf>
    <xf numFmtId="167" fontId="18" fillId="5" borderId="35" xfId="0" applyNumberFormat="1" applyFont="1" applyFill="1" applyBorder="1" applyAlignment="1">
      <alignment horizontal="center" vertical="center" wrapText="1" readingOrder="1"/>
    </xf>
    <xf numFmtId="0" fontId="20" fillId="8" borderId="32" xfId="0" applyFont="1" applyFill="1" applyBorder="1" applyAlignment="1">
      <alignment horizontal="center" vertical="center" wrapText="1" readingOrder="1"/>
    </xf>
    <xf numFmtId="0" fontId="20" fillId="8" borderId="24" xfId="0" applyFont="1" applyFill="1" applyBorder="1" applyAlignment="1">
      <alignment horizontal="center" vertical="center" wrapText="1" readingOrder="1"/>
    </xf>
    <xf numFmtId="0" fontId="20" fillId="8" borderId="26" xfId="0" applyFont="1" applyFill="1" applyBorder="1" applyAlignment="1">
      <alignment horizontal="center" vertical="center" wrapText="1" readingOrder="1"/>
    </xf>
    <xf numFmtId="0" fontId="18" fillId="8" borderId="14" xfId="0" applyFont="1" applyFill="1" applyBorder="1" applyAlignment="1">
      <alignment horizontal="center" vertical="center" wrapText="1" readingOrder="1"/>
    </xf>
    <xf numFmtId="0" fontId="18" fillId="8" borderId="5" xfId="0" applyFont="1" applyFill="1" applyBorder="1" applyAlignment="1">
      <alignment horizontal="center" vertical="center" wrapText="1" readingOrder="1"/>
    </xf>
    <xf numFmtId="0" fontId="18" fillId="8" borderId="20" xfId="0" applyFont="1" applyFill="1" applyBorder="1" applyAlignment="1">
      <alignment horizontal="center" vertical="center" wrapText="1" readingOrder="1"/>
    </xf>
    <xf numFmtId="167" fontId="18" fillId="8" borderId="14" xfId="0" applyNumberFormat="1" applyFont="1" applyFill="1" applyBorder="1" applyAlignment="1">
      <alignment horizontal="center" vertical="center" wrapText="1" readingOrder="1"/>
    </xf>
    <xf numFmtId="167" fontId="18" fillId="8" borderId="5" xfId="0" applyNumberFormat="1" applyFont="1" applyFill="1" applyBorder="1" applyAlignment="1">
      <alignment horizontal="center" vertical="center" wrapText="1" readingOrder="1"/>
    </xf>
    <xf numFmtId="167" fontId="18" fillId="8" borderId="20" xfId="0" applyNumberFormat="1" applyFont="1" applyFill="1" applyBorder="1" applyAlignment="1">
      <alignment horizontal="center" vertical="center" wrapText="1" readingOrder="1"/>
    </xf>
    <xf numFmtId="0" fontId="21" fillId="8" borderId="4" xfId="0" applyFont="1" applyFill="1" applyBorder="1" applyAlignment="1">
      <alignment horizontal="center" vertical="center" wrapText="1" readingOrder="1"/>
    </xf>
    <xf numFmtId="0" fontId="21" fillId="8" borderId="5" xfId="0" applyFont="1" applyFill="1" applyBorder="1" applyAlignment="1">
      <alignment horizontal="center" vertical="center" wrapText="1" readingOrder="1"/>
    </xf>
    <xf numFmtId="0" fontId="21" fillId="8" borderId="20" xfId="0" applyFont="1" applyFill="1" applyBorder="1" applyAlignment="1">
      <alignment horizontal="center" vertical="center" wrapText="1" readingOrder="1"/>
    </xf>
    <xf numFmtId="0" fontId="17" fillId="8" borderId="22" xfId="0" applyFont="1" applyFill="1" applyBorder="1" applyAlignment="1">
      <alignment horizontal="center" vertical="center" wrapText="1" readingOrder="1"/>
    </xf>
    <xf numFmtId="0" fontId="17" fillId="8" borderId="24" xfId="0" applyFont="1" applyFill="1" applyBorder="1" applyAlignment="1">
      <alignment horizontal="center" vertical="center" wrapText="1" readingOrder="1"/>
    </xf>
    <xf numFmtId="0" fontId="17" fillId="8" borderId="26" xfId="0" applyFont="1" applyFill="1" applyBorder="1" applyAlignment="1">
      <alignment horizontal="center" vertical="center" wrapText="1" readingOrder="1"/>
    </xf>
    <xf numFmtId="10" fontId="18" fillId="8" borderId="14" xfId="1" applyNumberFormat="1" applyFont="1" applyFill="1" applyBorder="1" applyAlignment="1">
      <alignment horizontal="center" vertical="center" wrapText="1" readingOrder="1"/>
    </xf>
    <xf numFmtId="10" fontId="18" fillId="8" borderId="5" xfId="1" applyNumberFormat="1" applyFont="1" applyFill="1" applyBorder="1" applyAlignment="1">
      <alignment horizontal="center" vertical="center" wrapText="1" readingOrder="1"/>
    </xf>
    <xf numFmtId="10" fontId="18" fillId="8" borderId="20" xfId="1" applyNumberFormat="1" applyFont="1" applyFill="1" applyBorder="1" applyAlignment="1">
      <alignment horizontal="center" vertical="center" wrapText="1" readingOrder="1"/>
    </xf>
    <xf numFmtId="10" fontId="21" fillId="8" borderId="4" xfId="1" applyNumberFormat="1" applyFont="1" applyFill="1" applyBorder="1" applyAlignment="1">
      <alignment horizontal="center" vertical="center" wrapText="1" readingOrder="1"/>
    </xf>
    <xf numFmtId="10" fontId="21" fillId="8" borderId="5" xfId="1" applyNumberFormat="1" applyFont="1" applyFill="1" applyBorder="1" applyAlignment="1">
      <alignment horizontal="center" vertical="center" wrapText="1" readingOrder="1"/>
    </xf>
    <xf numFmtId="10" fontId="21" fillId="8" borderId="20" xfId="1" applyNumberFormat="1" applyFont="1" applyFill="1" applyBorder="1" applyAlignment="1">
      <alignment horizontal="center" vertical="center" wrapText="1" readingOrder="1"/>
    </xf>
    <xf numFmtId="0" fontId="18" fillId="15" borderId="4" xfId="0" applyFont="1" applyFill="1" applyBorder="1" applyAlignment="1">
      <alignment horizontal="center" vertical="center" wrapText="1" readingOrder="1"/>
    </xf>
    <xf numFmtId="0" fontId="18" fillId="15" borderId="5" xfId="0" applyFont="1" applyFill="1" applyBorder="1" applyAlignment="1">
      <alignment horizontal="center" vertical="center" wrapText="1" readingOrder="1"/>
    </xf>
    <xf numFmtId="0" fontId="18" fillId="15" borderId="72" xfId="0" applyFont="1" applyFill="1" applyBorder="1" applyAlignment="1">
      <alignment horizontal="center" vertical="center" wrapText="1" readingOrder="1"/>
    </xf>
    <xf numFmtId="0" fontId="18" fillId="10" borderId="4" xfId="0" applyFont="1" applyFill="1" applyBorder="1" applyAlignment="1">
      <alignment horizontal="center" vertical="center" wrapText="1" readingOrder="1"/>
    </xf>
    <xf numFmtId="0" fontId="18" fillId="10" borderId="5" xfId="0" applyFont="1" applyFill="1" applyBorder="1" applyAlignment="1">
      <alignment horizontal="center" vertical="center" wrapText="1" readingOrder="1"/>
    </xf>
    <xf numFmtId="0" fontId="18" fillId="10" borderId="72" xfId="0" applyFont="1" applyFill="1" applyBorder="1" applyAlignment="1">
      <alignment horizontal="center" vertical="center" wrapText="1" readingOrder="1"/>
    </xf>
    <xf numFmtId="0" fontId="18" fillId="10" borderId="14" xfId="0" applyFont="1" applyFill="1" applyBorder="1" applyAlignment="1">
      <alignment horizontal="center" vertical="center" wrapText="1" readingOrder="1"/>
    </xf>
    <xf numFmtId="0" fontId="18" fillId="10" borderId="92" xfId="0" applyFont="1" applyFill="1" applyBorder="1" applyAlignment="1">
      <alignment horizontal="center" vertical="center" wrapText="1" readingOrder="1"/>
    </xf>
    <xf numFmtId="0" fontId="18" fillId="5" borderId="14" xfId="0" applyFont="1" applyFill="1" applyBorder="1" applyAlignment="1">
      <alignment horizontal="center" vertical="center" wrapText="1" readingOrder="1"/>
    </xf>
    <xf numFmtId="10" fontId="18" fillId="10" borderId="14" xfId="1" applyNumberFormat="1" applyFont="1" applyFill="1" applyBorder="1" applyAlignment="1">
      <alignment horizontal="center" vertical="center" wrapText="1" readingOrder="1"/>
    </xf>
    <xf numFmtId="10" fontId="18" fillId="10" borderId="92" xfId="1" applyNumberFormat="1" applyFont="1" applyFill="1" applyBorder="1" applyAlignment="1">
      <alignment horizontal="center" vertical="center" wrapText="1" readingOrder="1"/>
    </xf>
    <xf numFmtId="10" fontId="18" fillId="5" borderId="4" xfId="1" applyNumberFormat="1" applyFont="1" applyFill="1" applyBorder="1" applyAlignment="1">
      <alignment horizontal="center" vertical="center" wrapText="1" readingOrder="1"/>
    </xf>
    <xf numFmtId="167" fontId="18" fillId="10" borderId="86" xfId="0" applyNumberFormat="1" applyFont="1" applyFill="1" applyBorder="1" applyAlignment="1">
      <alignment horizontal="center" vertical="center" wrapText="1" readingOrder="1"/>
    </xf>
    <xf numFmtId="0" fontId="18" fillId="10" borderId="20" xfId="0" applyFont="1" applyFill="1" applyBorder="1" applyAlignment="1">
      <alignment horizontal="center" vertical="center" wrapText="1" readingOrder="1"/>
    </xf>
    <xf numFmtId="167" fontId="18" fillId="10" borderId="4" xfId="0" applyNumberFormat="1" applyFont="1" applyFill="1" applyBorder="1" applyAlignment="1">
      <alignment horizontal="center" vertical="center" wrapText="1" readingOrder="1"/>
    </xf>
    <xf numFmtId="167" fontId="18" fillId="10" borderId="14" xfId="0" applyNumberFormat="1" applyFont="1" applyFill="1" applyBorder="1" applyAlignment="1">
      <alignment horizontal="center" vertical="center" wrapText="1" readingOrder="1"/>
    </xf>
    <xf numFmtId="167" fontId="18" fillId="15" borderId="4" xfId="0" applyNumberFormat="1" applyFont="1" applyFill="1" applyBorder="1" applyAlignment="1">
      <alignment horizontal="center" vertical="center" wrapText="1" readingOrder="1"/>
    </xf>
    <xf numFmtId="10" fontId="18" fillId="15" borderId="4" xfId="1" applyNumberFormat="1" applyFont="1" applyFill="1" applyBorder="1" applyAlignment="1">
      <alignment horizontal="center" vertical="center" wrapText="1" readingOrder="1"/>
    </xf>
    <xf numFmtId="10" fontId="18" fillId="15" borderId="5" xfId="1" applyNumberFormat="1" applyFont="1" applyFill="1" applyBorder="1" applyAlignment="1">
      <alignment horizontal="center" vertical="center" wrapText="1" readingOrder="1"/>
    </xf>
    <xf numFmtId="10" fontId="18" fillId="15" borderId="72" xfId="1" applyNumberFormat="1" applyFont="1" applyFill="1" applyBorder="1" applyAlignment="1">
      <alignment horizontal="center" vertical="center" wrapText="1" readingOrder="1"/>
    </xf>
    <xf numFmtId="167" fontId="18" fillId="13" borderId="29" xfId="0" applyNumberFormat="1" applyFont="1" applyFill="1" applyBorder="1" applyAlignment="1">
      <alignment horizontal="center" vertical="center" wrapText="1" readingOrder="1"/>
    </xf>
    <xf numFmtId="167" fontId="18" fillId="13" borderId="41" xfId="0" applyNumberFormat="1" applyFont="1" applyFill="1" applyBorder="1" applyAlignment="1">
      <alignment horizontal="center" vertical="center" wrapText="1" readingOrder="1"/>
    </xf>
    <xf numFmtId="167" fontId="18" fillId="13" borderId="35" xfId="0" applyNumberFormat="1" applyFont="1" applyFill="1" applyBorder="1" applyAlignment="1">
      <alignment horizontal="center" vertical="center" wrapText="1" readingOrder="1"/>
    </xf>
    <xf numFmtId="0" fontId="17" fillId="20" borderId="32" xfId="0" applyFont="1" applyFill="1" applyBorder="1" applyAlignment="1">
      <alignment horizontal="center" vertical="center" wrapText="1" readingOrder="1"/>
    </xf>
    <xf numFmtId="0" fontId="17" fillId="20" borderId="24" xfId="0" applyFont="1" applyFill="1" applyBorder="1" applyAlignment="1">
      <alignment horizontal="center" vertical="center" wrapText="1" readingOrder="1"/>
    </xf>
    <xf numFmtId="0" fontId="17" fillId="20" borderId="26" xfId="0" applyFont="1" applyFill="1" applyBorder="1" applyAlignment="1">
      <alignment horizontal="center" vertical="center" wrapText="1" readingOrder="1"/>
    </xf>
    <xf numFmtId="0" fontId="17" fillId="5" borderId="32" xfId="0" applyFont="1" applyFill="1" applyBorder="1" applyAlignment="1">
      <alignment horizontal="center" vertical="center" wrapText="1" readingOrder="1"/>
    </xf>
    <xf numFmtId="0" fontId="17" fillId="5" borderId="24" xfId="0" applyFont="1" applyFill="1" applyBorder="1" applyAlignment="1">
      <alignment horizontal="center" vertical="center" wrapText="1" readingOrder="1"/>
    </xf>
    <xf numFmtId="0" fontId="17" fillId="5" borderId="71" xfId="0" applyFont="1" applyFill="1" applyBorder="1" applyAlignment="1">
      <alignment horizontal="center" vertical="center" wrapText="1" readingOrder="1"/>
    </xf>
    <xf numFmtId="0" fontId="17" fillId="5" borderId="22" xfId="0" applyFont="1" applyFill="1" applyBorder="1" applyAlignment="1">
      <alignment horizontal="center" vertical="center" wrapText="1" readingOrder="1"/>
    </xf>
    <xf numFmtId="0" fontId="18" fillId="16" borderId="87" xfId="0" applyFont="1" applyFill="1" applyBorder="1" applyAlignment="1">
      <alignment horizontal="center" vertical="center" wrapText="1" readingOrder="1"/>
    </xf>
    <xf numFmtId="0" fontId="18" fillId="16" borderId="41" xfId="0" applyFont="1" applyFill="1" applyBorder="1" applyAlignment="1">
      <alignment horizontal="center" vertical="center" wrapText="1" readingOrder="1"/>
    </xf>
    <xf numFmtId="0" fontId="18" fillId="16" borderId="93" xfId="0" applyFont="1" applyFill="1" applyBorder="1" applyAlignment="1">
      <alignment horizontal="center" vertical="center" wrapText="1" readingOrder="1"/>
    </xf>
    <xf numFmtId="10" fontId="18" fillId="15" borderId="29" xfId="1" applyNumberFormat="1" applyFont="1" applyFill="1" applyBorder="1" applyAlignment="1">
      <alignment horizontal="center" vertical="center" wrapText="1" readingOrder="1"/>
    </xf>
    <xf numFmtId="10" fontId="18" fillId="15" borderId="41" xfId="1" applyNumberFormat="1" applyFont="1" applyFill="1" applyBorder="1" applyAlignment="1">
      <alignment horizontal="center" vertical="center" wrapText="1" readingOrder="1"/>
    </xf>
    <xf numFmtId="167" fontId="18" fillId="5" borderId="20" xfId="0" applyNumberFormat="1" applyFont="1" applyFill="1" applyBorder="1" applyAlignment="1">
      <alignment horizontal="center" vertical="center" wrapText="1" readingOrder="1"/>
    </xf>
    <xf numFmtId="167" fontId="18" fillId="5" borderId="72" xfId="0" applyNumberFormat="1" applyFont="1" applyFill="1" applyBorder="1" applyAlignment="1">
      <alignment horizontal="center" vertical="center" wrapText="1" readingOrder="1"/>
    </xf>
    <xf numFmtId="0" fontId="18" fillId="5" borderId="29" xfId="0" applyFont="1" applyFill="1" applyBorder="1" applyAlignment="1">
      <alignment horizontal="center" vertical="center" wrapText="1" readingOrder="1"/>
    </xf>
    <xf numFmtId="0" fontId="18" fillId="5" borderId="41" xfId="0" applyFont="1" applyFill="1" applyBorder="1" applyAlignment="1">
      <alignment horizontal="center" vertical="center" wrapText="1" readingOrder="1"/>
    </xf>
    <xf numFmtId="0" fontId="18" fillId="5" borderId="35" xfId="0" applyFont="1" applyFill="1" applyBorder="1" applyAlignment="1">
      <alignment horizontal="center" vertical="center" wrapText="1" readingOrder="1"/>
    </xf>
    <xf numFmtId="0" fontId="18" fillId="13" borderId="87" xfId="0" applyFont="1" applyFill="1" applyBorder="1" applyAlignment="1">
      <alignment horizontal="center" vertical="center" wrapText="1" readingOrder="1"/>
    </xf>
    <xf numFmtId="10" fontId="18" fillId="13" borderId="87" xfId="1" applyNumberFormat="1" applyFont="1" applyFill="1" applyBorder="1" applyAlignment="1">
      <alignment horizontal="center" vertical="center" wrapText="1" readingOrder="1"/>
    </xf>
    <xf numFmtId="167" fontId="18" fillId="13" borderId="87" xfId="0" applyNumberFormat="1" applyFont="1" applyFill="1" applyBorder="1" applyAlignment="1">
      <alignment horizontal="center" vertical="center" wrapText="1" readingOrder="1"/>
    </xf>
    <xf numFmtId="0" fontId="18" fillId="13" borderId="93" xfId="0" applyFont="1" applyFill="1" applyBorder="1" applyAlignment="1">
      <alignment horizontal="center" vertical="center" wrapText="1" readingOrder="1"/>
    </xf>
    <xf numFmtId="167" fontId="18" fillId="13" borderId="93" xfId="0" applyNumberFormat="1" applyFont="1" applyFill="1" applyBorder="1" applyAlignment="1">
      <alignment horizontal="center" vertical="center" wrapText="1" readingOrder="1"/>
    </xf>
    <xf numFmtId="167" fontId="18" fillId="20" borderId="4" xfId="0" applyNumberFormat="1" applyFont="1" applyFill="1" applyBorder="1" applyAlignment="1">
      <alignment horizontal="center" vertical="center" wrapText="1" readingOrder="1"/>
    </xf>
    <xf numFmtId="0" fontId="18" fillId="20" borderId="5" xfId="0" applyFont="1" applyFill="1" applyBorder="1" applyAlignment="1">
      <alignment horizontal="center" vertical="center" wrapText="1" readingOrder="1"/>
    </xf>
    <xf numFmtId="0" fontId="18" fillId="20" borderId="20" xfId="0" applyFont="1" applyFill="1" applyBorder="1" applyAlignment="1">
      <alignment horizontal="center" vertical="center" wrapText="1" readingOrder="1"/>
    </xf>
    <xf numFmtId="0" fontId="18" fillId="20" borderId="4" xfId="0" applyFont="1" applyFill="1" applyBorder="1" applyAlignment="1">
      <alignment horizontal="center" vertical="center" wrapText="1" readingOrder="1"/>
    </xf>
    <xf numFmtId="10" fontId="18" fillId="20" borderId="4" xfId="1" applyNumberFormat="1" applyFont="1" applyFill="1" applyBorder="1" applyAlignment="1">
      <alignment horizontal="center" vertical="center" wrapText="1" readingOrder="1"/>
    </xf>
    <xf numFmtId="10" fontId="18" fillId="20" borderId="5" xfId="1" applyNumberFormat="1" applyFont="1" applyFill="1" applyBorder="1" applyAlignment="1">
      <alignment horizontal="center" vertical="center" wrapText="1" readingOrder="1"/>
    </xf>
    <xf numFmtId="10" fontId="18" fillId="20" borderId="20" xfId="1" applyNumberFormat="1" applyFont="1" applyFill="1" applyBorder="1" applyAlignment="1">
      <alignment horizontal="center" vertical="center" wrapText="1" readingOrder="1"/>
    </xf>
    <xf numFmtId="0" fontId="18" fillId="15" borderId="29" xfId="0" applyFont="1" applyFill="1" applyBorder="1" applyAlignment="1">
      <alignment horizontal="center" vertical="center" wrapText="1" readingOrder="1"/>
    </xf>
    <xf numFmtId="0" fontId="18" fillId="15" borderId="41" xfId="0" applyFont="1" applyFill="1" applyBorder="1" applyAlignment="1">
      <alignment horizontal="center" vertical="center" wrapText="1" readingOrder="1"/>
    </xf>
    <xf numFmtId="167" fontId="18" fillId="15" borderId="29" xfId="0" applyNumberFormat="1" applyFont="1" applyFill="1" applyBorder="1" applyAlignment="1">
      <alignment horizontal="center" vertical="center" wrapText="1" readingOrder="1"/>
    </xf>
    <xf numFmtId="167" fontId="18" fillId="15" borderId="41" xfId="0" applyNumberFormat="1" applyFont="1" applyFill="1" applyBorder="1" applyAlignment="1">
      <alignment horizontal="center" vertical="center" wrapText="1" readingOrder="1"/>
    </xf>
    <xf numFmtId="167" fontId="18" fillId="16" borderId="87" xfId="0" applyNumberFormat="1" applyFont="1" applyFill="1" applyBorder="1" applyAlignment="1">
      <alignment horizontal="center" vertical="center" wrapText="1" readingOrder="1"/>
    </xf>
    <xf numFmtId="167" fontId="18" fillId="16" borderId="41" xfId="0" applyNumberFormat="1" applyFont="1" applyFill="1" applyBorder="1" applyAlignment="1">
      <alignment horizontal="center" vertical="center" wrapText="1" readingOrder="1"/>
    </xf>
    <xf numFmtId="167" fontId="18" fillId="16" borderId="93" xfId="0" applyNumberFormat="1" applyFont="1" applyFill="1" applyBorder="1" applyAlignment="1">
      <alignment horizontal="center" vertical="center" wrapText="1" readingOrder="1"/>
    </xf>
    <xf numFmtId="0" fontId="16" fillId="12" borderId="47" xfId="0" applyFont="1" applyFill="1" applyBorder="1" applyAlignment="1">
      <alignment horizontal="center" vertical="center" wrapText="1" readingOrder="1"/>
    </xf>
    <xf numFmtId="0" fontId="16" fillId="12" borderId="44" xfId="0" applyFont="1" applyFill="1" applyBorder="1" applyAlignment="1">
      <alignment horizontal="center" vertical="center" wrapText="1" readingOrder="1"/>
    </xf>
    <xf numFmtId="0" fontId="16" fillId="12" borderId="89" xfId="0" applyFont="1" applyFill="1" applyBorder="1" applyAlignment="1">
      <alignment horizontal="center" vertical="center" wrapText="1" readingOrder="1"/>
    </xf>
    <xf numFmtId="0" fontId="17" fillId="10" borderId="95" xfId="0" applyFont="1" applyFill="1" applyBorder="1" applyAlignment="1">
      <alignment horizontal="center" vertical="center" wrapText="1" readingOrder="1"/>
    </xf>
    <xf numFmtId="0" fontId="17" fillId="10" borderId="26" xfId="0" applyFont="1" applyFill="1" applyBorder="1" applyAlignment="1">
      <alignment horizontal="center" vertical="center" wrapText="1" readingOrder="1"/>
    </xf>
    <xf numFmtId="0" fontId="17" fillId="10" borderId="32" xfId="0" applyFont="1" applyFill="1" applyBorder="1" applyAlignment="1">
      <alignment horizontal="center" vertical="center" wrapText="1" readingOrder="1"/>
    </xf>
    <xf numFmtId="0" fontId="17" fillId="10" borderId="71" xfId="0" applyFont="1" applyFill="1" applyBorder="1" applyAlignment="1">
      <alignment horizontal="center" vertical="center" wrapText="1" readingOrder="1"/>
    </xf>
    <xf numFmtId="10" fontId="18" fillId="5" borderId="29" xfId="1" applyNumberFormat="1" applyFont="1" applyFill="1" applyBorder="1" applyAlignment="1">
      <alignment horizontal="center" vertical="center" wrapText="1" readingOrder="1"/>
    </xf>
    <xf numFmtId="10" fontId="18" fillId="5" borderId="41" xfId="1" applyNumberFormat="1" applyFont="1" applyFill="1" applyBorder="1" applyAlignment="1">
      <alignment horizontal="center" vertical="center" wrapText="1" readingOrder="1"/>
    </xf>
    <xf numFmtId="10" fontId="18" fillId="5" borderId="35" xfId="1" applyNumberFormat="1" applyFont="1" applyFill="1" applyBorder="1" applyAlignment="1">
      <alignment horizontal="center" vertical="center" wrapText="1" readingOrder="1"/>
    </xf>
    <xf numFmtId="0" fontId="22" fillId="6" borderId="32" xfId="0" applyFont="1" applyFill="1" applyBorder="1" applyAlignment="1">
      <alignment horizontal="center" vertical="center" wrapText="1" readingOrder="1"/>
    </xf>
    <xf numFmtId="0" fontId="22" fillId="6" borderId="24" xfId="0" applyFont="1" applyFill="1" applyBorder="1" applyAlignment="1">
      <alignment horizontal="center" vertical="center" wrapText="1" readingOrder="1"/>
    </xf>
    <xf numFmtId="0" fontId="22" fillId="6" borderId="71" xfId="0" applyFont="1" applyFill="1" applyBorder="1" applyAlignment="1">
      <alignment horizontal="center" vertical="center" wrapText="1" readingOrder="1"/>
    </xf>
    <xf numFmtId="0" fontId="22" fillId="6" borderId="97" xfId="0" applyFont="1" applyFill="1" applyBorder="1" applyAlignment="1">
      <alignment horizontal="center" vertical="center" wrapText="1" readingOrder="1"/>
    </xf>
    <xf numFmtId="0" fontId="20" fillId="8" borderId="22" xfId="0" applyFont="1" applyFill="1" applyBorder="1" applyAlignment="1">
      <alignment horizontal="center" vertical="center" wrapText="1" readingOrder="1"/>
    </xf>
    <xf numFmtId="0" fontId="17" fillId="13" borderId="8" xfId="0" applyFont="1" applyFill="1" applyBorder="1" applyAlignment="1">
      <alignment horizontal="center" vertical="center" wrapText="1" readingOrder="1"/>
    </xf>
    <xf numFmtId="0" fontId="17" fillId="5" borderId="26" xfId="0" applyFont="1" applyFill="1" applyBorder="1" applyAlignment="1">
      <alignment horizontal="center" vertical="center" wrapText="1" readingOrder="1"/>
    </xf>
    <xf numFmtId="0" fontId="21" fillId="8" borderId="72" xfId="0" applyFont="1" applyFill="1" applyBorder="1" applyAlignment="1">
      <alignment horizontal="center" vertical="center" wrapText="1" readingOrder="1"/>
    </xf>
    <xf numFmtId="0" fontId="21" fillId="8" borderId="92" xfId="0" applyFont="1" applyFill="1" applyBorder="1" applyAlignment="1">
      <alignment horizontal="center" vertical="center" wrapText="1" readingOrder="1"/>
    </xf>
    <xf numFmtId="0" fontId="18" fillId="5" borderId="4" xfId="0" applyFont="1" applyFill="1" applyBorder="1" applyAlignment="1">
      <alignment horizontal="center" vertical="center" wrapText="1" readingOrder="1"/>
    </xf>
    <xf numFmtId="0" fontId="18" fillId="10" borderId="86" xfId="0" applyFont="1" applyFill="1" applyBorder="1" applyAlignment="1">
      <alignment horizontal="center" vertical="center" wrapText="1" readingOrder="1"/>
    </xf>
    <xf numFmtId="0" fontId="18" fillId="5" borderId="20" xfId="0" applyFont="1" applyFill="1" applyBorder="1" applyAlignment="1">
      <alignment horizontal="center" vertical="center" wrapText="1" readingOrder="1"/>
    </xf>
    <xf numFmtId="10" fontId="21" fillId="8" borderId="72" xfId="1" applyNumberFormat="1" applyFont="1" applyFill="1" applyBorder="1" applyAlignment="1">
      <alignment horizontal="center" vertical="center" wrapText="1" readingOrder="1"/>
    </xf>
    <xf numFmtId="10" fontId="21" fillId="8" borderId="119" xfId="1" applyNumberFormat="1" applyFont="1" applyFill="1" applyBorder="1" applyAlignment="1">
      <alignment horizontal="center" vertical="center" wrapText="1" readingOrder="1"/>
    </xf>
    <xf numFmtId="10" fontId="18" fillId="5" borderId="20" xfId="1" applyNumberFormat="1" applyFont="1" applyFill="1" applyBorder="1" applyAlignment="1">
      <alignment horizontal="center" vertical="center" wrapText="1" readingOrder="1"/>
    </xf>
    <xf numFmtId="0" fontId="21" fillId="8" borderId="41" xfId="0" applyFont="1" applyFill="1" applyBorder="1" applyAlignment="1">
      <alignment horizontal="center" vertical="center" wrapText="1" readingOrder="1"/>
    </xf>
    <xf numFmtId="0" fontId="21" fillId="8" borderId="93" xfId="0" applyFont="1" applyFill="1" applyBorder="1" applyAlignment="1">
      <alignment horizontal="center" vertical="center" wrapText="1" readingOrder="1"/>
    </xf>
    <xf numFmtId="0" fontId="17" fillId="8" borderId="70" xfId="0" applyFont="1" applyFill="1" applyBorder="1" applyAlignment="1">
      <alignment horizontal="center" vertical="center" wrapText="1" readingOrder="1"/>
    </xf>
    <xf numFmtId="0" fontId="17" fillId="8" borderId="71" xfId="0" applyFont="1" applyFill="1" applyBorder="1" applyAlignment="1">
      <alignment horizontal="center" vertical="center" wrapText="1" readingOrder="1"/>
    </xf>
    <xf numFmtId="167" fontId="31" fillId="18" borderId="110" xfId="0" applyNumberFormat="1" applyFont="1" applyFill="1" applyBorder="1" applyAlignment="1">
      <alignment horizontal="center" vertical="center" wrapText="1" readingOrder="1"/>
    </xf>
    <xf numFmtId="167" fontId="31" fillId="18" borderId="111" xfId="0" applyNumberFormat="1" applyFont="1" applyFill="1" applyBorder="1" applyAlignment="1">
      <alignment horizontal="center" vertical="center" wrapText="1" readingOrder="1"/>
    </xf>
    <xf numFmtId="167" fontId="31" fillId="18" borderId="112" xfId="0" applyNumberFormat="1" applyFont="1" applyFill="1" applyBorder="1" applyAlignment="1">
      <alignment horizontal="center" vertical="center" wrapText="1" readingOrder="1"/>
    </xf>
    <xf numFmtId="167" fontId="18" fillId="8" borderId="66" xfId="0" applyNumberFormat="1" applyFont="1" applyFill="1" applyBorder="1" applyAlignment="1">
      <alignment horizontal="center" vertical="center" wrapText="1" readingOrder="1"/>
    </xf>
    <xf numFmtId="167" fontId="18" fillId="8" borderId="72" xfId="0" applyNumberFormat="1" applyFont="1" applyFill="1" applyBorder="1" applyAlignment="1">
      <alignment horizontal="center" vertical="center" wrapText="1" readingOrder="1"/>
    </xf>
    <xf numFmtId="167" fontId="21" fillId="8" borderId="14" xfId="0" applyNumberFormat="1" applyFont="1" applyFill="1" applyBorder="1" applyAlignment="1">
      <alignment horizontal="center" vertical="center" wrapText="1" readingOrder="1"/>
    </xf>
    <xf numFmtId="167" fontId="21" fillId="8" borderId="5" xfId="0" applyNumberFormat="1" applyFont="1" applyFill="1" applyBorder="1" applyAlignment="1">
      <alignment horizontal="center" vertical="center" wrapText="1" readingOrder="1"/>
    </xf>
    <xf numFmtId="167" fontId="21" fillId="8" borderId="20" xfId="0" applyNumberFormat="1" applyFont="1" applyFill="1" applyBorder="1" applyAlignment="1">
      <alignment horizontal="center" vertical="center" wrapText="1" readingOrder="1"/>
    </xf>
    <xf numFmtId="0" fontId="18" fillId="8" borderId="118" xfId="0" applyFont="1" applyFill="1" applyBorder="1" applyAlignment="1">
      <alignment horizontal="center" vertical="center" wrapText="1" readingOrder="1"/>
    </xf>
    <xf numFmtId="0" fontId="18" fillId="8" borderId="41" xfId="0" applyFont="1" applyFill="1" applyBorder="1" applyAlignment="1">
      <alignment horizontal="center" vertical="center" wrapText="1" readingOrder="1"/>
    </xf>
    <xf numFmtId="0" fontId="18" fillId="8" borderId="35" xfId="0" applyFont="1" applyFill="1" applyBorder="1" applyAlignment="1">
      <alignment horizontal="center" vertical="center" wrapText="1" readingOrder="1"/>
    </xf>
    <xf numFmtId="9" fontId="18" fillId="8" borderId="66" xfId="1" applyFont="1" applyFill="1" applyBorder="1" applyAlignment="1">
      <alignment horizontal="center" vertical="center" wrapText="1" readingOrder="1"/>
    </xf>
    <xf numFmtId="9" fontId="18" fillId="8" borderId="5" xfId="1" applyFont="1" applyFill="1" applyBorder="1" applyAlignment="1">
      <alignment horizontal="center" vertical="center" wrapText="1" readingOrder="1"/>
    </xf>
    <xf numFmtId="9" fontId="18" fillId="8" borderId="72" xfId="1" applyFont="1" applyFill="1" applyBorder="1" applyAlignment="1">
      <alignment horizontal="center" vertical="center" wrapText="1" readingOrder="1"/>
    </xf>
    <xf numFmtId="10" fontId="21" fillId="8" borderId="14" xfId="1" applyNumberFormat="1" applyFont="1" applyFill="1" applyBorder="1" applyAlignment="1">
      <alignment horizontal="center" vertical="center" wrapText="1" readingOrder="1"/>
    </xf>
    <xf numFmtId="0" fontId="21" fillId="8" borderId="14" xfId="0" applyFont="1" applyFill="1" applyBorder="1" applyAlignment="1">
      <alignment horizontal="center" vertical="center" wrapText="1" readingOrder="1"/>
    </xf>
    <xf numFmtId="0" fontId="21" fillId="8" borderId="35" xfId="0" applyFont="1" applyFill="1" applyBorder="1" applyAlignment="1">
      <alignment horizontal="center" vertical="center" wrapText="1" readingOrder="1"/>
    </xf>
    <xf numFmtId="0" fontId="21" fillId="8" borderId="29" xfId="0" applyFont="1" applyFill="1" applyBorder="1" applyAlignment="1">
      <alignment horizontal="center" vertical="center" wrapText="1" readingOrder="1"/>
    </xf>
    <xf numFmtId="0" fontId="11" fillId="18" borderId="110" xfId="0" applyFont="1" applyFill="1" applyBorder="1" applyAlignment="1">
      <alignment horizontal="center"/>
    </xf>
    <xf numFmtId="0" fontId="11" fillId="18" borderId="112" xfId="0" applyFont="1" applyFill="1" applyBorder="1" applyAlignment="1">
      <alignment horizontal="center"/>
    </xf>
    <xf numFmtId="167" fontId="21" fillId="8" borderId="4" xfId="0" applyNumberFormat="1" applyFont="1" applyFill="1" applyBorder="1" applyAlignment="1">
      <alignment horizontal="center" vertical="center" wrapText="1" readingOrder="1"/>
    </xf>
    <xf numFmtId="0" fontId="18" fillId="5" borderId="87" xfId="0" applyFont="1" applyFill="1" applyBorder="1" applyAlignment="1">
      <alignment horizontal="center" vertical="center" wrapText="1" readingOrder="1"/>
    </xf>
    <xf numFmtId="0" fontId="18" fillId="5" borderId="93" xfId="0" applyFont="1" applyFill="1" applyBorder="1" applyAlignment="1">
      <alignment horizontal="center" vertical="center" wrapText="1" readingOrder="1"/>
    </xf>
    <xf numFmtId="0" fontId="18" fillId="20" borderId="87" xfId="0" applyFont="1" applyFill="1" applyBorder="1" applyAlignment="1">
      <alignment horizontal="center" vertical="center" wrapText="1" readingOrder="1"/>
    </xf>
    <xf numFmtId="0" fontId="18" fillId="20" borderId="41" xfId="0" applyFont="1" applyFill="1" applyBorder="1" applyAlignment="1">
      <alignment horizontal="center" vertical="center" wrapText="1" readingOrder="1"/>
    </xf>
    <xf numFmtId="0" fontId="18" fillId="20" borderId="35" xfId="0" applyFont="1" applyFill="1" applyBorder="1" applyAlignment="1">
      <alignment horizontal="center" vertical="center" wrapText="1" readingOrder="1"/>
    </xf>
    <xf numFmtId="0" fontId="18" fillId="10" borderId="87" xfId="0" applyFont="1" applyFill="1" applyBorder="1" applyAlignment="1">
      <alignment horizontal="center" vertical="center" wrapText="1" readingOrder="1"/>
    </xf>
    <xf numFmtId="0" fontId="18" fillId="10" borderId="41" xfId="0" applyFont="1" applyFill="1" applyBorder="1" applyAlignment="1">
      <alignment horizontal="center" vertical="center" wrapText="1" readingOrder="1"/>
    </xf>
    <xf numFmtId="0" fontId="18" fillId="10" borderId="35" xfId="0" applyFont="1" applyFill="1" applyBorder="1" applyAlignment="1">
      <alignment horizontal="center" vertical="center" wrapText="1" readingOrder="1"/>
    </xf>
    <xf numFmtId="0" fontId="18" fillId="10" borderId="29" xfId="0" applyFont="1" applyFill="1" applyBorder="1" applyAlignment="1">
      <alignment horizontal="center" vertical="center" wrapText="1" readingOrder="1"/>
    </xf>
    <xf numFmtId="0" fontId="18" fillId="10" borderId="93" xfId="0" applyFont="1" applyFill="1" applyBorder="1" applyAlignment="1">
      <alignment horizontal="center" vertical="center" wrapText="1" readingOrder="1"/>
    </xf>
    <xf numFmtId="0" fontId="18" fillId="15" borderId="87" xfId="0" applyFont="1" applyFill="1" applyBorder="1" applyAlignment="1">
      <alignment horizontal="center" vertical="center" wrapText="1" readingOrder="1"/>
    </xf>
    <xf numFmtId="0" fontId="18" fillId="15" borderId="35" xfId="0" applyFont="1" applyFill="1" applyBorder="1" applyAlignment="1">
      <alignment horizontal="center" vertical="center" wrapText="1" readingOrder="1"/>
    </xf>
    <xf numFmtId="0" fontId="18" fillId="15" borderId="93" xfId="0" applyFont="1" applyFill="1" applyBorder="1" applyAlignment="1">
      <alignment horizontal="center" vertical="center" wrapText="1" readingOrder="1"/>
    </xf>
    <xf numFmtId="0" fontId="28" fillId="14" borderId="29" xfId="0" applyFont="1" applyFill="1" applyBorder="1" applyAlignment="1">
      <alignment horizontal="left" vertical="top" wrapText="1"/>
    </xf>
    <xf numFmtId="0" fontId="28" fillId="14" borderId="41" xfId="0" applyFont="1" applyFill="1" applyBorder="1" applyAlignment="1">
      <alignment horizontal="left" vertical="top" wrapText="1"/>
    </xf>
    <xf numFmtId="0" fontId="28" fillId="14" borderId="35" xfId="0" applyFont="1" applyFill="1" applyBorder="1" applyAlignment="1">
      <alignment horizontal="left" vertical="top" wrapText="1"/>
    </xf>
    <xf numFmtId="0" fontId="28" fillId="14" borderId="13" xfId="0" applyFont="1" applyFill="1" applyBorder="1" applyAlignment="1">
      <alignment horizontal="left" vertical="top" wrapText="1"/>
    </xf>
    <xf numFmtId="0" fontId="28" fillId="14" borderId="42" xfId="0" applyFont="1" applyFill="1" applyBorder="1" applyAlignment="1">
      <alignment horizontal="left" vertical="top" wrapText="1"/>
    </xf>
    <xf numFmtId="0" fontId="28" fillId="14" borderId="16" xfId="0" applyFont="1" applyFill="1" applyBorder="1" applyAlignment="1">
      <alignment horizontal="left" vertical="top" wrapText="1"/>
    </xf>
    <xf numFmtId="0" fontId="28" fillId="14" borderId="37" xfId="0" applyFont="1" applyFill="1" applyBorder="1" applyAlignment="1">
      <alignment horizontal="left" vertical="top" wrapText="1"/>
    </xf>
    <xf numFmtId="0" fontId="28" fillId="22" borderId="13" xfId="0" applyFont="1" applyFill="1" applyBorder="1" applyAlignment="1">
      <alignment horizontal="left" vertical="top" wrapText="1"/>
    </xf>
    <xf numFmtId="0" fontId="28" fillId="22" borderId="16" xfId="0" applyFont="1" applyFill="1" applyBorder="1" applyAlignment="1">
      <alignment horizontal="left" vertical="top" wrapText="1"/>
    </xf>
    <xf numFmtId="0" fontId="28" fillId="22" borderId="106" xfId="0" applyFont="1" applyFill="1" applyBorder="1" applyAlignment="1">
      <alignment horizontal="left" vertical="top" wrapText="1"/>
    </xf>
    <xf numFmtId="0" fontId="28" fillId="22" borderId="37" xfId="0" applyFont="1" applyFill="1" applyBorder="1" applyAlignment="1">
      <alignment horizontal="left" vertical="top" wrapText="1"/>
    </xf>
    <xf numFmtId="0" fontId="28" fillId="14" borderId="106" xfId="0" applyFont="1" applyFill="1" applyBorder="1" applyAlignment="1">
      <alignment horizontal="left" vertical="top" wrapText="1"/>
    </xf>
    <xf numFmtId="0" fontId="28" fillId="14" borderId="28" xfId="0" applyFont="1" applyFill="1" applyBorder="1" applyAlignment="1">
      <alignment horizontal="left" vertical="top" wrapText="1"/>
    </xf>
    <xf numFmtId="0" fontId="28" fillId="14" borderId="101" xfId="0" applyFont="1" applyFill="1" applyBorder="1" applyAlignment="1">
      <alignment horizontal="left" vertical="top" wrapText="1"/>
    </xf>
    <xf numFmtId="0" fontId="28" fillId="14" borderId="34" xfId="0" applyFont="1" applyFill="1" applyBorder="1" applyAlignment="1">
      <alignment horizontal="left" vertical="top" wrapText="1"/>
    </xf>
    <xf numFmtId="0" fontId="27" fillId="7" borderId="102" xfId="0" applyFont="1" applyFill="1" applyBorder="1" applyAlignment="1">
      <alignment horizontal="left" vertical="center"/>
    </xf>
    <xf numFmtId="0" fontId="27" fillId="7" borderId="11" xfId="0" applyFont="1" applyFill="1" applyBorder="1" applyAlignment="1">
      <alignment horizontal="left" vertical="center"/>
    </xf>
    <xf numFmtId="0" fontId="27" fillId="7" borderId="104" xfId="0" applyFont="1" applyFill="1" applyBorder="1" applyAlignment="1">
      <alignment horizontal="left" vertical="center"/>
    </xf>
    <xf numFmtId="0" fontId="27" fillId="7" borderId="103" xfId="0" applyFont="1" applyFill="1" applyBorder="1" applyAlignment="1">
      <alignment horizontal="left" vertical="center"/>
    </xf>
    <xf numFmtId="0" fontId="27" fillId="7" borderId="12" xfId="0" applyFont="1" applyFill="1" applyBorder="1" applyAlignment="1">
      <alignment horizontal="left" vertical="center"/>
    </xf>
    <xf numFmtId="0" fontId="27" fillId="7" borderId="105" xfId="0" applyFont="1" applyFill="1" applyBorder="1" applyAlignment="1">
      <alignment horizontal="left" vertical="center"/>
    </xf>
    <xf numFmtId="0" fontId="28" fillId="22" borderId="29" xfId="0" quotePrefix="1" applyFont="1" applyFill="1" applyBorder="1" applyAlignment="1">
      <alignment horizontal="left" vertical="top" wrapText="1"/>
    </xf>
    <xf numFmtId="0" fontId="28" fillId="22" borderId="41" xfId="0" quotePrefix="1" applyFont="1" applyFill="1" applyBorder="1" applyAlignment="1">
      <alignment horizontal="left" vertical="top" wrapText="1"/>
    </xf>
    <xf numFmtId="0" fontId="28" fillId="22" borderId="35" xfId="0" quotePrefix="1" applyFont="1" applyFill="1" applyBorder="1" applyAlignment="1">
      <alignment horizontal="left" vertical="top" wrapText="1"/>
    </xf>
    <xf numFmtId="0" fontId="28" fillId="22" borderId="29" xfId="0" applyFont="1" applyFill="1" applyBorder="1" applyAlignment="1">
      <alignment horizontal="left" vertical="top" wrapText="1"/>
    </xf>
    <xf numFmtId="0" fontId="28" fillId="22" borderId="41" xfId="0" applyFont="1" applyFill="1" applyBorder="1" applyAlignment="1">
      <alignment horizontal="left" vertical="top" wrapText="1"/>
    </xf>
    <xf numFmtId="0" fontId="28" fillId="22" borderId="35" xfId="0" applyFont="1" applyFill="1" applyBorder="1" applyAlignment="1">
      <alignment horizontal="left" vertical="top" wrapText="1"/>
    </xf>
    <xf numFmtId="0" fontId="28" fillId="0" borderId="28" xfId="0" applyFont="1" applyBorder="1" applyAlignment="1">
      <alignment vertical="top" wrapText="1"/>
    </xf>
    <xf numFmtId="0" fontId="28" fillId="0" borderId="101" xfId="0" applyFont="1" applyBorder="1" applyAlignment="1">
      <alignment vertical="top" wrapText="1"/>
    </xf>
    <xf numFmtId="0" fontId="28" fillId="0" borderId="34" xfId="0" applyFont="1" applyBorder="1" applyAlignment="1">
      <alignment vertical="top" wrapText="1"/>
    </xf>
    <xf numFmtId="0" fontId="28" fillId="0" borderId="29" xfId="0" applyFont="1" applyBorder="1" applyAlignment="1">
      <alignment vertical="top" wrapText="1"/>
    </xf>
    <xf numFmtId="0" fontId="28" fillId="0" borderId="41" xfId="0" applyFont="1" applyBorder="1" applyAlignment="1">
      <alignment vertical="top" wrapText="1"/>
    </xf>
    <xf numFmtId="0" fontId="28" fillId="0" borderId="35" xfId="0" applyFont="1" applyBorder="1" applyAlignment="1">
      <alignment vertical="top" wrapText="1"/>
    </xf>
    <xf numFmtId="0" fontId="28" fillId="23" borderId="29" xfId="0" applyFont="1" applyFill="1" applyBorder="1" applyAlignment="1">
      <alignment horizontal="left" vertical="top" wrapText="1"/>
    </xf>
    <xf numFmtId="0" fontId="28" fillId="23" borderId="41" xfId="0" applyFont="1" applyFill="1" applyBorder="1" applyAlignment="1">
      <alignment horizontal="left" vertical="top" wrapText="1"/>
    </xf>
    <xf numFmtId="0" fontId="28" fillId="0" borderId="28" xfId="0" applyFont="1" applyBorder="1" applyAlignment="1">
      <alignment horizontal="left" vertical="top" wrapText="1"/>
    </xf>
    <xf numFmtId="0" fontId="28" fillId="0" borderId="101" xfId="0" applyFont="1" applyBorder="1" applyAlignment="1">
      <alignment horizontal="left" vertical="top" wrapText="1"/>
    </xf>
    <xf numFmtId="0" fontId="28" fillId="0" borderId="34" xfId="0" applyFont="1" applyBorder="1" applyAlignment="1">
      <alignment horizontal="left" vertical="top" wrapText="1"/>
    </xf>
    <xf numFmtId="0" fontId="28" fillId="0" borderId="29" xfId="0" applyFont="1" applyBorder="1" applyAlignment="1">
      <alignment horizontal="left" vertical="top" wrapText="1"/>
    </xf>
    <xf numFmtId="0" fontId="28" fillId="0" borderId="41" xfId="0" applyFont="1" applyBorder="1" applyAlignment="1">
      <alignment horizontal="left" vertical="top" wrapText="1"/>
    </xf>
    <xf numFmtId="0" fontId="28" fillId="0" borderId="35" xfId="0" applyFont="1" applyBorder="1" applyAlignment="1">
      <alignment horizontal="left" vertical="top" wrapText="1"/>
    </xf>
    <xf numFmtId="0" fontId="28" fillId="0" borderId="39" xfId="0" applyFont="1" applyBorder="1" applyAlignment="1">
      <alignment vertical="top" wrapText="1"/>
    </xf>
    <xf numFmtId="0" fontId="28" fillId="0" borderId="3" xfId="0" applyFont="1" applyBorder="1" applyAlignment="1">
      <alignment vertical="top" wrapText="1"/>
    </xf>
    <xf numFmtId="0" fontId="28" fillId="23" borderId="39" xfId="0" applyFont="1" applyFill="1" applyBorder="1" applyAlignment="1">
      <alignment vertical="top" wrapText="1"/>
    </xf>
    <xf numFmtId="0" fontId="28" fillId="23" borderId="3" xfId="0" applyFont="1" applyFill="1" applyBorder="1" applyAlignment="1">
      <alignment vertical="top" wrapText="1"/>
    </xf>
    <xf numFmtId="0" fontId="28" fillId="23" borderId="40" xfId="0" applyFont="1" applyFill="1" applyBorder="1" applyAlignment="1">
      <alignment vertical="top" wrapText="1"/>
    </xf>
    <xf numFmtId="0" fontId="28" fillId="23" borderId="28" xfId="0" applyFont="1" applyFill="1" applyBorder="1" applyAlignment="1">
      <alignment vertical="top" wrapText="1"/>
    </xf>
    <xf numFmtId="0" fontId="28" fillId="23" borderId="101" xfId="0" applyFont="1" applyFill="1" applyBorder="1" applyAlignment="1">
      <alignment vertical="top" wrapText="1"/>
    </xf>
    <xf numFmtId="0" fontId="28" fillId="23" borderId="34" xfId="0" applyFont="1" applyFill="1" applyBorder="1" applyAlignment="1">
      <alignment vertical="top" wrapText="1"/>
    </xf>
    <xf numFmtId="0" fontId="28" fillId="23" borderId="28" xfId="0" applyFont="1" applyFill="1" applyBorder="1" applyAlignment="1">
      <alignment horizontal="left" vertical="top" wrapText="1"/>
    </xf>
    <xf numFmtId="0" fontId="28" fillId="23" borderId="101" xfId="0" applyFont="1" applyFill="1" applyBorder="1" applyAlignment="1">
      <alignment horizontal="left" vertical="top" wrapText="1"/>
    </xf>
    <xf numFmtId="0" fontId="28" fillId="23" borderId="34" xfId="0" applyFont="1" applyFill="1" applyBorder="1" applyAlignment="1">
      <alignment horizontal="left" vertical="top" wrapText="1"/>
    </xf>
    <xf numFmtId="0" fontId="28" fillId="23" borderId="35" xfId="0" applyFont="1" applyFill="1" applyBorder="1" applyAlignment="1">
      <alignment horizontal="left" vertical="top" wrapText="1"/>
    </xf>
    <xf numFmtId="0" fontId="28" fillId="23" borderId="11" xfId="0" applyFont="1" applyFill="1" applyBorder="1" applyAlignment="1">
      <alignment horizontal="left" vertical="top" wrapText="1"/>
    </xf>
    <xf numFmtId="0" fontId="28" fillId="23" borderId="0" xfId="0" applyFont="1" applyFill="1" applyAlignment="1">
      <alignment horizontal="left" vertical="top" wrapText="1"/>
    </xf>
    <xf numFmtId="0" fontId="28" fillId="23" borderId="12" xfId="0" applyFont="1" applyFill="1" applyBorder="1" applyAlignment="1">
      <alignment horizontal="left" vertical="top" wrapText="1"/>
    </xf>
    <xf numFmtId="0" fontId="27" fillId="7" borderId="39" xfId="0" applyFont="1" applyFill="1" applyBorder="1" applyAlignment="1">
      <alignment horizontal="left" vertical="center"/>
    </xf>
    <xf numFmtId="0" fontId="27" fillId="7" borderId="40" xfId="0" applyFont="1" applyFill="1" applyBorder="1" applyAlignment="1">
      <alignment horizontal="left" vertical="center"/>
    </xf>
    <xf numFmtId="0" fontId="28" fillId="22" borderId="28" xfId="0" applyFont="1" applyFill="1" applyBorder="1" applyAlignment="1">
      <alignment horizontal="left" vertical="top" wrapText="1"/>
    </xf>
    <xf numFmtId="0" fontId="28" fillId="22" borderId="101" xfId="0" applyFont="1" applyFill="1" applyBorder="1" applyAlignment="1">
      <alignment horizontal="left" vertical="top" wrapText="1"/>
    </xf>
    <xf numFmtId="0" fontId="28" fillId="22" borderId="34" xfId="0" applyFont="1" applyFill="1" applyBorder="1" applyAlignment="1">
      <alignment horizontal="left" vertical="top" wrapText="1"/>
    </xf>
    <xf numFmtId="0" fontId="28" fillId="0" borderId="39" xfId="0" applyFont="1" applyBorder="1" applyAlignment="1">
      <alignment horizontal="left" vertical="top" wrapText="1"/>
    </xf>
    <xf numFmtId="0" fontId="28" fillId="0" borderId="3" xfId="0" applyFont="1" applyBorder="1" applyAlignment="1">
      <alignment horizontal="left" vertical="top" wrapText="1"/>
    </xf>
    <xf numFmtId="0" fontId="28" fillId="0" borderId="40" xfId="0" applyFont="1" applyBorder="1" applyAlignment="1">
      <alignment horizontal="left" vertical="top" wrapText="1"/>
    </xf>
    <xf numFmtId="0" fontId="28" fillId="14" borderId="39" xfId="0" applyFont="1" applyFill="1" applyBorder="1" applyAlignment="1">
      <alignment horizontal="left" vertical="top" wrapText="1"/>
    </xf>
    <xf numFmtId="0" fontId="28" fillId="14" borderId="3" xfId="0" applyFont="1" applyFill="1" applyBorder="1" applyAlignment="1">
      <alignment horizontal="left" vertical="top" wrapText="1"/>
    </xf>
    <xf numFmtId="0" fontId="28" fillId="14" borderId="40" xfId="0" applyFont="1" applyFill="1" applyBorder="1" applyAlignment="1">
      <alignment horizontal="left" vertical="top" wrapText="1"/>
    </xf>
    <xf numFmtId="0" fontId="28" fillId="0" borderId="11" xfId="0" applyFont="1" applyBorder="1" applyAlignment="1">
      <alignment horizontal="left" vertical="top" wrapText="1"/>
    </xf>
    <xf numFmtId="0" fontId="28" fillId="0" borderId="0" xfId="0" applyFont="1" applyAlignment="1">
      <alignment horizontal="left" vertical="top" wrapText="1"/>
    </xf>
    <xf numFmtId="0" fontId="28" fillId="0" borderId="12" xfId="0" applyFont="1" applyBorder="1" applyAlignment="1">
      <alignment horizontal="left" vertical="top" wrapText="1"/>
    </xf>
    <xf numFmtId="0" fontId="28" fillId="22" borderId="39" xfId="0" applyFont="1" applyFill="1" applyBorder="1" applyAlignment="1">
      <alignment horizontal="left" vertical="top" wrapText="1"/>
    </xf>
    <xf numFmtId="0" fontId="28" fillId="22" borderId="3" xfId="0" applyFont="1" applyFill="1" applyBorder="1" applyAlignment="1">
      <alignment horizontal="left" vertical="top" wrapText="1"/>
    </xf>
    <xf numFmtId="0" fontId="28" fillId="22" borderId="40" xfId="0" applyFont="1" applyFill="1" applyBorder="1" applyAlignment="1">
      <alignment horizontal="left" vertical="top" wrapText="1"/>
    </xf>
    <xf numFmtId="0" fontId="28" fillId="23" borderId="39" xfId="0" applyFont="1" applyFill="1" applyBorder="1" applyAlignment="1">
      <alignment horizontal="left" vertical="top" wrapText="1"/>
    </xf>
    <xf numFmtId="0" fontId="28" fillId="23" borderId="3" xfId="0" applyFont="1" applyFill="1" applyBorder="1" applyAlignment="1">
      <alignment horizontal="left" vertical="top" wrapText="1"/>
    </xf>
    <xf numFmtId="0" fontId="28" fillId="23" borderId="40" xfId="0" applyFont="1" applyFill="1" applyBorder="1" applyAlignment="1">
      <alignment horizontal="left" vertical="top" wrapText="1"/>
    </xf>
    <xf numFmtId="0" fontId="28" fillId="17" borderId="28" xfId="0" applyFont="1" applyFill="1" applyBorder="1" applyAlignment="1">
      <alignment horizontal="left" vertical="top" wrapText="1"/>
    </xf>
    <xf numFmtId="0" fontId="28" fillId="17" borderId="101" xfId="0" applyFont="1" applyFill="1" applyBorder="1" applyAlignment="1">
      <alignment horizontal="left" vertical="top" wrapText="1"/>
    </xf>
    <xf numFmtId="0" fontId="28" fillId="17" borderId="34" xfId="0" applyFont="1" applyFill="1" applyBorder="1" applyAlignment="1">
      <alignment horizontal="left" vertical="top" wrapText="1"/>
    </xf>
    <xf numFmtId="0" fontId="28" fillId="17" borderId="39" xfId="0" applyFont="1" applyFill="1" applyBorder="1" applyAlignment="1">
      <alignment horizontal="left" vertical="top" wrapText="1"/>
    </xf>
    <xf numFmtId="0" fontId="28" fillId="17" borderId="3" xfId="0" applyFont="1" applyFill="1" applyBorder="1" applyAlignment="1">
      <alignment horizontal="left" vertical="top" wrapText="1"/>
    </xf>
    <xf numFmtId="0" fontId="28" fillId="17" borderId="40" xfId="0" applyFont="1" applyFill="1" applyBorder="1" applyAlignment="1">
      <alignment horizontal="left" vertical="top" wrapText="1"/>
    </xf>
    <xf numFmtId="0" fontId="28" fillId="14" borderId="11" xfId="0" applyFont="1" applyFill="1" applyBorder="1" applyAlignment="1">
      <alignment horizontal="left" vertical="top" wrapText="1"/>
    </xf>
    <xf numFmtId="0" fontId="28" fillId="14" borderId="0" xfId="0" applyFont="1" applyFill="1" applyAlignment="1">
      <alignment horizontal="left" vertical="top" wrapText="1"/>
    </xf>
    <xf numFmtId="0" fontId="28" fillId="14" borderId="12" xfId="0" applyFont="1" applyFill="1" applyBorder="1" applyAlignment="1">
      <alignment horizontal="left" vertical="top" wrapText="1"/>
    </xf>
    <xf numFmtId="0" fontId="28" fillId="22" borderId="11" xfId="0" applyFont="1" applyFill="1" applyBorder="1" applyAlignment="1">
      <alignment horizontal="left" vertical="top" wrapText="1"/>
    </xf>
    <xf numFmtId="0" fontId="28" fillId="22" borderId="0" xfId="0" applyFont="1" applyFill="1" applyAlignment="1">
      <alignment horizontal="left" vertical="top" wrapText="1"/>
    </xf>
    <xf numFmtId="0" fontId="28" fillId="22" borderId="12" xfId="0" applyFont="1" applyFill="1" applyBorder="1" applyAlignment="1">
      <alignment horizontal="left" vertical="top" wrapText="1"/>
    </xf>
    <xf numFmtId="0" fontId="28" fillId="14" borderId="29" xfId="0" applyFont="1" applyFill="1" applyBorder="1" applyAlignment="1">
      <alignment horizontal="center" vertical="top" wrapText="1"/>
    </xf>
    <xf numFmtId="0" fontId="28" fillId="14" borderId="41" xfId="0" applyFont="1" applyFill="1" applyBorder="1" applyAlignment="1">
      <alignment horizontal="center" vertical="top" wrapText="1"/>
    </xf>
    <xf numFmtId="0" fontId="28" fillId="14" borderId="35" xfId="0" applyFont="1" applyFill="1" applyBorder="1" applyAlignment="1">
      <alignment horizontal="center" vertical="top" wrapText="1"/>
    </xf>
    <xf numFmtId="0" fontId="28" fillId="0" borderId="29" xfId="0" applyFont="1" applyBorder="1" applyAlignment="1">
      <alignment horizontal="left" vertical="top" wrapText="1" readingOrder="1"/>
    </xf>
    <xf numFmtId="0" fontId="28" fillId="0" borderId="41" xfId="0" applyFont="1" applyBorder="1" applyAlignment="1">
      <alignment horizontal="left" vertical="top" wrapText="1" readingOrder="1"/>
    </xf>
    <xf numFmtId="0" fontId="28" fillId="0" borderId="35" xfId="0" applyFont="1" applyBorder="1" applyAlignment="1">
      <alignment horizontal="left" vertical="top" wrapText="1" readingOrder="1"/>
    </xf>
    <xf numFmtId="0" fontId="18" fillId="8" borderId="73" xfId="0" applyFont="1" applyFill="1" applyBorder="1" applyAlignment="1">
      <alignment horizontal="left" vertical="center" wrapText="1" readingOrder="1"/>
    </xf>
    <xf numFmtId="0" fontId="18" fillId="8" borderId="100" xfId="0" applyFont="1" applyFill="1" applyBorder="1" applyAlignment="1">
      <alignment horizontal="left" vertical="center" wrapText="1" readingOrder="1"/>
    </xf>
    <xf numFmtId="0" fontId="18" fillId="8" borderId="74" xfId="0" applyFont="1" applyFill="1" applyBorder="1" applyAlignment="1">
      <alignment horizontal="left" vertical="center" wrapText="1" readingOrder="1"/>
    </xf>
    <xf numFmtId="0" fontId="22" fillId="6" borderId="22" xfId="0" applyFont="1" applyFill="1" applyBorder="1" applyAlignment="1">
      <alignment horizontal="center" vertical="center" wrapText="1" readingOrder="1"/>
    </xf>
    <xf numFmtId="0" fontId="22" fillId="6" borderId="26" xfId="0" applyFont="1" applyFill="1" applyBorder="1" applyAlignment="1">
      <alignment horizontal="center" vertical="center" wrapText="1" readingOrder="1"/>
    </xf>
    <xf numFmtId="0" fontId="20" fillId="8" borderId="71" xfId="0" applyFont="1" applyFill="1" applyBorder="1" applyAlignment="1">
      <alignment horizontal="center" vertical="center" wrapText="1" readingOrder="1"/>
    </xf>
    <xf numFmtId="0" fontId="17" fillId="8" borderId="32" xfId="0" applyFont="1" applyFill="1" applyBorder="1" applyAlignment="1">
      <alignment horizontal="center" vertical="center" wrapText="1" readingOrder="1"/>
    </xf>
  </cellXfs>
  <cellStyles count="3">
    <cellStyle name="Comma" xfId="2" builtinId="3"/>
    <cellStyle name="Normal" xfId="0" builtinId="0"/>
    <cellStyle name="Percent" xfId="1" builtinId="5"/>
  </cellStyles>
  <dxfs count="7">
    <dxf>
      <fill>
        <patternFill>
          <bgColor theme="9" tint="0.39994506668294322"/>
        </patternFill>
      </fill>
    </dxf>
    <dxf>
      <fill>
        <patternFill>
          <bgColor theme="5" tint="0.39994506668294322"/>
        </patternFill>
      </fill>
    </dxf>
    <dxf>
      <fill>
        <patternFill>
          <bgColor theme="7" tint="0.39994506668294322"/>
        </patternFill>
      </fill>
    </dxf>
    <dxf>
      <fill>
        <patternFill>
          <bgColor theme="5" tint="0.39994506668294322"/>
        </patternFill>
      </fill>
    </dxf>
    <dxf>
      <fill>
        <patternFill>
          <bgColor theme="9" tint="0.39994506668294322"/>
        </patternFill>
      </fill>
    </dxf>
    <dxf>
      <fill>
        <patternFill>
          <bgColor theme="5" tint="0.39994506668294322"/>
        </patternFill>
      </fill>
    </dxf>
    <dxf>
      <fill>
        <patternFill>
          <bgColor theme="7" tint="0.39994506668294322"/>
        </patternFill>
      </fill>
    </dxf>
  </dxfs>
  <tableStyles count="0" defaultTableStyle="TableStyleMedium2" defaultPivotStyle="PivotStyleLight16"/>
  <colors>
    <mruColors>
      <color rgb="FFE1EBFF"/>
      <color rgb="FFDDBDF7"/>
      <color rgb="FFB9D0FF"/>
      <color rgb="FFFFF8E5"/>
      <color rgb="FFF2F8EE"/>
      <color rgb="FFFF00FF"/>
      <color rgb="FFEAF4E4"/>
      <color rgb="FFEFF6EA"/>
      <color rgb="FFFFF5D5"/>
      <color rgb="FFFFF9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'kWhm2 per year'!$D$36</c:f>
              <c:strCache>
                <c:ptCount val="1"/>
                <c:pt idx="0">
                  <c:v>Estimated Saving</c:v>
                </c:pt>
              </c:strCache>
            </c:strRef>
          </c:tx>
          <c:spPr>
            <a:solidFill>
              <a:schemeClr val="accent1"/>
            </a:solidFill>
            <a:ln>
              <a:noFill/>
            </a:ln>
            <a:effectLst/>
          </c:spPr>
          <c:invertIfNegative val="0"/>
          <c:val>
            <c:numRef>
              <c:f>'kWhm2 per year'!$D$37:$D$56</c:f>
              <c:numCache>
                <c:formatCode>_-"£"* #,##0_-;\-"£"* #,##0_-;_-"£"* "-"??_-;_-@_-</c:formatCode>
                <c:ptCount val="20"/>
                <c:pt idx="0">
                  <c:v>-59489.450704225339</c:v>
                </c:pt>
                <c:pt idx="1">
                  <c:v>-62463.923239436612</c:v>
                </c:pt>
                <c:pt idx="2">
                  <c:v>-65587.119401408447</c:v>
                </c:pt>
                <c:pt idx="3">
                  <c:v>-68866.475371478868</c:v>
                </c:pt>
                <c:pt idx="4">
                  <c:v>-72309.799140052812</c:v>
                </c:pt>
                <c:pt idx="5">
                  <c:v>-75925.289097055458</c:v>
                </c:pt>
                <c:pt idx="6">
                  <c:v>-79721.553551908233</c:v>
                </c:pt>
                <c:pt idx="7">
                  <c:v>-83707.631229503648</c:v>
                </c:pt>
                <c:pt idx="8">
                  <c:v>-87893.012790978828</c:v>
                </c:pt>
                <c:pt idx="9">
                  <c:v>-92287.663430527769</c:v>
                </c:pt>
                <c:pt idx="10">
                  <c:v>-96902.046602054164</c:v>
                </c:pt>
                <c:pt idx="11">
                  <c:v>-101747.14893215688</c:v>
                </c:pt>
                <c:pt idx="12">
                  <c:v>-106834.50637876472</c:v>
                </c:pt>
                <c:pt idx="13">
                  <c:v>-112176.23169770297</c:v>
                </c:pt>
                <c:pt idx="14">
                  <c:v>-117785.04328258813</c:v>
                </c:pt>
                <c:pt idx="15">
                  <c:v>-123674.29544671754</c:v>
                </c:pt>
                <c:pt idx="16">
                  <c:v>-129858.01021905342</c:v>
                </c:pt>
                <c:pt idx="17">
                  <c:v>-136350.91073000609</c:v>
                </c:pt>
                <c:pt idx="18">
                  <c:v>-143168.4562665064</c:v>
                </c:pt>
                <c:pt idx="19">
                  <c:v>-150326.87907983173</c:v>
                </c:pt>
              </c:numCache>
            </c:numRef>
          </c:val>
          <c:extLst>
            <c:ext xmlns:c16="http://schemas.microsoft.com/office/drawing/2014/chart" uri="{C3380CC4-5D6E-409C-BE32-E72D297353CC}">
              <c16:uniqueId val="{00000000-6B42-4E59-B174-BC5B7153E144}"/>
            </c:ext>
          </c:extLst>
        </c:ser>
        <c:dLbls>
          <c:showLegendKey val="0"/>
          <c:showVal val="0"/>
          <c:showCatName val="0"/>
          <c:showSerName val="0"/>
          <c:showPercent val="0"/>
          <c:showBubbleSize val="0"/>
        </c:dLbls>
        <c:gapWidth val="150"/>
        <c:axId val="1950164768"/>
        <c:axId val="1950186368"/>
      </c:barChart>
      <c:lineChart>
        <c:grouping val="standard"/>
        <c:varyColors val="0"/>
        <c:ser>
          <c:idx val="1"/>
          <c:order val="1"/>
          <c:tx>
            <c:strRef>
              <c:f>'kWhm2 per year'!$E$36</c:f>
              <c:strCache>
                <c:ptCount val="1"/>
                <c:pt idx="0">
                  <c:v>Cumulative</c:v>
                </c:pt>
              </c:strCache>
            </c:strRef>
          </c:tx>
          <c:spPr>
            <a:ln w="28575" cap="rnd">
              <a:solidFill>
                <a:schemeClr val="accent2"/>
              </a:solidFill>
              <a:round/>
            </a:ln>
            <a:effectLst/>
          </c:spPr>
          <c:marker>
            <c:symbol val="none"/>
          </c:marker>
          <c:val>
            <c:numRef>
              <c:f>'kWhm2 per year'!$E$37:$E$56</c:f>
              <c:numCache>
                <c:formatCode>_-"£"* #,##0_-;\-"£"* #,##0_-;_-"£"* "-"??_-;_-@_-</c:formatCode>
                <c:ptCount val="20"/>
                <c:pt idx="0">
                  <c:v>-59489.450704225339</c:v>
                </c:pt>
                <c:pt idx="1">
                  <c:v>-121953.37394366195</c:v>
                </c:pt>
                <c:pt idx="2">
                  <c:v>-187540.4933450704</c:v>
                </c:pt>
                <c:pt idx="3">
                  <c:v>-256406.96871654928</c:v>
                </c:pt>
                <c:pt idx="4">
                  <c:v>-328716.76785660209</c:v>
                </c:pt>
                <c:pt idx="5">
                  <c:v>-404642.05695365753</c:v>
                </c:pt>
                <c:pt idx="6">
                  <c:v>-484363.61050556577</c:v>
                </c:pt>
                <c:pt idx="7">
                  <c:v>-568071.24173506943</c:v>
                </c:pt>
                <c:pt idx="8">
                  <c:v>-655964.2545260482</c:v>
                </c:pt>
                <c:pt idx="9">
                  <c:v>-748251.91795657598</c:v>
                </c:pt>
                <c:pt idx="10">
                  <c:v>-845153.96455863013</c:v>
                </c:pt>
                <c:pt idx="11">
                  <c:v>-946901.11349078699</c:v>
                </c:pt>
                <c:pt idx="12">
                  <c:v>-1053735.6198695516</c:v>
                </c:pt>
                <c:pt idx="13">
                  <c:v>-1165911.8515672546</c:v>
                </c:pt>
                <c:pt idx="14">
                  <c:v>-1283696.8948498429</c:v>
                </c:pt>
                <c:pt idx="15">
                  <c:v>-1407371.1902965605</c:v>
                </c:pt>
                <c:pt idx="16">
                  <c:v>-1537229.2005156139</c:v>
                </c:pt>
                <c:pt idx="17">
                  <c:v>-1673580.1112456201</c:v>
                </c:pt>
                <c:pt idx="18">
                  <c:v>-1816748.5675121264</c:v>
                </c:pt>
                <c:pt idx="19">
                  <c:v>-1967075.4465919582</c:v>
                </c:pt>
              </c:numCache>
            </c:numRef>
          </c:val>
          <c:smooth val="0"/>
          <c:extLst>
            <c:ext xmlns:c16="http://schemas.microsoft.com/office/drawing/2014/chart" uri="{C3380CC4-5D6E-409C-BE32-E72D297353CC}">
              <c16:uniqueId val="{00000001-6B42-4E59-B174-BC5B7153E144}"/>
            </c:ext>
          </c:extLst>
        </c:ser>
        <c:ser>
          <c:idx val="2"/>
          <c:order val="2"/>
          <c:tx>
            <c:strRef>
              <c:f>'kWhm2 per year'!$F$36</c:f>
              <c:strCache>
                <c:ptCount val="1"/>
                <c:pt idx="0">
                  <c:v>Capital Cost</c:v>
                </c:pt>
              </c:strCache>
            </c:strRef>
          </c:tx>
          <c:spPr>
            <a:ln w="28575" cap="rnd">
              <a:solidFill>
                <a:schemeClr val="accent3"/>
              </a:solidFill>
              <a:round/>
            </a:ln>
            <a:effectLst/>
          </c:spPr>
          <c:marker>
            <c:symbol val="none"/>
          </c:marker>
          <c:val>
            <c:numRef>
              <c:f>'kWhm2 per year'!$F$37:$F$56</c:f>
              <c:numCache>
                <c:formatCode>_-"£"* #,##0_-;\-"£"* #,##0_-;_-"£"* "-"??_-;_-@_-</c:formatCode>
                <c:ptCount val="20"/>
                <c:pt idx="0">
                  <c:v>675000</c:v>
                </c:pt>
                <c:pt idx="1">
                  <c:v>675000</c:v>
                </c:pt>
                <c:pt idx="2">
                  <c:v>675000</c:v>
                </c:pt>
                <c:pt idx="3">
                  <c:v>675000</c:v>
                </c:pt>
                <c:pt idx="4">
                  <c:v>675000</c:v>
                </c:pt>
                <c:pt idx="5">
                  <c:v>675000</c:v>
                </c:pt>
                <c:pt idx="6">
                  <c:v>675000</c:v>
                </c:pt>
                <c:pt idx="7">
                  <c:v>675000</c:v>
                </c:pt>
                <c:pt idx="8">
                  <c:v>675000</c:v>
                </c:pt>
                <c:pt idx="9">
                  <c:v>675000</c:v>
                </c:pt>
                <c:pt idx="10">
                  <c:v>675000</c:v>
                </c:pt>
                <c:pt idx="11">
                  <c:v>675000</c:v>
                </c:pt>
                <c:pt idx="12">
                  <c:v>675000</c:v>
                </c:pt>
                <c:pt idx="13">
                  <c:v>675000</c:v>
                </c:pt>
                <c:pt idx="14">
                  <c:v>675000</c:v>
                </c:pt>
                <c:pt idx="15">
                  <c:v>675000</c:v>
                </c:pt>
                <c:pt idx="16">
                  <c:v>675000</c:v>
                </c:pt>
                <c:pt idx="17">
                  <c:v>675000</c:v>
                </c:pt>
                <c:pt idx="18">
                  <c:v>675000</c:v>
                </c:pt>
                <c:pt idx="19">
                  <c:v>675000</c:v>
                </c:pt>
              </c:numCache>
            </c:numRef>
          </c:val>
          <c:smooth val="0"/>
          <c:extLst>
            <c:ext xmlns:c16="http://schemas.microsoft.com/office/drawing/2014/chart" uri="{C3380CC4-5D6E-409C-BE32-E72D297353CC}">
              <c16:uniqueId val="{00000002-6B42-4E59-B174-BC5B7153E144}"/>
            </c:ext>
          </c:extLst>
        </c:ser>
        <c:dLbls>
          <c:showLegendKey val="0"/>
          <c:showVal val="0"/>
          <c:showCatName val="0"/>
          <c:showSerName val="0"/>
          <c:showPercent val="0"/>
          <c:showBubbleSize val="0"/>
        </c:dLbls>
        <c:marker val="1"/>
        <c:smooth val="0"/>
        <c:axId val="1950246368"/>
        <c:axId val="1950223328"/>
      </c:lineChart>
      <c:catAx>
        <c:axId val="1950164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186368"/>
        <c:crosses val="autoZero"/>
        <c:auto val="1"/>
        <c:lblAlgn val="ctr"/>
        <c:lblOffset val="100"/>
        <c:noMultiLvlLbl val="0"/>
      </c:catAx>
      <c:valAx>
        <c:axId val="1950186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Estimated £/Year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164768"/>
        <c:crosses val="autoZero"/>
        <c:crossBetween val="between"/>
      </c:valAx>
      <c:valAx>
        <c:axId val="1950223328"/>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Estimated Cumalative</a:t>
                </a:r>
                <a:r>
                  <a:rPr lang="en-GB" baseline="0"/>
                  <a:t>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quot;£&quot;* #,##0_-;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246368"/>
        <c:crosses val="max"/>
        <c:crossBetween val="between"/>
      </c:valAx>
      <c:catAx>
        <c:axId val="1950246368"/>
        <c:scaling>
          <c:orientation val="minMax"/>
        </c:scaling>
        <c:delete val="1"/>
        <c:axPos val="b"/>
        <c:majorTickMark val="out"/>
        <c:minorTickMark val="none"/>
        <c:tickLblPos val="nextTo"/>
        <c:crossAx val="19502233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'Water Use'!$C$36</c:f>
              <c:strCache>
                <c:ptCount val="1"/>
                <c:pt idx="0">
                  <c:v>Estimated Saving</c:v>
                </c:pt>
              </c:strCache>
            </c:strRef>
          </c:tx>
          <c:spPr>
            <a:solidFill>
              <a:schemeClr val="accent1"/>
            </a:solidFill>
            <a:ln>
              <a:noFill/>
            </a:ln>
            <a:effectLst/>
          </c:spPr>
          <c:invertIfNegative val="0"/>
          <c:val>
            <c:numRef>
              <c:f>'Water Use'!$C$37:$C$56</c:f>
              <c:numCache>
                <c:formatCode>_-"£"* #,##0_-;\-"£"* #,##0_-;_-"£"* "-"??_-;_-@_-</c:formatCode>
                <c:ptCount val="20"/>
                <c:pt idx="0">
                  <c:v>100387.12500000003</c:v>
                </c:pt>
                <c:pt idx="1">
                  <c:v>105406.48125000004</c:v>
                </c:pt>
                <c:pt idx="2">
                  <c:v>110676.80531250004</c:v>
                </c:pt>
                <c:pt idx="3">
                  <c:v>116210.64557812506</c:v>
                </c:pt>
                <c:pt idx="4">
                  <c:v>122021.17785703132</c:v>
                </c:pt>
                <c:pt idx="5">
                  <c:v>128122.23674988288</c:v>
                </c:pt>
                <c:pt idx="6">
                  <c:v>134528.34858737703</c:v>
                </c:pt>
                <c:pt idx="7">
                  <c:v>141254.76601674588</c:v>
                </c:pt>
                <c:pt idx="8">
                  <c:v>148317.5043175832</c:v>
                </c:pt>
                <c:pt idx="9">
                  <c:v>155733.37953346237</c:v>
                </c:pt>
                <c:pt idx="10">
                  <c:v>163520.0485101355</c:v>
                </c:pt>
                <c:pt idx="11">
                  <c:v>171696.05093564227</c:v>
                </c:pt>
                <c:pt idx="12">
                  <c:v>180280.8534824244</c:v>
                </c:pt>
                <c:pt idx="13">
                  <c:v>189294.89615654561</c:v>
                </c:pt>
                <c:pt idx="14">
                  <c:v>198759.6409643729</c:v>
                </c:pt>
                <c:pt idx="15">
                  <c:v>208697.62301259156</c:v>
                </c:pt>
                <c:pt idx="16">
                  <c:v>219132.50416322114</c:v>
                </c:pt>
                <c:pt idx="17">
                  <c:v>230089.12937138221</c:v>
                </c:pt>
                <c:pt idx="18">
                  <c:v>241593.58583995132</c:v>
                </c:pt>
                <c:pt idx="19">
                  <c:v>253673.26513194889</c:v>
                </c:pt>
              </c:numCache>
            </c:numRef>
          </c:val>
          <c:extLst>
            <c:ext xmlns:c16="http://schemas.microsoft.com/office/drawing/2014/chart" uri="{C3380CC4-5D6E-409C-BE32-E72D297353CC}">
              <c16:uniqueId val="{00000000-EAC4-41BD-8B5C-4BBC8E496E77}"/>
            </c:ext>
          </c:extLst>
        </c:ser>
        <c:dLbls>
          <c:showLegendKey val="0"/>
          <c:showVal val="0"/>
          <c:showCatName val="0"/>
          <c:showSerName val="0"/>
          <c:showPercent val="0"/>
          <c:showBubbleSize val="0"/>
        </c:dLbls>
        <c:gapWidth val="150"/>
        <c:axId val="1950164768"/>
        <c:axId val="1950186368"/>
      </c:barChart>
      <c:lineChart>
        <c:grouping val="standard"/>
        <c:varyColors val="0"/>
        <c:ser>
          <c:idx val="1"/>
          <c:order val="1"/>
          <c:tx>
            <c:strRef>
              <c:f>'Water Use'!$D$36</c:f>
              <c:strCache>
                <c:ptCount val="1"/>
                <c:pt idx="0">
                  <c:v>Cumulative</c:v>
                </c:pt>
              </c:strCache>
            </c:strRef>
          </c:tx>
          <c:spPr>
            <a:ln w="28575" cap="rnd">
              <a:solidFill>
                <a:schemeClr val="accent2"/>
              </a:solidFill>
              <a:round/>
            </a:ln>
            <a:effectLst/>
          </c:spPr>
          <c:marker>
            <c:symbol val="none"/>
          </c:marker>
          <c:val>
            <c:numRef>
              <c:f>'Water Use'!$D$37:$D$56</c:f>
              <c:numCache>
                <c:formatCode>_-"£"* #,##0_-;\-"£"* #,##0_-;_-"£"* "-"??_-;_-@_-</c:formatCode>
                <c:ptCount val="20"/>
                <c:pt idx="0">
                  <c:v>100387.12500000003</c:v>
                </c:pt>
                <c:pt idx="1">
                  <c:v>205793.60625000007</c:v>
                </c:pt>
                <c:pt idx="2">
                  <c:v>316470.41156250011</c:v>
                </c:pt>
                <c:pt idx="3">
                  <c:v>432681.0571406252</c:v>
                </c:pt>
                <c:pt idx="4">
                  <c:v>554702.23499765655</c:v>
                </c:pt>
                <c:pt idx="5">
                  <c:v>682824.47174753947</c:v>
                </c:pt>
                <c:pt idx="6">
                  <c:v>817352.82033491647</c:v>
                </c:pt>
                <c:pt idx="7">
                  <c:v>958607.58635166241</c:v>
                </c:pt>
                <c:pt idx="8">
                  <c:v>1106925.0906692457</c:v>
                </c:pt>
                <c:pt idx="9">
                  <c:v>1262658.4702027082</c:v>
                </c:pt>
                <c:pt idx="10">
                  <c:v>1426178.5187128438</c:v>
                </c:pt>
                <c:pt idx="11">
                  <c:v>1597874.5696484861</c:v>
                </c:pt>
                <c:pt idx="12">
                  <c:v>1778155.4231309104</c:v>
                </c:pt>
                <c:pt idx="13">
                  <c:v>1967450.3192874561</c:v>
                </c:pt>
                <c:pt idx="14">
                  <c:v>2166209.9602518291</c:v>
                </c:pt>
                <c:pt idx="15">
                  <c:v>2374907.5832644207</c:v>
                </c:pt>
                <c:pt idx="16">
                  <c:v>2594040.0874276417</c:v>
                </c:pt>
                <c:pt idx="17">
                  <c:v>2824129.216799024</c:v>
                </c:pt>
                <c:pt idx="18">
                  <c:v>3065722.8026389754</c:v>
                </c:pt>
                <c:pt idx="19">
                  <c:v>3319396.0677709244</c:v>
                </c:pt>
              </c:numCache>
            </c:numRef>
          </c:val>
          <c:smooth val="0"/>
          <c:extLst>
            <c:ext xmlns:c16="http://schemas.microsoft.com/office/drawing/2014/chart" uri="{C3380CC4-5D6E-409C-BE32-E72D297353CC}">
              <c16:uniqueId val="{00000001-EAC4-41BD-8B5C-4BBC8E496E77}"/>
            </c:ext>
          </c:extLst>
        </c:ser>
        <c:ser>
          <c:idx val="2"/>
          <c:order val="2"/>
          <c:tx>
            <c:strRef>
              <c:f>'Water Use'!$E$36</c:f>
              <c:strCache>
                <c:ptCount val="1"/>
                <c:pt idx="0">
                  <c:v>Capital Cost</c:v>
                </c:pt>
              </c:strCache>
            </c:strRef>
          </c:tx>
          <c:spPr>
            <a:ln w="28575" cap="rnd">
              <a:solidFill>
                <a:schemeClr val="accent3"/>
              </a:solidFill>
              <a:round/>
            </a:ln>
            <a:effectLst/>
          </c:spPr>
          <c:marker>
            <c:symbol val="none"/>
          </c:marker>
          <c:val>
            <c:numRef>
              <c:f>'Water Use'!$E$37:$E$56</c:f>
              <c:numCache>
                <c:formatCode>_-"£"* #,##0_-;\-"£"* #,##0_-;_-"£"* "-"??_-;_-@_-</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2-EAC4-41BD-8B5C-4BBC8E496E77}"/>
            </c:ext>
          </c:extLst>
        </c:ser>
        <c:dLbls>
          <c:showLegendKey val="0"/>
          <c:showVal val="0"/>
          <c:showCatName val="0"/>
          <c:showSerName val="0"/>
          <c:showPercent val="0"/>
          <c:showBubbleSize val="0"/>
        </c:dLbls>
        <c:marker val="1"/>
        <c:smooth val="0"/>
        <c:axId val="1950246368"/>
        <c:axId val="1950223328"/>
      </c:lineChart>
      <c:catAx>
        <c:axId val="1950164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186368"/>
        <c:crosses val="autoZero"/>
        <c:auto val="1"/>
        <c:lblAlgn val="ctr"/>
        <c:lblOffset val="100"/>
        <c:noMultiLvlLbl val="0"/>
      </c:catAx>
      <c:valAx>
        <c:axId val="1950186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Estimated £/Year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quot;£&quot;* #,##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164768"/>
        <c:crosses val="autoZero"/>
        <c:crossBetween val="between"/>
      </c:valAx>
      <c:valAx>
        <c:axId val="1950223328"/>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Estimated Cumalative</a:t>
                </a:r>
                <a:r>
                  <a:rPr lang="en-GB" baseline="0"/>
                  <a:t> £</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quot;£&quot;* #,##0_-;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246368"/>
        <c:crosses val="max"/>
        <c:crossBetween val="between"/>
      </c:valAx>
      <c:catAx>
        <c:axId val="1950246368"/>
        <c:scaling>
          <c:orientation val="minMax"/>
        </c:scaling>
        <c:delete val="1"/>
        <c:axPos val="b"/>
        <c:majorTickMark val="out"/>
        <c:minorTickMark val="none"/>
        <c:tickLblPos val="nextTo"/>
        <c:crossAx val="19502233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Carbon Emissions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stacked"/>
        <c:varyColors val="0"/>
        <c:ser>
          <c:idx val="0"/>
          <c:order val="0"/>
          <c:tx>
            <c:strRef>
              <c:f>Matrix!$K$10</c:f>
              <c:strCache>
                <c:ptCount val="1"/>
                <c:pt idx="0">
                  <c:v>Current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Matrix!$B$12:$B$17</c:f>
              <c:strCache>
                <c:ptCount val="6"/>
                <c:pt idx="0">
                  <c:v>Reducing Embodied Carbon</c:v>
                </c:pt>
                <c:pt idx="1">
                  <c:v>Reducing Operational Carbon</c:v>
                </c:pt>
                <c:pt idx="2">
                  <c:v>Renewable Energy Supply</c:v>
                </c:pt>
                <c:pt idx="3">
                  <c:v>Smart energy solutions</c:v>
                </c:pt>
                <c:pt idx="4">
                  <c:v>Energy Monitoring</c:v>
                </c:pt>
                <c:pt idx="5">
                  <c:v>Construction Activity Emissions</c:v>
                </c:pt>
              </c:strCache>
            </c:strRef>
          </c:cat>
          <c:val>
            <c:numRef>
              <c:f>Matrix!$K$12:$K$17</c:f>
            </c:numRef>
          </c:val>
          <c:extLst>
            <c:ext xmlns:c16="http://schemas.microsoft.com/office/drawing/2014/chart" uri="{C3380CC4-5D6E-409C-BE32-E72D297353CC}">
              <c16:uniqueId val="{00000000-A234-443B-882F-941B88CB924A}"/>
            </c:ext>
          </c:extLst>
        </c:ser>
        <c:ser>
          <c:idx val="1"/>
          <c:order val="1"/>
          <c:tx>
            <c:strRef>
              <c:f>Matrix!$L$10</c:f>
              <c:strCache>
                <c:ptCount val="1"/>
                <c:pt idx="0">
                  <c:v>Target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Matrix!$B$12:$B$17</c:f>
              <c:strCache>
                <c:ptCount val="6"/>
                <c:pt idx="0">
                  <c:v>Reducing Embodied Carbon</c:v>
                </c:pt>
                <c:pt idx="1">
                  <c:v>Reducing Operational Carbon</c:v>
                </c:pt>
                <c:pt idx="2">
                  <c:v>Renewable Energy Supply</c:v>
                </c:pt>
                <c:pt idx="3">
                  <c:v>Smart energy solutions</c:v>
                </c:pt>
                <c:pt idx="4">
                  <c:v>Energy Monitoring</c:v>
                </c:pt>
                <c:pt idx="5">
                  <c:v>Construction Activity Emissions</c:v>
                </c:pt>
              </c:strCache>
            </c:strRef>
          </c:cat>
          <c:val>
            <c:numRef>
              <c:f>Matrix!$L$12:$L$17</c:f>
            </c:numRef>
          </c:val>
          <c:extLst>
            <c:ext xmlns:c16="http://schemas.microsoft.com/office/drawing/2014/chart" uri="{C3380CC4-5D6E-409C-BE32-E72D297353CC}">
              <c16:uniqueId val="{00000001-A234-443B-882F-941B88CB924A}"/>
            </c:ext>
          </c:extLst>
        </c:ser>
        <c:ser>
          <c:idx val="2"/>
          <c:order val="2"/>
          <c:tx>
            <c:strRef>
              <c:f>Matrix!$M$10</c:f>
              <c:strCache>
                <c:ptCount val="1"/>
                <c:pt idx="0">
                  <c:v>Not Targeted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Matrix!$B$12:$B$17</c:f>
              <c:strCache>
                <c:ptCount val="6"/>
                <c:pt idx="0">
                  <c:v>Reducing Embodied Carbon</c:v>
                </c:pt>
                <c:pt idx="1">
                  <c:v>Reducing Operational Carbon</c:v>
                </c:pt>
                <c:pt idx="2">
                  <c:v>Renewable Energy Supply</c:v>
                </c:pt>
                <c:pt idx="3">
                  <c:v>Smart energy solutions</c:v>
                </c:pt>
                <c:pt idx="4">
                  <c:v>Energy Monitoring</c:v>
                </c:pt>
                <c:pt idx="5">
                  <c:v>Construction Activity Emissions</c:v>
                </c:pt>
              </c:strCache>
            </c:strRef>
          </c:cat>
          <c:val>
            <c:numRef>
              <c:f>Matrix!$M$12:$M$17</c:f>
            </c:numRef>
          </c:val>
          <c:extLst>
            <c:ext xmlns:c16="http://schemas.microsoft.com/office/drawing/2014/chart" uri="{C3380CC4-5D6E-409C-BE32-E72D297353CC}">
              <c16:uniqueId val="{00000002-A234-443B-882F-941B88CB924A}"/>
            </c:ext>
          </c:extLst>
        </c:ser>
        <c:dLbls>
          <c:showLegendKey val="0"/>
          <c:showVal val="0"/>
          <c:showCatName val="0"/>
          <c:showSerName val="0"/>
          <c:showPercent val="0"/>
          <c:showBubbleSize val="0"/>
        </c:dLbls>
        <c:gapWidth val="150"/>
        <c:overlap val="100"/>
        <c:axId val="1950346208"/>
        <c:axId val="1950352928"/>
      </c:barChart>
      <c:catAx>
        <c:axId val="1950346208"/>
        <c:scaling>
          <c:orientation val="maxMin"/>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0352928"/>
        <c:crosses val="autoZero"/>
        <c:auto val="1"/>
        <c:lblAlgn val="ctr"/>
        <c:lblOffset val="100"/>
        <c:noMultiLvlLbl val="0"/>
      </c:catAx>
      <c:valAx>
        <c:axId val="1950352928"/>
        <c:scaling>
          <c:orientation val="minMax"/>
          <c:max val="5"/>
        </c:scaling>
        <c:delete val="0"/>
        <c:axPos val="t"/>
        <c:majorGridlines>
          <c:spPr>
            <a:ln w="9525" cap="flat" cmpd="sng" algn="ctr">
              <a:solidFill>
                <a:schemeClr val="lt1">
                  <a:lumMod val="95000"/>
                  <a:alpha val="10000"/>
                </a:schemeClr>
              </a:solidFill>
              <a:round/>
            </a:ln>
            <a:effectLst/>
          </c:spPr>
        </c:majorGridlines>
        <c:numFmt formatCode="_(* #,##0_);_(* \(#,##0\);_(*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0346208"/>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554354</xdr:colOff>
      <xdr:row>36</xdr:row>
      <xdr:rowOff>16192</xdr:rowOff>
    </xdr:from>
    <xdr:to>
      <xdr:col>14</xdr:col>
      <xdr:colOff>108584</xdr:colOff>
      <xdr:row>58</xdr:row>
      <xdr:rowOff>152400</xdr:rowOff>
    </xdr:to>
    <xdr:graphicFrame macro="">
      <xdr:nvGraphicFramePr>
        <xdr:cNvPr id="3" name="Chart 2">
          <a:extLst>
            <a:ext uri="{FF2B5EF4-FFF2-40B4-BE49-F238E27FC236}">
              <a16:creationId xmlns:a16="http://schemas.microsoft.com/office/drawing/2014/main" id="{71CEA6C6-B1E3-511D-E108-5DB8FD842D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554354</xdr:colOff>
      <xdr:row>36</xdr:row>
      <xdr:rowOff>16192</xdr:rowOff>
    </xdr:from>
    <xdr:to>
      <xdr:col>13</xdr:col>
      <xdr:colOff>108584</xdr:colOff>
      <xdr:row>58</xdr:row>
      <xdr:rowOff>152400</xdr:rowOff>
    </xdr:to>
    <xdr:graphicFrame macro="">
      <xdr:nvGraphicFramePr>
        <xdr:cNvPr id="2" name="Chart 1">
          <a:extLst>
            <a:ext uri="{FF2B5EF4-FFF2-40B4-BE49-F238E27FC236}">
              <a16:creationId xmlns:a16="http://schemas.microsoft.com/office/drawing/2014/main" id="{BF3BA37A-B216-4717-87C2-9EAE4D59B3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295276</xdr:colOff>
      <xdr:row>12</xdr:row>
      <xdr:rowOff>66675</xdr:rowOff>
    </xdr:from>
    <xdr:to>
      <xdr:col>11</xdr:col>
      <xdr:colOff>95251</xdr:colOff>
      <xdr:row>23</xdr:row>
      <xdr:rowOff>152400</xdr:rowOff>
    </xdr:to>
    <xdr:graphicFrame macro="">
      <xdr:nvGraphicFramePr>
        <xdr:cNvPr id="5" name="Chart 4">
          <a:extLst>
            <a:ext uri="{FF2B5EF4-FFF2-40B4-BE49-F238E27FC236}">
              <a16:creationId xmlns:a16="http://schemas.microsoft.com/office/drawing/2014/main" id="{F8FE6394-6C34-F5A0-495E-4A81DAFE46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4AE20-948D-4027-9242-9CDCB5C3E8B5}">
  <sheetPr>
    <tabColor rgb="FFFF0000"/>
  </sheetPr>
  <dimension ref="A3:D39"/>
  <sheetViews>
    <sheetView tabSelected="1" topLeftCell="A10" workbookViewId="0">
      <selection activeCell="F8" sqref="F8"/>
    </sheetView>
  </sheetViews>
  <sheetFormatPr defaultColWidth="9.140625" defaultRowHeight="15" x14ac:dyDescent="0.25"/>
  <cols>
    <col min="1" max="1" width="31.85546875" style="4" customWidth="1"/>
    <col min="2" max="16384" width="9.140625" style="4"/>
  </cols>
  <sheetData>
    <row r="3" spans="1:3" ht="30" x14ac:dyDescent="0.25">
      <c r="A3" s="4" t="s">
        <v>0</v>
      </c>
      <c r="B3" s="4">
        <f>52*2</f>
        <v>104</v>
      </c>
      <c r="C3" s="4" t="s">
        <v>1</v>
      </c>
    </row>
    <row r="5" spans="1:3" x14ac:dyDescent="0.25">
      <c r="A5" s="4" t="s">
        <v>2</v>
      </c>
    </row>
    <row r="6" spans="1:3" x14ac:dyDescent="0.25">
      <c r="A6" t="s">
        <v>3</v>
      </c>
      <c r="B6" s="16">
        <v>0.13</v>
      </c>
    </row>
    <row r="7" spans="1:3" x14ac:dyDescent="0.25">
      <c r="A7" t="s">
        <v>4</v>
      </c>
      <c r="B7" s="16">
        <v>4.4999999999999998E-2</v>
      </c>
    </row>
    <row r="8" spans="1:3" x14ac:dyDescent="0.25">
      <c r="A8" t="s">
        <v>5</v>
      </c>
      <c r="B8" s="16">
        <v>5.5E-2</v>
      </c>
    </row>
    <row r="9" spans="1:3" x14ac:dyDescent="0.25">
      <c r="A9" t="s">
        <v>6</v>
      </c>
      <c r="B9" s="16">
        <v>0.06</v>
      </c>
    </row>
    <row r="10" spans="1:3" x14ac:dyDescent="0.25">
      <c r="A10" t="s">
        <v>7</v>
      </c>
      <c r="B10" s="16">
        <v>0.1</v>
      </c>
    </row>
    <row r="12" spans="1:3" x14ac:dyDescent="0.25">
      <c r="A12" s="4" t="s">
        <v>8</v>
      </c>
      <c r="B12" s="4">
        <v>11688</v>
      </c>
      <c r="C12" s="4" t="s">
        <v>9</v>
      </c>
    </row>
    <row r="13" spans="1:3" x14ac:dyDescent="0.25">
      <c r="A13" s="4" t="s">
        <v>10</v>
      </c>
      <c r="B13" s="4">
        <v>0</v>
      </c>
      <c r="C13" s="4" t="s">
        <v>9</v>
      </c>
    </row>
    <row r="14" spans="1:3" x14ac:dyDescent="0.25">
      <c r="A14" s="4" t="s">
        <v>11</v>
      </c>
      <c r="B14" s="4">
        <v>24</v>
      </c>
      <c r="C14" s="4" t="s">
        <v>12</v>
      </c>
    </row>
    <row r="15" spans="1:3" x14ac:dyDescent="0.25">
      <c r="A15" s="4" t="s">
        <v>13</v>
      </c>
      <c r="B15" s="4">
        <v>630</v>
      </c>
      <c r="C15" s="4" t="s">
        <v>9</v>
      </c>
    </row>
    <row r="17" spans="1:4" x14ac:dyDescent="0.25">
      <c r="A17" s="4" t="s">
        <v>14</v>
      </c>
    </row>
    <row r="18" spans="1:4" x14ac:dyDescent="0.25">
      <c r="A18" s="4" t="s">
        <v>15</v>
      </c>
      <c r="B18" s="4">
        <v>6972</v>
      </c>
      <c r="C18" s="4" t="s">
        <v>9</v>
      </c>
    </row>
    <row r="19" spans="1:4" x14ac:dyDescent="0.25">
      <c r="A19" s="17" t="s">
        <v>16</v>
      </c>
      <c r="B19" s="4">
        <v>4183</v>
      </c>
      <c r="C19" s="4" t="s">
        <v>9</v>
      </c>
      <c r="D19" s="37">
        <f>B19/$B$18</f>
        <v>0.59997131382673552</v>
      </c>
    </row>
    <row r="20" spans="1:4" x14ac:dyDescent="0.25">
      <c r="A20" s="17" t="s">
        <v>17</v>
      </c>
      <c r="B20" s="4">
        <v>2789</v>
      </c>
      <c r="C20" s="4" t="s">
        <v>9</v>
      </c>
      <c r="D20" s="37">
        <f>B20/$B$18</f>
        <v>0.40002868617326448</v>
      </c>
    </row>
    <row r="22" spans="1:4" x14ac:dyDescent="0.25">
      <c r="A22" s="4" t="s">
        <v>18</v>
      </c>
      <c r="B22" s="4">
        <v>1000</v>
      </c>
      <c r="C22" s="4" t="s">
        <v>19</v>
      </c>
    </row>
    <row r="23" spans="1:4" x14ac:dyDescent="0.25">
      <c r="A23" s="4" t="s">
        <v>20</v>
      </c>
      <c r="B23" s="4">
        <v>600</v>
      </c>
      <c r="C23" s="4" t="s">
        <v>19</v>
      </c>
    </row>
    <row r="25" spans="1:4" x14ac:dyDescent="0.25">
      <c r="A25" s="4" t="s">
        <v>21</v>
      </c>
      <c r="B25" s="4">
        <v>261</v>
      </c>
      <c r="C25" s="4" t="s">
        <v>12</v>
      </c>
    </row>
    <row r="27" spans="1:4" x14ac:dyDescent="0.25">
      <c r="A27" s="4" t="s">
        <v>22</v>
      </c>
    </row>
    <row r="28" spans="1:4" x14ac:dyDescent="0.25">
      <c r="A28" s="4" t="s">
        <v>23</v>
      </c>
      <c r="B28" s="4">
        <f>(1.508*92)+(550*0.3)</f>
        <v>303.73599999999999</v>
      </c>
      <c r="C28" s="4" t="s">
        <v>24</v>
      </c>
    </row>
    <row r="29" spans="1:4" x14ac:dyDescent="0.25">
      <c r="A29" t="s">
        <v>25</v>
      </c>
      <c r="B29" s="4">
        <v>164.85899999999998</v>
      </c>
      <c r="C29" s="4" t="s">
        <v>24</v>
      </c>
    </row>
    <row r="30" spans="1:4" x14ac:dyDescent="0.25">
      <c r="A30" t="s">
        <v>26</v>
      </c>
      <c r="B30" s="4">
        <v>458.01999359999996</v>
      </c>
      <c r="C30" s="4" t="s">
        <v>24</v>
      </c>
    </row>
    <row r="31" spans="1:4" x14ac:dyDescent="0.25">
      <c r="A31" t="s">
        <v>27</v>
      </c>
      <c r="B31" s="4">
        <v>996.80000000000007</v>
      </c>
      <c r="C31" s="4" t="s">
        <v>24</v>
      </c>
    </row>
    <row r="32" spans="1:4" x14ac:dyDescent="0.25">
      <c r="A32" t="s">
        <v>28</v>
      </c>
      <c r="B32" s="4">
        <v>2506.2750000000001</v>
      </c>
      <c r="C32" s="4" t="s">
        <v>24</v>
      </c>
    </row>
    <row r="33" spans="1:3" x14ac:dyDescent="0.25">
      <c r="A33" t="s">
        <v>29</v>
      </c>
      <c r="B33" s="4">
        <v>123.75</v>
      </c>
      <c r="C33" s="4" t="s">
        <v>24</v>
      </c>
    </row>
    <row r="36" spans="1:3" x14ac:dyDescent="0.25">
      <c r="A36" s="4" t="s">
        <v>30</v>
      </c>
    </row>
    <row r="37" spans="1:3" x14ac:dyDescent="0.25">
      <c r="A37" s="4" t="s">
        <v>31</v>
      </c>
      <c r="B37" s="610">
        <v>1500</v>
      </c>
      <c r="C37" s="4" t="s">
        <v>9</v>
      </c>
    </row>
    <row r="38" spans="1:3" x14ac:dyDescent="0.25">
      <c r="A38" s="4" t="s">
        <v>32</v>
      </c>
      <c r="B38" s="610">
        <v>200</v>
      </c>
      <c r="C38" s="4" t="s">
        <v>9</v>
      </c>
    </row>
    <row r="39" spans="1:3" x14ac:dyDescent="0.25">
      <c r="A39" s="4" t="s">
        <v>33</v>
      </c>
      <c r="B39" s="610">
        <v>500</v>
      </c>
      <c r="C39" s="4"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9519-D5EF-40ED-A43E-A57F9E51FA45}">
  <sheetPr>
    <tabColor rgb="FFFF0000"/>
  </sheetPr>
  <dimension ref="B2:F60"/>
  <sheetViews>
    <sheetView workbookViewId="0">
      <selection activeCell="G7" sqref="G7:G8"/>
    </sheetView>
  </sheetViews>
  <sheetFormatPr defaultRowHeight="15" x14ac:dyDescent="0.25"/>
  <cols>
    <col min="1" max="1" width="3" customWidth="1"/>
    <col min="3" max="3" width="27.140625" bestFit="1" customWidth="1"/>
    <col min="4" max="4" width="16.140625" bestFit="1" customWidth="1"/>
    <col min="5" max="5" width="13.5703125" customWidth="1"/>
    <col min="6" max="6" width="14.42578125" bestFit="1" customWidth="1"/>
    <col min="7" max="7" width="15" customWidth="1"/>
    <col min="8" max="8" width="4.5703125" customWidth="1"/>
    <col min="10" max="10" width="9.42578125" bestFit="1" customWidth="1"/>
    <col min="11" max="12" width="12.5703125" bestFit="1" customWidth="1"/>
    <col min="13" max="13" width="14.42578125" customWidth="1"/>
    <col min="14" max="14" width="22.42578125" bestFit="1" customWidth="1"/>
  </cols>
  <sheetData>
    <row r="2" spans="2:5" x14ac:dyDescent="0.25">
      <c r="C2" s="38" t="s">
        <v>34</v>
      </c>
    </row>
    <row r="4" spans="2:5" x14ac:dyDescent="0.25">
      <c r="C4" t="s">
        <v>35</v>
      </c>
      <c r="D4" s="41">
        <v>100</v>
      </c>
      <c r="E4" t="s">
        <v>36</v>
      </c>
    </row>
    <row r="6" spans="2:5" x14ac:dyDescent="0.25">
      <c r="D6" t="s">
        <v>37</v>
      </c>
      <c r="E6" t="s">
        <v>36</v>
      </c>
    </row>
    <row r="7" spans="2:5" x14ac:dyDescent="0.25">
      <c r="B7">
        <v>1</v>
      </c>
      <c r="C7" t="s">
        <v>38</v>
      </c>
      <c r="D7" s="39">
        <v>1</v>
      </c>
      <c r="E7">
        <f>$D$4*D7</f>
        <v>100</v>
      </c>
    </row>
    <row r="8" spans="2:5" x14ac:dyDescent="0.25">
      <c r="B8">
        <v>2</v>
      </c>
      <c r="C8" t="s">
        <v>39</v>
      </c>
      <c r="D8" s="39">
        <v>0.75</v>
      </c>
      <c r="E8">
        <f t="shared" ref="E8:E11" si="0">$D$4*D8</f>
        <v>75</v>
      </c>
    </row>
    <row r="9" spans="2:5" x14ac:dyDescent="0.25">
      <c r="B9">
        <v>3</v>
      </c>
      <c r="C9" t="s">
        <v>40</v>
      </c>
      <c r="D9" s="39">
        <v>0.5</v>
      </c>
      <c r="E9">
        <f t="shared" si="0"/>
        <v>50</v>
      </c>
    </row>
    <row r="10" spans="2:5" x14ac:dyDescent="0.25">
      <c r="B10">
        <v>4</v>
      </c>
      <c r="C10" t="s">
        <v>41</v>
      </c>
      <c r="D10" s="39">
        <v>0.35</v>
      </c>
      <c r="E10">
        <f t="shared" si="0"/>
        <v>35</v>
      </c>
    </row>
    <row r="11" spans="2:5" x14ac:dyDescent="0.25">
      <c r="B11">
        <v>5</v>
      </c>
      <c r="C11" t="s">
        <v>42</v>
      </c>
      <c r="D11" s="39">
        <v>-0.1</v>
      </c>
      <c r="E11">
        <f t="shared" si="0"/>
        <v>-10</v>
      </c>
    </row>
    <row r="13" spans="2:5" x14ac:dyDescent="0.25">
      <c r="C13" t="s">
        <v>43</v>
      </c>
      <c r="D13" s="79">
        <f>'Detailed Matrix'!T16</f>
        <v>0.16901408450704225</v>
      </c>
      <c r="E13" s="341" t="s">
        <v>44</v>
      </c>
    </row>
    <row r="14" spans="2:5" x14ac:dyDescent="0.25">
      <c r="C14" t="s">
        <v>45</v>
      </c>
      <c r="D14" s="79">
        <v>2</v>
      </c>
      <c r="E14" s="341" t="s">
        <v>46</v>
      </c>
    </row>
    <row r="15" spans="2:5" x14ac:dyDescent="0.25">
      <c r="D15" s="79"/>
    </row>
    <row r="16" spans="2:5" x14ac:dyDescent="0.25">
      <c r="C16" t="s">
        <v>47</v>
      </c>
      <c r="D16" s="336">
        <f>D8</f>
        <v>0.75</v>
      </c>
      <c r="E16" s="341" t="s">
        <v>46</v>
      </c>
    </row>
    <row r="17" spans="3:5" x14ac:dyDescent="0.25">
      <c r="C17" t="s">
        <v>48</v>
      </c>
      <c r="D17" s="336">
        <f>-((D13-D14)/1)*(D8-D9)</f>
        <v>0.45774647887323944</v>
      </c>
      <c r="E17" s="341" t="s">
        <v>49</v>
      </c>
    </row>
    <row r="18" spans="3:5" ht="15.75" thickBot="1" x14ac:dyDescent="0.3">
      <c r="C18" s="18" t="s">
        <v>50</v>
      </c>
      <c r="D18" s="337">
        <f>SUM(D16:D17)</f>
        <v>1.2077464788732395</v>
      </c>
      <c r="E18" s="341"/>
    </row>
    <row r="19" spans="3:5" ht="15.75" thickTop="1" x14ac:dyDescent="0.25">
      <c r="D19" s="79"/>
      <c r="E19" s="341"/>
    </row>
    <row r="20" spans="3:5" x14ac:dyDescent="0.25">
      <c r="C20" s="38" t="s">
        <v>51</v>
      </c>
      <c r="D20" s="79"/>
      <c r="E20" s="341"/>
    </row>
    <row r="21" spans="3:5" x14ac:dyDescent="0.25">
      <c r="C21" t="s">
        <v>52</v>
      </c>
      <c r="D21" s="338">
        <f>'Key Data'!$B$12</f>
        <v>11688</v>
      </c>
      <c r="E21" s="341" t="s">
        <v>53</v>
      </c>
    </row>
    <row r="22" spans="3:5" x14ac:dyDescent="0.25">
      <c r="C22" t="s">
        <v>54</v>
      </c>
      <c r="D22" s="338">
        <f>(D4*D18)*D21</f>
        <v>1411614.0845070423</v>
      </c>
      <c r="E22" s="341"/>
    </row>
    <row r="23" spans="3:5" x14ac:dyDescent="0.25">
      <c r="C23" t="s">
        <v>55</v>
      </c>
      <c r="D23" s="339">
        <v>0.245</v>
      </c>
      <c r="E23" s="341" t="s">
        <v>56</v>
      </c>
    </row>
    <row r="24" spans="3:5" x14ac:dyDescent="0.25">
      <c r="C24" t="s">
        <v>57</v>
      </c>
      <c r="D24" s="40">
        <f>D22*D23</f>
        <v>345845.45070422534</v>
      </c>
      <c r="E24" s="341"/>
    </row>
    <row r="25" spans="3:5" x14ac:dyDescent="0.25">
      <c r="E25" s="341"/>
    </row>
    <row r="26" spans="3:5" x14ac:dyDescent="0.25">
      <c r="C26" s="38" t="s">
        <v>58</v>
      </c>
      <c r="D26" s="340"/>
      <c r="E26" s="341"/>
    </row>
    <row r="27" spans="3:5" x14ac:dyDescent="0.25">
      <c r="C27" t="s">
        <v>54</v>
      </c>
      <c r="D27" s="338">
        <f>($D$4*$D$21)*$D$7</f>
        <v>1168800</v>
      </c>
      <c r="E27" s="341"/>
    </row>
    <row r="28" spans="3:5" x14ac:dyDescent="0.25">
      <c r="C28" t="s">
        <v>55</v>
      </c>
      <c r="D28" s="339">
        <f>D23</f>
        <v>0.245</v>
      </c>
      <c r="E28" s="341" t="s">
        <v>59</v>
      </c>
    </row>
    <row r="29" spans="3:5" x14ac:dyDescent="0.25">
      <c r="C29" t="s">
        <v>57</v>
      </c>
      <c r="D29" s="40">
        <f>D27*D28</f>
        <v>286356</v>
      </c>
      <c r="E29" s="341"/>
    </row>
    <row r="30" spans="3:5" x14ac:dyDescent="0.25">
      <c r="D30" s="338"/>
      <c r="E30" s="341"/>
    </row>
    <row r="31" spans="3:5" x14ac:dyDescent="0.25">
      <c r="C31" t="s">
        <v>60</v>
      </c>
      <c r="D31" s="40">
        <f>D29-D24</f>
        <v>-59489.450704225339</v>
      </c>
      <c r="E31" s="341"/>
    </row>
    <row r="32" spans="3:5" x14ac:dyDescent="0.25">
      <c r="C32" t="s">
        <v>61</v>
      </c>
      <c r="D32" s="340">
        <v>0.05</v>
      </c>
      <c r="E32" s="341" t="s">
        <v>56</v>
      </c>
    </row>
    <row r="34" spans="3:6" x14ac:dyDescent="0.25">
      <c r="C34" t="s">
        <v>62</v>
      </c>
      <c r="D34" s="40">
        <f>'Detailed Matrix'!$U$16</f>
        <v>675000</v>
      </c>
      <c r="E34" s="341" t="s">
        <v>44</v>
      </c>
    </row>
    <row r="36" spans="3:6" x14ac:dyDescent="0.25">
      <c r="D36" t="s">
        <v>63</v>
      </c>
      <c r="E36" t="s">
        <v>64</v>
      </c>
      <c r="F36" t="s">
        <v>65</v>
      </c>
    </row>
    <row r="37" spans="3:6" x14ac:dyDescent="0.25">
      <c r="C37" t="s">
        <v>66</v>
      </c>
      <c r="D37" s="40">
        <f>D31</f>
        <v>-59489.450704225339</v>
      </c>
      <c r="E37" s="40">
        <f>D37</f>
        <v>-59489.450704225339</v>
      </c>
      <c r="F37" s="40">
        <f t="shared" ref="F37:F56" si="1">$D$34</f>
        <v>675000</v>
      </c>
    </row>
    <row r="38" spans="3:6" x14ac:dyDescent="0.25">
      <c r="C38" t="s">
        <v>67</v>
      </c>
      <c r="D38" s="40">
        <f>D37*(1+$D$32)</f>
        <v>-62463.923239436612</v>
      </c>
      <c r="E38" s="40">
        <f>D38+E37</f>
        <v>-121953.37394366195</v>
      </c>
      <c r="F38" s="40">
        <f t="shared" si="1"/>
        <v>675000</v>
      </c>
    </row>
    <row r="39" spans="3:6" x14ac:dyDescent="0.25">
      <c r="C39" t="s">
        <v>68</v>
      </c>
      <c r="D39" s="40">
        <f t="shared" ref="D39:D56" si="2">D38*(1+$D$32)</f>
        <v>-65587.119401408447</v>
      </c>
      <c r="E39" s="40">
        <f t="shared" ref="E39:E56" si="3">D39+E38</f>
        <v>-187540.4933450704</v>
      </c>
      <c r="F39" s="40">
        <f t="shared" si="1"/>
        <v>675000</v>
      </c>
    </row>
    <row r="40" spans="3:6" x14ac:dyDescent="0.25">
      <c r="C40" t="s">
        <v>69</v>
      </c>
      <c r="D40" s="40">
        <f t="shared" si="2"/>
        <v>-68866.475371478868</v>
      </c>
      <c r="E40" s="40">
        <f t="shared" si="3"/>
        <v>-256406.96871654928</v>
      </c>
      <c r="F40" s="40">
        <f t="shared" si="1"/>
        <v>675000</v>
      </c>
    </row>
    <row r="41" spans="3:6" x14ac:dyDescent="0.25">
      <c r="C41" t="s">
        <v>70</v>
      </c>
      <c r="D41" s="40">
        <f t="shared" si="2"/>
        <v>-72309.799140052812</v>
      </c>
      <c r="E41" s="40">
        <f t="shared" si="3"/>
        <v>-328716.76785660209</v>
      </c>
      <c r="F41" s="40">
        <f t="shared" si="1"/>
        <v>675000</v>
      </c>
    </row>
    <row r="42" spans="3:6" x14ac:dyDescent="0.25">
      <c r="C42" t="s">
        <v>71</v>
      </c>
      <c r="D42" s="40">
        <f t="shared" si="2"/>
        <v>-75925.289097055458</v>
      </c>
      <c r="E42" s="40">
        <f t="shared" si="3"/>
        <v>-404642.05695365753</v>
      </c>
      <c r="F42" s="40">
        <f t="shared" si="1"/>
        <v>675000</v>
      </c>
    </row>
    <row r="43" spans="3:6" x14ac:dyDescent="0.25">
      <c r="C43" t="s">
        <v>72</v>
      </c>
      <c r="D43" s="40">
        <f t="shared" si="2"/>
        <v>-79721.553551908233</v>
      </c>
      <c r="E43" s="40">
        <f t="shared" si="3"/>
        <v>-484363.61050556577</v>
      </c>
      <c r="F43" s="40">
        <f t="shared" si="1"/>
        <v>675000</v>
      </c>
    </row>
    <row r="44" spans="3:6" x14ac:dyDescent="0.25">
      <c r="C44" t="s">
        <v>73</v>
      </c>
      <c r="D44" s="40">
        <f t="shared" si="2"/>
        <v>-83707.631229503648</v>
      </c>
      <c r="E44" s="40">
        <f t="shared" si="3"/>
        <v>-568071.24173506943</v>
      </c>
      <c r="F44" s="40">
        <f t="shared" si="1"/>
        <v>675000</v>
      </c>
    </row>
    <row r="45" spans="3:6" x14ac:dyDescent="0.25">
      <c r="C45" t="s">
        <v>74</v>
      </c>
      <c r="D45" s="40">
        <f t="shared" si="2"/>
        <v>-87893.012790978828</v>
      </c>
      <c r="E45" s="40">
        <f t="shared" si="3"/>
        <v>-655964.2545260482</v>
      </c>
      <c r="F45" s="40">
        <f t="shared" si="1"/>
        <v>675000</v>
      </c>
    </row>
    <row r="46" spans="3:6" x14ac:dyDescent="0.25">
      <c r="C46" t="s">
        <v>75</v>
      </c>
      <c r="D46" s="40">
        <f t="shared" si="2"/>
        <v>-92287.663430527769</v>
      </c>
      <c r="E46" s="40">
        <f t="shared" si="3"/>
        <v>-748251.91795657598</v>
      </c>
      <c r="F46" s="40">
        <f t="shared" si="1"/>
        <v>675000</v>
      </c>
    </row>
    <row r="47" spans="3:6" x14ac:dyDescent="0.25">
      <c r="C47" t="s">
        <v>76</v>
      </c>
      <c r="D47" s="40">
        <f t="shared" si="2"/>
        <v>-96902.046602054164</v>
      </c>
      <c r="E47" s="40">
        <f t="shared" si="3"/>
        <v>-845153.96455863013</v>
      </c>
      <c r="F47" s="40">
        <f t="shared" si="1"/>
        <v>675000</v>
      </c>
    </row>
    <row r="48" spans="3:6" x14ac:dyDescent="0.25">
      <c r="C48" t="s">
        <v>77</v>
      </c>
      <c r="D48" s="40">
        <f t="shared" si="2"/>
        <v>-101747.14893215688</v>
      </c>
      <c r="E48" s="40">
        <f t="shared" si="3"/>
        <v>-946901.11349078699</v>
      </c>
      <c r="F48" s="40">
        <f t="shared" si="1"/>
        <v>675000</v>
      </c>
    </row>
    <row r="49" spans="3:6" x14ac:dyDescent="0.25">
      <c r="C49" t="s">
        <v>78</v>
      </c>
      <c r="D49" s="40">
        <f t="shared" si="2"/>
        <v>-106834.50637876472</v>
      </c>
      <c r="E49" s="40">
        <f t="shared" si="3"/>
        <v>-1053735.6198695516</v>
      </c>
      <c r="F49" s="40">
        <f t="shared" si="1"/>
        <v>675000</v>
      </c>
    </row>
    <row r="50" spans="3:6" x14ac:dyDescent="0.25">
      <c r="C50" t="s">
        <v>79</v>
      </c>
      <c r="D50" s="40">
        <f t="shared" si="2"/>
        <v>-112176.23169770297</v>
      </c>
      <c r="E50" s="40">
        <f t="shared" si="3"/>
        <v>-1165911.8515672546</v>
      </c>
      <c r="F50" s="40">
        <f t="shared" si="1"/>
        <v>675000</v>
      </c>
    </row>
    <row r="51" spans="3:6" x14ac:dyDescent="0.25">
      <c r="C51" t="s">
        <v>80</v>
      </c>
      <c r="D51" s="40">
        <f t="shared" si="2"/>
        <v>-117785.04328258813</v>
      </c>
      <c r="E51" s="40">
        <f t="shared" si="3"/>
        <v>-1283696.8948498429</v>
      </c>
      <c r="F51" s="40">
        <f t="shared" si="1"/>
        <v>675000</v>
      </c>
    </row>
    <row r="52" spans="3:6" x14ac:dyDescent="0.25">
      <c r="C52" t="s">
        <v>81</v>
      </c>
      <c r="D52" s="40">
        <f t="shared" si="2"/>
        <v>-123674.29544671754</v>
      </c>
      <c r="E52" s="40">
        <f t="shared" si="3"/>
        <v>-1407371.1902965605</v>
      </c>
      <c r="F52" s="40">
        <f t="shared" si="1"/>
        <v>675000</v>
      </c>
    </row>
    <row r="53" spans="3:6" x14ac:dyDescent="0.25">
      <c r="C53" t="s">
        <v>82</v>
      </c>
      <c r="D53" s="40">
        <f t="shared" si="2"/>
        <v>-129858.01021905342</v>
      </c>
      <c r="E53" s="40">
        <f t="shared" si="3"/>
        <v>-1537229.2005156139</v>
      </c>
      <c r="F53" s="40">
        <f t="shared" si="1"/>
        <v>675000</v>
      </c>
    </row>
    <row r="54" spans="3:6" x14ac:dyDescent="0.25">
      <c r="C54" t="s">
        <v>83</v>
      </c>
      <c r="D54" s="40">
        <f t="shared" si="2"/>
        <v>-136350.91073000609</v>
      </c>
      <c r="E54" s="40">
        <f t="shared" si="3"/>
        <v>-1673580.1112456201</v>
      </c>
      <c r="F54" s="40">
        <f t="shared" si="1"/>
        <v>675000</v>
      </c>
    </row>
    <row r="55" spans="3:6" x14ac:dyDescent="0.25">
      <c r="C55" t="s">
        <v>84</v>
      </c>
      <c r="D55" s="40">
        <f t="shared" si="2"/>
        <v>-143168.4562665064</v>
      </c>
      <c r="E55" s="40">
        <f t="shared" si="3"/>
        <v>-1816748.5675121264</v>
      </c>
      <c r="F55" s="40">
        <f t="shared" si="1"/>
        <v>675000</v>
      </c>
    </row>
    <row r="56" spans="3:6" x14ac:dyDescent="0.25">
      <c r="C56" t="s">
        <v>85</v>
      </c>
      <c r="D56" s="40">
        <f t="shared" si="2"/>
        <v>-150326.87907983173</v>
      </c>
      <c r="E56" s="40">
        <f t="shared" si="3"/>
        <v>-1967075.4465919582</v>
      </c>
      <c r="F56" s="40">
        <f t="shared" si="1"/>
        <v>675000</v>
      </c>
    </row>
    <row r="59" spans="3:6" x14ac:dyDescent="0.25">
      <c r="C59" s="18" t="s">
        <v>86</v>
      </c>
      <c r="D59" s="18" t="s">
        <v>87</v>
      </c>
    </row>
    <row r="60" spans="3:6" x14ac:dyDescent="0.25">
      <c r="C60" s="18" t="s">
        <v>88</v>
      </c>
      <c r="D60" s="18" t="s">
        <v>87</v>
      </c>
    </row>
  </sheetData>
  <phoneticPr fontId="1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E2FDF-8EAB-40FF-A472-14C46184670A}">
  <sheetPr>
    <tabColor rgb="FFFF0000"/>
  </sheetPr>
  <dimension ref="A2:E56"/>
  <sheetViews>
    <sheetView topLeftCell="A30" workbookViewId="0">
      <selection activeCell="E43" sqref="E43"/>
    </sheetView>
  </sheetViews>
  <sheetFormatPr defaultRowHeight="15" x14ac:dyDescent="0.25"/>
  <cols>
    <col min="2" max="2" width="27.140625" bestFit="1" customWidth="1"/>
    <col min="3" max="3" width="16.140625" bestFit="1" customWidth="1"/>
    <col min="4" max="4" width="13.5703125" customWidth="1"/>
    <col min="5" max="5" width="14.42578125" bestFit="1" customWidth="1"/>
    <col min="6" max="6" width="15" customWidth="1"/>
    <col min="7" max="7" width="4.5703125" customWidth="1"/>
    <col min="9" max="9" width="9.42578125" bestFit="1" customWidth="1"/>
    <col min="10" max="11" width="12.5703125" bestFit="1" customWidth="1"/>
    <col min="12" max="12" width="14.42578125" customWidth="1"/>
    <col min="13" max="13" width="22.42578125" bestFit="1" customWidth="1"/>
  </cols>
  <sheetData>
    <row r="2" spans="1:4" x14ac:dyDescent="0.25">
      <c r="B2" s="38" t="s">
        <v>89</v>
      </c>
    </row>
    <row r="4" spans="1:4" x14ac:dyDescent="0.25">
      <c r="B4" t="s">
        <v>35</v>
      </c>
      <c r="C4" s="41">
        <f>0.5*362</f>
        <v>181</v>
      </c>
      <c r="D4" t="s">
        <v>90</v>
      </c>
    </row>
    <row r="6" spans="1:4" x14ac:dyDescent="0.25">
      <c r="C6" t="s">
        <v>37</v>
      </c>
      <c r="D6" t="s">
        <v>91</v>
      </c>
    </row>
    <row r="7" spans="1:4" x14ac:dyDescent="0.25">
      <c r="A7">
        <v>1</v>
      </c>
      <c r="B7" t="s">
        <v>38</v>
      </c>
      <c r="C7" s="39">
        <v>0.9</v>
      </c>
      <c r="D7">
        <f>$C$4*C7</f>
        <v>162.9</v>
      </c>
    </row>
    <row r="8" spans="1:4" x14ac:dyDescent="0.25">
      <c r="A8">
        <v>2</v>
      </c>
      <c r="B8" t="s">
        <v>39</v>
      </c>
      <c r="C8" s="39">
        <v>0.75</v>
      </c>
      <c r="D8">
        <f t="shared" ref="D8:D11" si="0">$C$4*C8</f>
        <v>135.75</v>
      </c>
    </row>
    <row r="9" spans="1:4" x14ac:dyDescent="0.25">
      <c r="A9">
        <v>3</v>
      </c>
      <c r="B9" t="s">
        <v>40</v>
      </c>
      <c r="C9" s="39">
        <v>0.6</v>
      </c>
      <c r="D9">
        <f t="shared" si="0"/>
        <v>108.6</v>
      </c>
    </row>
    <row r="10" spans="1:4" x14ac:dyDescent="0.25">
      <c r="A10">
        <v>4</v>
      </c>
      <c r="B10" t="s">
        <v>41</v>
      </c>
      <c r="C10" s="39">
        <v>0.45</v>
      </c>
      <c r="D10">
        <f t="shared" si="0"/>
        <v>81.45</v>
      </c>
    </row>
    <row r="11" spans="1:4" x14ac:dyDescent="0.25">
      <c r="A11">
        <v>5</v>
      </c>
      <c r="B11" t="s">
        <v>42</v>
      </c>
      <c r="C11" s="39">
        <v>0.25</v>
      </c>
      <c r="D11">
        <f t="shared" si="0"/>
        <v>45.25</v>
      </c>
    </row>
    <row r="13" spans="1:4" x14ac:dyDescent="0.25">
      <c r="B13" t="s">
        <v>43</v>
      </c>
      <c r="C13" s="79">
        <f>AVERAGE(Matrix!D25:D28)</f>
        <v>14.5</v>
      </c>
      <c r="D13" s="341" t="s">
        <v>44</v>
      </c>
    </row>
    <row r="14" spans="1:4" x14ac:dyDescent="0.25">
      <c r="B14" t="s">
        <v>45</v>
      </c>
      <c r="C14" s="79">
        <v>1</v>
      </c>
      <c r="D14" s="341" t="s">
        <v>46</v>
      </c>
    </row>
    <row r="15" spans="1:4" x14ac:dyDescent="0.25">
      <c r="C15" s="79"/>
    </row>
    <row r="16" spans="1:4" x14ac:dyDescent="0.25">
      <c r="B16" t="s">
        <v>47</v>
      </c>
      <c r="C16" s="336">
        <f>C7</f>
        <v>0.9</v>
      </c>
      <c r="D16" s="341" t="s">
        <v>46</v>
      </c>
    </row>
    <row r="17" spans="2:4" x14ac:dyDescent="0.25">
      <c r="B17" t="s">
        <v>48</v>
      </c>
      <c r="C17" s="336">
        <f>-((C13-C14)/1)*(C8-C9)</f>
        <v>-2.0250000000000004</v>
      </c>
      <c r="D17" s="341" t="s">
        <v>49</v>
      </c>
    </row>
    <row r="18" spans="2:4" ht="15.75" thickBot="1" x14ac:dyDescent="0.3">
      <c r="B18" s="18" t="s">
        <v>50</v>
      </c>
      <c r="C18" s="337">
        <f>SUM(C16:C17)</f>
        <v>-1.1250000000000004</v>
      </c>
      <c r="D18" s="341"/>
    </row>
    <row r="19" spans="2:4" ht="15.75" thickTop="1" x14ac:dyDescent="0.25">
      <c r="C19" s="79"/>
      <c r="D19" s="341"/>
    </row>
    <row r="20" spans="2:4" x14ac:dyDescent="0.25">
      <c r="B20" s="38" t="s">
        <v>51</v>
      </c>
      <c r="C20" s="79"/>
      <c r="D20" s="341"/>
    </row>
    <row r="21" spans="2:4" x14ac:dyDescent="0.25">
      <c r="B21" t="s">
        <v>92</v>
      </c>
      <c r="C21" s="338">
        <f>'Key Data'!$B$25</f>
        <v>261</v>
      </c>
      <c r="D21" s="341" t="s">
        <v>53</v>
      </c>
    </row>
    <row r="22" spans="2:4" x14ac:dyDescent="0.25">
      <c r="B22" t="s">
        <v>93</v>
      </c>
      <c r="C22" s="338">
        <f>(C4*C18)*C21</f>
        <v>-53146.125000000022</v>
      </c>
      <c r="D22" s="341"/>
    </row>
    <row r="23" spans="2:4" x14ac:dyDescent="0.25">
      <c r="B23" t="s">
        <v>94</v>
      </c>
      <c r="C23" s="40">
        <v>1.4</v>
      </c>
      <c r="D23" s="341" t="s">
        <v>56</v>
      </c>
    </row>
    <row r="24" spans="2:4" x14ac:dyDescent="0.25">
      <c r="B24" t="s">
        <v>57</v>
      </c>
      <c r="C24" s="40">
        <f>C22*C23</f>
        <v>-74404.575000000026</v>
      </c>
      <c r="D24" s="341"/>
    </row>
    <row r="25" spans="2:4" x14ac:dyDescent="0.25">
      <c r="D25" s="341"/>
    </row>
    <row r="26" spans="2:4" x14ac:dyDescent="0.25">
      <c r="B26" s="38" t="s">
        <v>58</v>
      </c>
      <c r="C26" s="340"/>
      <c r="D26" s="341"/>
    </row>
    <row r="27" spans="2:4" x14ac:dyDescent="0.25">
      <c r="B27" t="s">
        <v>93</v>
      </c>
      <c r="C27" s="338">
        <f>($C$4*$C$21)</f>
        <v>47241</v>
      </c>
      <c r="D27" s="341"/>
    </row>
    <row r="28" spans="2:4" x14ac:dyDescent="0.25">
      <c r="B28" t="s">
        <v>94</v>
      </c>
      <c r="C28" s="40">
        <f>C23</f>
        <v>1.4</v>
      </c>
      <c r="D28" s="341" t="s">
        <v>59</v>
      </c>
    </row>
    <row r="29" spans="2:4" x14ac:dyDescent="0.25">
      <c r="B29" t="s">
        <v>57</v>
      </c>
      <c r="C29" s="40">
        <f>C27*C28</f>
        <v>66137.399999999994</v>
      </c>
      <c r="D29" s="341"/>
    </row>
    <row r="30" spans="2:4" x14ac:dyDescent="0.25">
      <c r="C30" s="338"/>
      <c r="D30" s="341"/>
    </row>
    <row r="31" spans="2:4" x14ac:dyDescent="0.25">
      <c r="B31" t="s">
        <v>60</v>
      </c>
      <c r="C31" s="40">
        <f>C27-C22</f>
        <v>100387.12500000003</v>
      </c>
      <c r="D31" s="341"/>
    </row>
    <row r="32" spans="2:4" x14ac:dyDescent="0.25">
      <c r="B32" t="s">
        <v>61</v>
      </c>
      <c r="C32" s="340">
        <v>0.05</v>
      </c>
      <c r="D32" s="341" t="s">
        <v>56</v>
      </c>
    </row>
    <row r="34" spans="2:5" x14ac:dyDescent="0.25">
      <c r="B34" t="s">
        <v>62</v>
      </c>
      <c r="C34" s="40">
        <f>SUM(Matrix!H25:H28)</f>
        <v>0</v>
      </c>
      <c r="D34" s="341" t="s">
        <v>44</v>
      </c>
    </row>
    <row r="36" spans="2:5" x14ac:dyDescent="0.25">
      <c r="C36" t="s">
        <v>63</v>
      </c>
      <c r="D36" t="s">
        <v>64</v>
      </c>
      <c r="E36" t="s">
        <v>65</v>
      </c>
    </row>
    <row r="37" spans="2:5" x14ac:dyDescent="0.25">
      <c r="B37" t="s">
        <v>66</v>
      </c>
      <c r="C37" s="40">
        <f>C31</f>
        <v>100387.12500000003</v>
      </c>
      <c r="D37" s="40">
        <f>C37</f>
        <v>100387.12500000003</v>
      </c>
      <c r="E37" s="40">
        <f t="shared" ref="E37:E56" si="1">$C$34</f>
        <v>0</v>
      </c>
    </row>
    <row r="38" spans="2:5" x14ac:dyDescent="0.25">
      <c r="B38" t="s">
        <v>67</v>
      </c>
      <c r="C38" s="40">
        <f>C37*(1+$C$32)</f>
        <v>105406.48125000004</v>
      </c>
      <c r="D38" s="40">
        <f>C38+D37</f>
        <v>205793.60625000007</v>
      </c>
      <c r="E38" s="40">
        <f t="shared" si="1"/>
        <v>0</v>
      </c>
    </row>
    <row r="39" spans="2:5" x14ac:dyDescent="0.25">
      <c r="B39" t="s">
        <v>68</v>
      </c>
      <c r="C39" s="40">
        <f t="shared" ref="C39:C56" si="2">C38*(1+$C$32)</f>
        <v>110676.80531250004</v>
      </c>
      <c r="D39" s="40">
        <f t="shared" ref="D39:D56" si="3">C39+D38</f>
        <v>316470.41156250011</v>
      </c>
      <c r="E39" s="40">
        <f t="shared" si="1"/>
        <v>0</v>
      </c>
    </row>
    <row r="40" spans="2:5" x14ac:dyDescent="0.25">
      <c r="B40" t="s">
        <v>69</v>
      </c>
      <c r="C40" s="40">
        <f t="shared" si="2"/>
        <v>116210.64557812506</v>
      </c>
      <c r="D40" s="40">
        <f t="shared" si="3"/>
        <v>432681.0571406252</v>
      </c>
      <c r="E40" s="40">
        <f t="shared" si="1"/>
        <v>0</v>
      </c>
    </row>
    <row r="41" spans="2:5" x14ac:dyDescent="0.25">
      <c r="B41" t="s">
        <v>70</v>
      </c>
      <c r="C41" s="40">
        <f t="shared" si="2"/>
        <v>122021.17785703132</v>
      </c>
      <c r="D41" s="40">
        <f t="shared" si="3"/>
        <v>554702.23499765655</v>
      </c>
      <c r="E41" s="40">
        <f t="shared" si="1"/>
        <v>0</v>
      </c>
    </row>
    <row r="42" spans="2:5" x14ac:dyDescent="0.25">
      <c r="B42" t="s">
        <v>71</v>
      </c>
      <c r="C42" s="40">
        <f t="shared" si="2"/>
        <v>128122.23674988288</v>
      </c>
      <c r="D42" s="40">
        <f t="shared" si="3"/>
        <v>682824.47174753947</v>
      </c>
      <c r="E42" s="40">
        <f t="shared" si="1"/>
        <v>0</v>
      </c>
    </row>
    <row r="43" spans="2:5" x14ac:dyDescent="0.25">
      <c r="B43" t="s">
        <v>72</v>
      </c>
      <c r="C43" s="40">
        <f t="shared" si="2"/>
        <v>134528.34858737703</v>
      </c>
      <c r="D43" s="40">
        <f t="shared" si="3"/>
        <v>817352.82033491647</v>
      </c>
      <c r="E43" s="40">
        <f t="shared" si="1"/>
        <v>0</v>
      </c>
    </row>
    <row r="44" spans="2:5" x14ac:dyDescent="0.25">
      <c r="B44" t="s">
        <v>73</v>
      </c>
      <c r="C44" s="40">
        <f t="shared" si="2"/>
        <v>141254.76601674588</v>
      </c>
      <c r="D44" s="40">
        <f t="shared" si="3"/>
        <v>958607.58635166241</v>
      </c>
      <c r="E44" s="40">
        <f t="shared" si="1"/>
        <v>0</v>
      </c>
    </row>
    <row r="45" spans="2:5" x14ac:dyDescent="0.25">
      <c r="B45" t="s">
        <v>74</v>
      </c>
      <c r="C45" s="40">
        <f t="shared" si="2"/>
        <v>148317.5043175832</v>
      </c>
      <c r="D45" s="40">
        <f t="shared" si="3"/>
        <v>1106925.0906692457</v>
      </c>
      <c r="E45" s="40">
        <f t="shared" si="1"/>
        <v>0</v>
      </c>
    </row>
    <row r="46" spans="2:5" x14ac:dyDescent="0.25">
      <c r="B46" t="s">
        <v>75</v>
      </c>
      <c r="C46" s="40">
        <f t="shared" si="2"/>
        <v>155733.37953346237</v>
      </c>
      <c r="D46" s="40">
        <f t="shared" si="3"/>
        <v>1262658.4702027082</v>
      </c>
      <c r="E46" s="40">
        <f t="shared" si="1"/>
        <v>0</v>
      </c>
    </row>
    <row r="47" spans="2:5" x14ac:dyDescent="0.25">
      <c r="B47" t="s">
        <v>76</v>
      </c>
      <c r="C47" s="40">
        <f t="shared" si="2"/>
        <v>163520.0485101355</v>
      </c>
      <c r="D47" s="40">
        <f t="shared" si="3"/>
        <v>1426178.5187128438</v>
      </c>
      <c r="E47" s="40">
        <f t="shared" si="1"/>
        <v>0</v>
      </c>
    </row>
    <row r="48" spans="2:5" x14ac:dyDescent="0.25">
      <c r="B48" t="s">
        <v>77</v>
      </c>
      <c r="C48" s="40">
        <f t="shared" si="2"/>
        <v>171696.05093564227</v>
      </c>
      <c r="D48" s="40">
        <f t="shared" si="3"/>
        <v>1597874.5696484861</v>
      </c>
      <c r="E48" s="40">
        <f t="shared" si="1"/>
        <v>0</v>
      </c>
    </row>
    <row r="49" spans="2:5" x14ac:dyDescent="0.25">
      <c r="B49" t="s">
        <v>78</v>
      </c>
      <c r="C49" s="40">
        <f t="shared" si="2"/>
        <v>180280.8534824244</v>
      </c>
      <c r="D49" s="40">
        <f t="shared" si="3"/>
        <v>1778155.4231309104</v>
      </c>
      <c r="E49" s="40">
        <f t="shared" si="1"/>
        <v>0</v>
      </c>
    </row>
    <row r="50" spans="2:5" x14ac:dyDescent="0.25">
      <c r="B50" t="s">
        <v>79</v>
      </c>
      <c r="C50" s="40">
        <f t="shared" si="2"/>
        <v>189294.89615654561</v>
      </c>
      <c r="D50" s="40">
        <f t="shared" si="3"/>
        <v>1967450.3192874561</v>
      </c>
      <c r="E50" s="40">
        <f t="shared" si="1"/>
        <v>0</v>
      </c>
    </row>
    <row r="51" spans="2:5" x14ac:dyDescent="0.25">
      <c r="B51" t="s">
        <v>80</v>
      </c>
      <c r="C51" s="40">
        <f t="shared" si="2"/>
        <v>198759.6409643729</v>
      </c>
      <c r="D51" s="40">
        <f t="shared" si="3"/>
        <v>2166209.9602518291</v>
      </c>
      <c r="E51" s="40">
        <f t="shared" si="1"/>
        <v>0</v>
      </c>
    </row>
    <row r="52" spans="2:5" x14ac:dyDescent="0.25">
      <c r="B52" t="s">
        <v>81</v>
      </c>
      <c r="C52" s="40">
        <f t="shared" si="2"/>
        <v>208697.62301259156</v>
      </c>
      <c r="D52" s="40">
        <f t="shared" si="3"/>
        <v>2374907.5832644207</v>
      </c>
      <c r="E52" s="40">
        <f t="shared" si="1"/>
        <v>0</v>
      </c>
    </row>
    <row r="53" spans="2:5" x14ac:dyDescent="0.25">
      <c r="B53" t="s">
        <v>82</v>
      </c>
      <c r="C53" s="40">
        <f t="shared" si="2"/>
        <v>219132.50416322114</v>
      </c>
      <c r="D53" s="40">
        <f t="shared" si="3"/>
        <v>2594040.0874276417</v>
      </c>
      <c r="E53" s="40">
        <f t="shared" si="1"/>
        <v>0</v>
      </c>
    </row>
    <row r="54" spans="2:5" x14ac:dyDescent="0.25">
      <c r="B54" t="s">
        <v>83</v>
      </c>
      <c r="C54" s="40">
        <f t="shared" si="2"/>
        <v>230089.12937138221</v>
      </c>
      <c r="D54" s="40">
        <f t="shared" si="3"/>
        <v>2824129.216799024</v>
      </c>
      <c r="E54" s="40">
        <f t="shared" si="1"/>
        <v>0</v>
      </c>
    </row>
    <row r="55" spans="2:5" x14ac:dyDescent="0.25">
      <c r="B55" t="s">
        <v>84</v>
      </c>
      <c r="C55" s="40">
        <f t="shared" si="2"/>
        <v>241593.58583995132</v>
      </c>
      <c r="D55" s="40">
        <f t="shared" si="3"/>
        <v>3065722.8026389754</v>
      </c>
      <c r="E55" s="40">
        <f t="shared" si="1"/>
        <v>0</v>
      </c>
    </row>
    <row r="56" spans="2:5" x14ac:dyDescent="0.25">
      <c r="B56" t="s">
        <v>85</v>
      </c>
      <c r="C56" s="40">
        <f t="shared" si="2"/>
        <v>253673.26513194889</v>
      </c>
      <c r="D56" s="40">
        <f t="shared" si="3"/>
        <v>3319396.0677709244</v>
      </c>
      <c r="E56" s="40">
        <f t="shared" si="1"/>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724FF-3CCD-49D7-AD39-97138C969885}">
  <sheetPr>
    <tabColor rgb="FFFFFF00"/>
    <pageSetUpPr fitToPage="1"/>
  </sheetPr>
  <dimension ref="A1:N41"/>
  <sheetViews>
    <sheetView view="pageBreakPreview" zoomScaleNormal="70" zoomScaleSheetLayoutView="100" workbookViewId="0">
      <pane ySplit="6" topLeftCell="A12" activePane="bottomLeft" state="frozen"/>
      <selection activeCell="A13" sqref="A13"/>
      <selection pane="bottomLeft" activeCell="A4" sqref="A4"/>
    </sheetView>
  </sheetViews>
  <sheetFormatPr defaultRowHeight="15" x14ac:dyDescent="0.25"/>
  <cols>
    <col min="1" max="1" width="19.5703125" customWidth="1"/>
    <col min="2" max="2" width="36.42578125" customWidth="1"/>
    <col min="3" max="4" width="11.42578125" style="2" customWidth="1"/>
    <col min="5" max="6" width="14.5703125" style="2" customWidth="1"/>
    <col min="7" max="8" width="14.5703125" style="2" hidden="1" customWidth="1"/>
    <col min="9" max="10" width="43.42578125" hidden="1" customWidth="1"/>
    <col min="11" max="11" width="11.5703125" hidden="1" customWidth="1"/>
    <col min="12" max="12" width="9.5703125" hidden="1" customWidth="1"/>
    <col min="13" max="13" width="7.85546875" hidden="1" customWidth="1"/>
    <col min="14" max="14" width="0" hidden="1" customWidth="1"/>
  </cols>
  <sheetData>
    <row r="1" spans="1:13" ht="18" customHeight="1" x14ac:dyDescent="0.25">
      <c r="A1" s="12" t="s">
        <v>95</v>
      </c>
      <c r="B1" s="12"/>
      <c r="C1" s="8"/>
      <c r="D1" s="8"/>
      <c r="E1" s="8"/>
      <c r="F1" s="8"/>
      <c r="G1" s="8"/>
      <c r="H1" s="8"/>
      <c r="I1" s="3"/>
      <c r="J1" s="3"/>
      <c r="K1" s="3"/>
      <c r="L1" s="3"/>
    </row>
    <row r="2" spans="1:13" ht="18" customHeight="1" x14ac:dyDescent="0.25">
      <c r="A2" s="13">
        <v>45468</v>
      </c>
      <c r="B2" s="13"/>
      <c r="C2" s="8"/>
      <c r="D2" s="8"/>
      <c r="E2" s="8"/>
      <c r="F2" s="8"/>
      <c r="G2" s="8"/>
      <c r="H2" s="8"/>
      <c r="I2" s="342"/>
      <c r="J2" s="343"/>
      <c r="K2" s="3"/>
      <c r="L2" s="3"/>
    </row>
    <row r="3" spans="1:13" ht="8.25" customHeight="1" x14ac:dyDescent="0.25">
      <c r="A3" s="10"/>
      <c r="B3" s="10"/>
      <c r="C3" s="8"/>
      <c r="D3" s="8"/>
      <c r="E3" s="8"/>
      <c r="F3" s="8"/>
      <c r="G3" s="8"/>
      <c r="H3" s="8"/>
      <c r="I3" s="3"/>
      <c r="J3" s="3"/>
      <c r="K3" s="3"/>
      <c r="L3" s="3"/>
    </row>
    <row r="4" spans="1:13" ht="18" customHeight="1" x14ac:dyDescent="0.25">
      <c r="A4" s="12" t="s">
        <v>96</v>
      </c>
      <c r="B4" s="12"/>
      <c r="C4" s="8"/>
      <c r="D4" s="8"/>
      <c r="E4" s="8"/>
      <c r="F4" s="8"/>
      <c r="G4" s="8"/>
      <c r="H4" s="8"/>
      <c r="I4" s="78" t="s">
        <v>97</v>
      </c>
      <c r="J4" s="78"/>
      <c r="K4" s="3"/>
      <c r="L4" s="3"/>
    </row>
    <row r="5" spans="1:13" x14ac:dyDescent="0.25">
      <c r="A5" s="15" t="s">
        <v>98</v>
      </c>
      <c r="B5" s="15"/>
      <c r="C5" s="8"/>
      <c r="D5" s="8"/>
      <c r="E5" s="8"/>
      <c r="F5" s="8"/>
      <c r="G5" s="8"/>
      <c r="H5" s="8"/>
      <c r="I5" s="3"/>
      <c r="J5" s="3"/>
      <c r="K5" s="3"/>
      <c r="L5" s="3"/>
    </row>
    <row r="6" spans="1:13" x14ac:dyDescent="0.25">
      <c r="A6" s="15" t="s">
        <v>99</v>
      </c>
      <c r="B6" s="15"/>
      <c r="C6" s="8"/>
      <c r="D6" s="8"/>
      <c r="E6" s="8"/>
      <c r="F6" s="8"/>
      <c r="G6" s="8"/>
      <c r="H6" s="8"/>
      <c r="I6" s="3"/>
      <c r="J6" s="3"/>
      <c r="K6" s="3"/>
      <c r="L6" s="3"/>
    </row>
    <row r="7" spans="1:13" ht="8.25" customHeight="1" x14ac:dyDescent="0.25">
      <c r="A7" s="11"/>
      <c r="B7" s="11"/>
      <c r="C7" s="8"/>
      <c r="D7" s="8"/>
      <c r="E7" s="8"/>
      <c r="F7" s="8"/>
      <c r="G7" s="8"/>
      <c r="H7" s="8"/>
      <c r="I7" s="3"/>
      <c r="J7" s="3"/>
      <c r="K7" s="3"/>
      <c r="L7" s="3"/>
    </row>
    <row r="8" spans="1:13" x14ac:dyDescent="0.25">
      <c r="A8" s="12" t="s">
        <v>100</v>
      </c>
      <c r="B8" s="12"/>
      <c r="C8" s="8"/>
      <c r="D8" s="8"/>
      <c r="E8" s="8"/>
      <c r="F8" s="8"/>
      <c r="G8" s="8"/>
      <c r="H8" s="8"/>
      <c r="I8" s="3"/>
      <c r="J8" s="3"/>
      <c r="K8" s="3" t="s">
        <v>101</v>
      </c>
      <c r="L8" s="3"/>
    </row>
    <row r="9" spans="1:13" ht="8.25" customHeight="1" thickBot="1" x14ac:dyDescent="0.3">
      <c r="A9" s="9"/>
      <c r="B9" s="9"/>
      <c r="C9" s="8"/>
      <c r="D9" s="8"/>
      <c r="E9" s="8"/>
      <c r="F9" s="8"/>
      <c r="G9" s="8"/>
      <c r="H9" s="8"/>
      <c r="I9" s="3"/>
      <c r="J9" s="3"/>
      <c r="K9" s="3"/>
      <c r="L9" s="3"/>
    </row>
    <row r="10" spans="1:13" s="7" customFormat="1" ht="18.75" x14ac:dyDescent="0.25">
      <c r="A10" s="1025" t="s">
        <v>102</v>
      </c>
      <c r="B10" s="1027" t="s">
        <v>103</v>
      </c>
      <c r="C10" s="1029" t="s">
        <v>104</v>
      </c>
      <c r="D10" s="1029" t="s">
        <v>105</v>
      </c>
      <c r="E10" s="1023" t="s">
        <v>106</v>
      </c>
      <c r="F10" s="1024"/>
      <c r="G10" s="1021" t="s">
        <v>107</v>
      </c>
      <c r="H10" s="1021" t="s">
        <v>108</v>
      </c>
      <c r="I10" s="6" t="s">
        <v>109</v>
      </c>
      <c r="J10" s="6"/>
      <c r="K10" s="6" t="s">
        <v>110</v>
      </c>
      <c r="L10" s="5" t="s">
        <v>111</v>
      </c>
      <c r="M10" s="5" t="s">
        <v>112</v>
      </c>
    </row>
    <row r="11" spans="1:13" s="7" customFormat="1" ht="18.75" x14ac:dyDescent="0.25">
      <c r="A11" s="1026"/>
      <c r="B11" s="1028"/>
      <c r="C11" s="1030"/>
      <c r="D11" s="1030"/>
      <c r="E11" s="652" t="s">
        <v>113</v>
      </c>
      <c r="F11" s="652" t="s">
        <v>114</v>
      </c>
      <c r="G11" s="1022"/>
      <c r="H11" s="1022"/>
      <c r="I11" s="653"/>
      <c r="J11" s="653"/>
      <c r="K11" s="653"/>
      <c r="L11" s="654"/>
      <c r="M11" s="653"/>
    </row>
    <row r="12" spans="1:13" s="2" customFormat="1" ht="15.75" customHeight="1" x14ac:dyDescent="0.25">
      <c r="A12" s="1012" t="s">
        <v>115</v>
      </c>
      <c r="B12" s="51" t="s">
        <v>116</v>
      </c>
      <c r="C12" s="80">
        <f>'Detailed Matrix'!R4</f>
        <v>82</v>
      </c>
      <c r="D12" s="80">
        <f>'Detailed Matrix'!S4</f>
        <v>54</v>
      </c>
      <c r="E12" s="52">
        <f>'Detailed Matrix'!U4</f>
        <v>166000</v>
      </c>
      <c r="F12" s="52">
        <f>'Detailed Matrix'!V4</f>
        <v>208000</v>
      </c>
      <c r="G12" s="52"/>
      <c r="H12" s="52"/>
      <c r="I12" s="75"/>
      <c r="J12" s="75"/>
      <c r="K12" s="75"/>
      <c r="L12" s="76"/>
    </row>
    <row r="13" spans="1:13" s="2" customFormat="1" ht="15.75" customHeight="1" x14ac:dyDescent="0.25">
      <c r="A13" s="1012"/>
      <c r="B13" s="53" t="s">
        <v>117</v>
      </c>
      <c r="C13" s="81">
        <f>'Detailed Matrix'!R16</f>
        <v>142</v>
      </c>
      <c r="D13" s="81">
        <f>'Detailed Matrix'!S16</f>
        <v>24</v>
      </c>
      <c r="E13" s="52">
        <f>'Detailed Matrix'!U16</f>
        <v>675000</v>
      </c>
      <c r="F13" s="52">
        <f>'Detailed Matrix'!V16</f>
        <v>1335000</v>
      </c>
      <c r="G13" s="52"/>
      <c r="H13" s="52"/>
      <c r="I13" s="75"/>
      <c r="J13" s="75"/>
      <c r="K13" s="75"/>
      <c r="L13" s="76"/>
    </row>
    <row r="14" spans="1:13" s="2" customFormat="1" ht="15.75" customHeight="1" x14ac:dyDescent="0.25">
      <c r="A14" s="1012"/>
      <c r="B14" s="53" t="s">
        <v>118</v>
      </c>
      <c r="C14" s="81">
        <f>'Detailed Matrix'!R85</f>
        <v>0</v>
      </c>
      <c r="D14" s="81">
        <f>'Detailed Matrix'!S85</f>
        <v>0</v>
      </c>
      <c r="E14" s="52">
        <f>'Detailed Matrix'!U85</f>
        <v>0</v>
      </c>
      <c r="F14" s="52">
        <f>'Detailed Matrix'!V85</f>
        <v>0</v>
      </c>
      <c r="G14" s="52"/>
      <c r="H14" s="52"/>
      <c r="K14" s="75"/>
      <c r="L14" s="76"/>
    </row>
    <row r="15" spans="1:13" s="2" customFormat="1" ht="15.75" customHeight="1" x14ac:dyDescent="0.25">
      <c r="A15" s="1012"/>
      <c r="B15" s="53" t="s">
        <v>119</v>
      </c>
      <c r="C15" s="81">
        <f>'Detailed Matrix'!R89</f>
        <v>0</v>
      </c>
      <c r="D15" s="81">
        <f>'Detailed Matrix'!S89</f>
        <v>0</v>
      </c>
      <c r="E15" s="52">
        <f>'Detailed Matrix'!U89</f>
        <v>0</v>
      </c>
      <c r="F15" s="52">
        <f>'Detailed Matrix'!V89</f>
        <v>0</v>
      </c>
      <c r="G15" s="52"/>
      <c r="H15" s="52"/>
      <c r="K15" s="75"/>
      <c r="L15" s="76"/>
      <c r="M15" s="77"/>
    </row>
    <row r="16" spans="1:13" s="2" customFormat="1" ht="15.75" customHeight="1" x14ac:dyDescent="0.25">
      <c r="A16" s="1012"/>
      <c r="B16" s="53" t="s">
        <v>120</v>
      </c>
      <c r="C16" s="81">
        <f>'Detailed Matrix'!R93</f>
        <v>56</v>
      </c>
      <c r="D16" s="81">
        <f>'Detailed Matrix'!S93</f>
        <v>0</v>
      </c>
      <c r="E16" s="52">
        <f>'Detailed Matrix'!U93</f>
        <v>0</v>
      </c>
      <c r="F16" s="52">
        <f>'Detailed Matrix'!V93</f>
        <v>0</v>
      </c>
      <c r="G16" s="52"/>
      <c r="H16" s="52"/>
      <c r="K16" s="75"/>
      <c r="L16" s="76"/>
    </row>
    <row r="17" spans="1:8" s="2" customFormat="1" ht="15.75" customHeight="1" thickBot="1" x14ac:dyDescent="0.3">
      <c r="A17" s="50"/>
      <c r="B17" s="918" t="str">
        <f>'Detailed Matrix'!C102</f>
        <v>Construction Activity Emissions</v>
      </c>
      <c r="C17" s="82">
        <f>'Detailed Matrix'!R102</f>
        <v>18</v>
      </c>
      <c r="D17" s="82">
        <f>'Detailed Matrix'!S102</f>
        <v>10</v>
      </c>
      <c r="E17" s="54">
        <f>'Detailed Matrix'!U102</f>
        <v>0</v>
      </c>
      <c r="F17" s="54">
        <f>'Detailed Matrix'!V102</f>
        <v>363000</v>
      </c>
      <c r="G17" s="54"/>
      <c r="H17" s="54"/>
    </row>
    <row r="18" spans="1:8" s="2" customFormat="1" ht="15.75" customHeight="1" thickTop="1" x14ac:dyDescent="0.25">
      <c r="A18" s="1013" t="s">
        <v>121</v>
      </c>
      <c r="B18" s="55" t="s">
        <v>122</v>
      </c>
      <c r="C18" s="83">
        <f>'Detailed Matrix'!R106</f>
        <v>56</v>
      </c>
      <c r="D18" s="83">
        <f>'Detailed Matrix'!S106</f>
        <v>0</v>
      </c>
      <c r="E18" s="56">
        <f>'Detailed Matrix'!U106</f>
        <v>0</v>
      </c>
      <c r="F18" s="56">
        <f>'Detailed Matrix'!V106</f>
        <v>0</v>
      </c>
      <c r="G18" s="56"/>
      <c r="H18" s="56"/>
    </row>
    <row r="19" spans="1:8" s="2" customFormat="1" ht="15.75" customHeight="1" x14ac:dyDescent="0.25">
      <c r="A19" s="1014"/>
      <c r="B19" s="57" t="s">
        <v>123</v>
      </c>
      <c r="C19" s="84">
        <f>'Detailed Matrix'!R116</f>
        <v>70</v>
      </c>
      <c r="D19" s="84">
        <f>'Detailed Matrix'!S116</f>
        <v>0</v>
      </c>
      <c r="E19" s="58">
        <f>'Detailed Matrix'!U116</f>
        <v>0</v>
      </c>
      <c r="F19" s="58">
        <f>'Detailed Matrix'!V116</f>
        <v>0</v>
      </c>
      <c r="G19" s="58"/>
      <c r="H19" s="58"/>
    </row>
    <row r="20" spans="1:8" s="2" customFormat="1" ht="15.75" customHeight="1" x14ac:dyDescent="0.25">
      <c r="A20" s="1014"/>
      <c r="B20" s="57" t="s">
        <v>124</v>
      </c>
      <c r="C20" s="84">
        <f>'Detailed Matrix'!R123</f>
        <v>50</v>
      </c>
      <c r="D20" s="84">
        <f>'Detailed Matrix'!S123</f>
        <v>0</v>
      </c>
      <c r="E20" s="58">
        <f>'Detailed Matrix'!U123</f>
        <v>0</v>
      </c>
      <c r="F20" s="58">
        <f>'Detailed Matrix'!V123</f>
        <v>0</v>
      </c>
      <c r="G20" s="58"/>
      <c r="H20" s="58"/>
    </row>
    <row r="21" spans="1:8" s="2" customFormat="1" ht="15.75" customHeight="1" x14ac:dyDescent="0.25">
      <c r="A21" s="1014"/>
      <c r="B21" s="57" t="s">
        <v>125</v>
      </c>
      <c r="C21" s="84">
        <f>'Detailed Matrix'!R132</f>
        <v>84</v>
      </c>
      <c r="D21" s="84">
        <f>'Detailed Matrix'!S132</f>
        <v>0</v>
      </c>
      <c r="E21" s="58">
        <f>'Detailed Matrix'!U132</f>
        <v>0</v>
      </c>
      <c r="F21" s="58">
        <f>'Detailed Matrix'!V132</f>
        <v>0</v>
      </c>
      <c r="G21" s="58"/>
      <c r="H21" s="58"/>
    </row>
    <row r="22" spans="1:8" s="2" customFormat="1" ht="15.75" customHeight="1" x14ac:dyDescent="0.25">
      <c r="A22" s="1014"/>
      <c r="B22" s="57" t="s">
        <v>126</v>
      </c>
      <c r="C22" s="84">
        <f>'Detailed Matrix'!R145</f>
        <v>48</v>
      </c>
      <c r="D22" s="84">
        <f>'Detailed Matrix'!S145</f>
        <v>0</v>
      </c>
      <c r="E22" s="70">
        <f>'Detailed Matrix'!U145</f>
        <v>0</v>
      </c>
      <c r="F22" s="70">
        <f>'Detailed Matrix'!V145</f>
        <v>0</v>
      </c>
      <c r="G22" s="70"/>
      <c r="H22" s="70"/>
    </row>
    <row r="23" spans="1:8" s="2" customFormat="1" ht="15.75" customHeight="1" x14ac:dyDescent="0.25">
      <c r="A23" s="1014"/>
      <c r="B23" s="57" t="s">
        <v>127</v>
      </c>
      <c r="C23" s="84">
        <f>'Detailed Matrix'!R151</f>
        <v>105</v>
      </c>
      <c r="D23" s="84">
        <f>'Detailed Matrix'!S151</f>
        <v>0</v>
      </c>
      <c r="E23" s="70">
        <f>'Detailed Matrix'!U151</f>
        <v>0</v>
      </c>
      <c r="F23" s="70">
        <f>'Detailed Matrix'!V151</f>
        <v>0</v>
      </c>
      <c r="G23" s="70"/>
      <c r="H23" s="70"/>
    </row>
    <row r="24" spans="1:8" s="2" customFormat="1" ht="15.75" customHeight="1" thickBot="1" x14ac:dyDescent="0.3">
      <c r="A24" s="1015"/>
      <c r="B24" s="59" t="s">
        <v>128</v>
      </c>
      <c r="C24" s="85">
        <f>'Detailed Matrix'!R165</f>
        <v>32</v>
      </c>
      <c r="D24" s="85">
        <f>'Detailed Matrix'!S165</f>
        <v>8</v>
      </c>
      <c r="E24" s="71">
        <f>'Detailed Matrix'!U165</f>
        <v>57000</v>
      </c>
      <c r="F24" s="71">
        <f>'Detailed Matrix'!V165</f>
        <v>190000</v>
      </c>
      <c r="G24" s="71"/>
      <c r="H24" s="71"/>
    </row>
    <row r="25" spans="1:8" s="2" customFormat="1" ht="15.75" customHeight="1" thickTop="1" x14ac:dyDescent="0.25">
      <c r="A25" s="1016" t="s">
        <v>89</v>
      </c>
      <c r="B25" s="60" t="str">
        <f>'Detailed Matrix'!C173</f>
        <v>Water Efficiency</v>
      </c>
      <c r="C25" s="86">
        <f>'Detailed Matrix'!R173</f>
        <v>40</v>
      </c>
      <c r="D25" s="86">
        <f>'Detailed Matrix'!S173</f>
        <v>30</v>
      </c>
      <c r="E25" s="72">
        <f>'Detailed Matrix'!U173</f>
        <v>199000</v>
      </c>
      <c r="F25" s="72">
        <f>'Detailed Matrix'!V173</f>
        <v>398000</v>
      </c>
      <c r="G25" s="72"/>
      <c r="H25" s="72"/>
    </row>
    <row r="26" spans="1:8" s="2" customFormat="1" ht="15.75" customHeight="1" x14ac:dyDescent="0.25">
      <c r="A26" s="1016"/>
      <c r="B26" s="61" t="str">
        <f>'Detailed Matrix'!C178</f>
        <v>Water Recycling &amp; Reuse</v>
      </c>
      <c r="C26" s="87">
        <f>'Detailed Matrix'!R178</f>
        <v>48</v>
      </c>
      <c r="D26" s="87">
        <f>'Detailed Matrix'!S178</f>
        <v>10</v>
      </c>
      <c r="E26" s="73">
        <f>'Detailed Matrix'!U178</f>
        <v>73000</v>
      </c>
      <c r="F26" s="73">
        <f>'Detailed Matrix'!V178</f>
        <v>726000</v>
      </c>
      <c r="G26" s="73"/>
      <c r="H26" s="73"/>
    </row>
    <row r="27" spans="1:8" s="2" customFormat="1" ht="15.75" customHeight="1" x14ac:dyDescent="0.25">
      <c r="A27" s="1016"/>
      <c r="B27" s="61" t="str">
        <f>'Detailed Matrix'!C189</f>
        <v>Monitoring &amp; Feedback</v>
      </c>
      <c r="C27" s="87">
        <f>'Detailed Matrix'!R189</f>
        <v>28</v>
      </c>
      <c r="D27" s="87">
        <f>'Detailed Matrix'!S189</f>
        <v>18</v>
      </c>
      <c r="E27" s="73">
        <f>'Detailed Matrix'!U189</f>
        <v>160000</v>
      </c>
      <c r="F27" s="73">
        <f>'Detailed Matrix'!V189</f>
        <v>400000</v>
      </c>
      <c r="G27" s="73"/>
      <c r="H27" s="73"/>
    </row>
    <row r="28" spans="1:8" s="2" customFormat="1" ht="15.75" customHeight="1" thickBot="1" x14ac:dyDescent="0.3">
      <c r="A28" s="1016"/>
      <c r="B28" s="62" t="str">
        <f>'Detailed Matrix'!C194</f>
        <v>Outdoor Water Use</v>
      </c>
      <c r="C28" s="88">
        <f>'Detailed Matrix'!R194</f>
        <v>23</v>
      </c>
      <c r="D28" s="88">
        <f>'Detailed Matrix'!S194</f>
        <v>0</v>
      </c>
      <c r="E28" s="74">
        <f>'Detailed Matrix'!U194</f>
        <v>0</v>
      </c>
      <c r="F28" s="74">
        <f>'Detailed Matrix'!V194</f>
        <v>0</v>
      </c>
      <c r="G28" s="74"/>
      <c r="H28" s="74"/>
    </row>
    <row r="29" spans="1:8" s="2" customFormat="1" ht="15.75" customHeight="1" thickTop="1" x14ac:dyDescent="0.25">
      <c r="A29" s="1017" t="s">
        <v>129</v>
      </c>
      <c r="B29" s="63" t="s">
        <v>130</v>
      </c>
      <c r="C29" s="89">
        <f>'Detailed Matrix'!R199</f>
        <v>54</v>
      </c>
      <c r="D29" s="89">
        <f>'Detailed Matrix'!S199</f>
        <v>4</v>
      </c>
      <c r="E29" s="64">
        <f>'Detailed Matrix'!U199</f>
        <v>4000</v>
      </c>
      <c r="F29" s="64">
        <f>'Detailed Matrix'!V199</f>
        <v>7000</v>
      </c>
      <c r="G29" s="64"/>
      <c r="H29" s="64"/>
    </row>
    <row r="30" spans="1:8" s="2" customFormat="1" ht="15.75" customHeight="1" x14ac:dyDescent="0.25">
      <c r="A30" s="1018"/>
      <c r="B30" s="65" t="s">
        <v>131</v>
      </c>
      <c r="C30" s="90">
        <f>'Detailed Matrix'!R207</f>
        <v>2</v>
      </c>
      <c r="D30" s="90">
        <f>'Detailed Matrix'!S207</f>
        <v>2</v>
      </c>
      <c r="E30" s="66">
        <f>'Detailed Matrix'!U207</f>
        <v>0</v>
      </c>
      <c r="F30" s="66">
        <f>'Detailed Matrix'!V207</f>
        <v>7000</v>
      </c>
      <c r="G30" s="66"/>
      <c r="H30" s="66"/>
    </row>
    <row r="31" spans="1:8" s="2" customFormat="1" ht="15.75" customHeight="1" thickBot="1" x14ac:dyDescent="0.3">
      <c r="A31" s="1019"/>
      <c r="B31" s="921" t="s">
        <v>132</v>
      </c>
      <c r="C31" s="922">
        <f>'Detailed Matrix'!R215</f>
        <v>28</v>
      </c>
      <c r="D31" s="922">
        <f>'Detailed Matrix'!S215</f>
        <v>4</v>
      </c>
      <c r="E31" s="923">
        <f>'Detailed Matrix'!U215</f>
        <v>4000</v>
      </c>
      <c r="F31" s="923">
        <f>'Detailed Matrix'!V215</f>
        <v>15000</v>
      </c>
      <c r="G31" s="66"/>
      <c r="H31" s="66"/>
    </row>
    <row r="32" spans="1:8" s="2" customFormat="1" ht="15.75" customHeight="1" thickTop="1" x14ac:dyDescent="0.25">
      <c r="A32" s="1020" t="s">
        <v>133</v>
      </c>
      <c r="B32" s="67" t="s">
        <v>134</v>
      </c>
      <c r="C32" s="91">
        <f>'Detailed Matrix'!R220</f>
        <v>10</v>
      </c>
      <c r="D32" s="91">
        <f>'Detailed Matrix'!S220</f>
        <v>18</v>
      </c>
      <c r="E32" s="68">
        <f>'Detailed Matrix'!U220</f>
        <v>15000</v>
      </c>
      <c r="F32" s="68">
        <f>'Detailed Matrix'!V220</f>
        <v>22000</v>
      </c>
      <c r="G32" s="68"/>
      <c r="H32" s="68"/>
    </row>
    <row r="33" spans="1:14" s="2" customFormat="1" ht="15.75" customHeight="1" thickBot="1" x14ac:dyDescent="0.3">
      <c r="A33" s="1020"/>
      <c r="B33" s="69" t="s">
        <v>135</v>
      </c>
      <c r="C33" s="92">
        <f>'Detailed Matrix'!R224</f>
        <v>87</v>
      </c>
      <c r="D33" s="92">
        <f>'Detailed Matrix'!S224</f>
        <v>50</v>
      </c>
      <c r="E33" s="68">
        <f>'Detailed Matrix'!U224</f>
        <v>29000</v>
      </c>
      <c r="F33" s="68">
        <f>'Detailed Matrix'!V224</f>
        <v>55000</v>
      </c>
      <c r="G33" s="68"/>
      <c r="H33" s="68"/>
      <c r="K33" s="75"/>
      <c r="L33" s="76"/>
    </row>
    <row r="34" spans="1:14" s="2" customFormat="1" ht="15.75" customHeight="1" thickTop="1" thickBot="1" x14ac:dyDescent="0.3">
      <c r="A34" s="266" t="s">
        <v>136</v>
      </c>
      <c r="B34" s="267" t="str">
        <f>'Detailed Matrix'!C232</f>
        <v>Construction &amp; Evaluation</v>
      </c>
      <c r="C34" s="268">
        <f>'Detailed Matrix'!R232</f>
        <v>28</v>
      </c>
      <c r="D34" s="268">
        <f>'Detailed Matrix'!S232</f>
        <v>12</v>
      </c>
      <c r="E34" s="269">
        <f>'Detailed Matrix'!U232</f>
        <v>15000</v>
      </c>
      <c r="F34" s="269">
        <f>'Detailed Matrix'!V232</f>
        <v>36000</v>
      </c>
      <c r="G34" s="269"/>
      <c r="H34" s="269"/>
      <c r="K34" s="75"/>
      <c r="L34" s="76"/>
    </row>
    <row r="35" spans="1:14" s="2" customFormat="1" ht="15.75" customHeight="1" thickTop="1" thickBot="1" x14ac:dyDescent="0.3">
      <c r="A35" s="1011" t="s">
        <v>137</v>
      </c>
      <c r="B35" s="270" t="s">
        <v>138</v>
      </c>
      <c r="C35" s="271">
        <f>'Detailed Matrix'!R237</f>
        <v>20</v>
      </c>
      <c r="D35" s="271">
        <f>'Detailed Matrix'!S237</f>
        <v>20</v>
      </c>
      <c r="E35" s="272">
        <f>'Detailed Matrix'!U237</f>
        <v>13000</v>
      </c>
      <c r="F35" s="272">
        <f>'Detailed Matrix'!V237</f>
        <v>47000</v>
      </c>
      <c r="G35" s="272"/>
      <c r="H35" s="272"/>
      <c r="K35" s="75"/>
      <c r="L35" s="76"/>
    </row>
    <row r="36" spans="1:14" ht="15.75" thickBot="1" x14ac:dyDescent="0.3"/>
    <row r="37" spans="1:14" hidden="1" x14ac:dyDescent="0.25">
      <c r="B37" s="93" t="s">
        <v>139</v>
      </c>
      <c r="H37" s="2" t="s">
        <v>140</v>
      </c>
    </row>
    <row r="38" spans="1:14" hidden="1" x14ac:dyDescent="0.25"/>
    <row r="39" spans="1:14" hidden="1" x14ac:dyDescent="0.25">
      <c r="B39" s="93" t="s">
        <v>141</v>
      </c>
      <c r="H39" s="94">
        <f>SUM(H12:H38)</f>
        <v>0</v>
      </c>
    </row>
    <row r="40" spans="1:14" hidden="1" x14ac:dyDescent="0.25"/>
    <row r="41" spans="1:14" ht="15.75" thickBot="1" x14ac:dyDescent="0.3">
      <c r="E41" s="920">
        <f>SUM(E12:E35)</f>
        <v>1410000</v>
      </c>
      <c r="F41" s="920">
        <f>SUM(F12:F35)</f>
        <v>3809000</v>
      </c>
      <c r="G41" s="919">
        <f t="shared" ref="G41:N41" si="0">SUM(G12:G35)</f>
        <v>0</v>
      </c>
      <c r="H41" s="919">
        <f t="shared" si="0"/>
        <v>0</v>
      </c>
      <c r="I41" s="919">
        <f t="shared" si="0"/>
        <v>0</v>
      </c>
      <c r="J41" s="919">
        <f t="shared" si="0"/>
        <v>0</v>
      </c>
      <c r="K41" s="919">
        <f t="shared" si="0"/>
        <v>0</v>
      </c>
      <c r="L41" s="919">
        <f t="shared" si="0"/>
        <v>0</v>
      </c>
      <c r="M41" s="919">
        <f t="shared" si="0"/>
        <v>0</v>
      </c>
      <c r="N41" s="919">
        <f t="shared" si="0"/>
        <v>0</v>
      </c>
    </row>
  </sheetData>
  <mergeCells count="13">
    <mergeCell ref="G10:G11"/>
    <mergeCell ref="H10:H11"/>
    <mergeCell ref="E10:F10"/>
    <mergeCell ref="A10:A11"/>
    <mergeCell ref="B10:B11"/>
    <mergeCell ref="C10:C11"/>
    <mergeCell ref="D10:D11"/>
    <mergeCell ref="A35"/>
    <mergeCell ref="A12:A16"/>
    <mergeCell ref="A18:A24"/>
    <mergeCell ref="A25:A28"/>
    <mergeCell ref="A29:A31"/>
    <mergeCell ref="A32:A33"/>
  </mergeCells>
  <pageMargins left="0.70866141732283472" right="0.70866141732283472" top="0.74803149606299213" bottom="0.74803149606299213" header="0.31496062992125984" footer="0.31496062992125984"/>
  <pageSetup paperSize="9" scale="81" fitToHeight="0" orientation="portrait" r:id="rId1"/>
  <headerFooter>
    <oddFooter>&amp;C_x000D_&amp;1#&amp;"Verdana"&amp;7&amp;K000000 Confidential</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33215-CF43-44DC-8C50-E6B48AB66749}">
  <sheetPr>
    <tabColor rgb="FFFFFF00"/>
    <pageSetUpPr fitToPage="1"/>
  </sheetPr>
  <dimension ref="A2:Y242"/>
  <sheetViews>
    <sheetView view="pageBreakPreview" zoomScale="70" zoomScaleNormal="85" zoomScaleSheetLayoutView="70" workbookViewId="0">
      <pane ySplit="3" topLeftCell="A25" activePane="bottomLeft" state="frozen"/>
      <selection activeCell="D4" sqref="D4"/>
      <selection pane="bottomLeft" activeCell="A4" sqref="A4:XFD4"/>
    </sheetView>
  </sheetViews>
  <sheetFormatPr defaultRowHeight="15" customHeight="1" outlineLevelCol="1" x14ac:dyDescent="0.25"/>
  <cols>
    <col min="1" max="1" width="3.85546875" customWidth="1"/>
    <col min="2" max="2" width="24.5703125" style="42" customWidth="1"/>
    <col min="3" max="3" width="28.42578125" style="18" bestFit="1" customWidth="1"/>
    <col min="4" max="4" width="30" style="14" customWidth="1"/>
    <col min="5" max="5" width="46.5703125" style="14" customWidth="1"/>
    <col min="6" max="6" width="45.5703125" style="14" customWidth="1"/>
    <col min="7" max="7" width="10.5703125" style="19" customWidth="1" outlineLevel="1"/>
    <col min="8" max="11" width="12.5703125" style="1" customWidth="1"/>
    <col min="12" max="12" width="13.5703125" style="1" customWidth="1"/>
    <col min="13" max="13" width="12.5703125" style="1" customWidth="1" outlineLevel="1"/>
    <col min="14" max="17" width="12.5703125" style="20" customWidth="1" outlineLevel="1"/>
    <col min="18" max="18" width="12.5703125" style="1" customWidth="1"/>
    <col min="19" max="19" width="12.5703125" style="1" customWidth="1" outlineLevel="1"/>
    <col min="20" max="22" width="12.5703125" style="1" customWidth="1"/>
    <col min="23" max="23" width="45.5703125" style="14" customWidth="1"/>
    <col min="24" max="24" width="10.5703125" bestFit="1" customWidth="1"/>
    <col min="25" max="25" width="54.85546875" customWidth="1"/>
  </cols>
  <sheetData>
    <row r="2" spans="1:25" ht="15.75" customHeight="1" x14ac:dyDescent="0.25">
      <c r="N2" s="1194" t="s">
        <v>142</v>
      </c>
      <c r="O2" s="1195"/>
      <c r="P2" s="1195"/>
      <c r="Q2" s="1196"/>
      <c r="U2" s="1212" t="s">
        <v>106</v>
      </c>
      <c r="V2" s="1213"/>
    </row>
    <row r="3" spans="1:25" s="46" customFormat="1" ht="40.5" x14ac:dyDescent="0.25">
      <c r="A3"/>
      <c r="B3" s="43" t="s">
        <v>102</v>
      </c>
      <c r="C3" s="49" t="s">
        <v>143</v>
      </c>
      <c r="D3" s="48" t="s">
        <v>144</v>
      </c>
      <c r="E3" s="45" t="s">
        <v>145</v>
      </c>
      <c r="F3" s="45" t="s">
        <v>146</v>
      </c>
      <c r="G3" s="44" t="s">
        <v>147</v>
      </c>
      <c r="H3" s="44" t="s">
        <v>148</v>
      </c>
      <c r="I3" s="671" t="s">
        <v>149</v>
      </c>
      <c r="J3" s="671" t="s">
        <v>150</v>
      </c>
      <c r="K3" s="671" t="s">
        <v>151</v>
      </c>
      <c r="L3" s="44" t="s">
        <v>152</v>
      </c>
      <c r="M3" s="44" t="s">
        <v>153</v>
      </c>
      <c r="N3" s="670" t="s">
        <v>154</v>
      </c>
      <c r="O3" s="670" t="s">
        <v>155</v>
      </c>
      <c r="P3" s="649" t="s">
        <v>156</v>
      </c>
      <c r="Q3" s="649" t="s">
        <v>157</v>
      </c>
      <c r="R3" s="44" t="s">
        <v>104</v>
      </c>
      <c r="S3" s="44" t="s">
        <v>158</v>
      </c>
      <c r="T3" s="44" t="s">
        <v>159</v>
      </c>
      <c r="U3" s="650" t="s">
        <v>154</v>
      </c>
      <c r="V3" s="651" t="s">
        <v>155</v>
      </c>
      <c r="W3" s="47" t="s">
        <v>160</v>
      </c>
      <c r="Y3" s="389" t="s">
        <v>161</v>
      </c>
    </row>
    <row r="4" spans="1:25" x14ac:dyDescent="0.25">
      <c r="B4" s="1165" t="s">
        <v>162</v>
      </c>
      <c r="C4" s="1192" t="s">
        <v>116</v>
      </c>
      <c r="D4" s="655" t="s">
        <v>163</v>
      </c>
      <c r="E4" s="924" t="s">
        <v>164</v>
      </c>
      <c r="F4" s="924" t="s">
        <v>165</v>
      </c>
      <c r="G4" s="647" t="s">
        <v>166</v>
      </c>
      <c r="H4" s="647" t="s">
        <v>167</v>
      </c>
      <c r="I4" s="97">
        <v>3</v>
      </c>
      <c r="J4" s="97">
        <v>3</v>
      </c>
      <c r="K4" s="97">
        <f>(I4*J4)</f>
        <v>9</v>
      </c>
      <c r="L4" s="647" t="s">
        <v>167</v>
      </c>
      <c r="M4" s="97" t="s">
        <v>168</v>
      </c>
      <c r="N4" s="777" t="str">
        <f>'Embodied Carbon'!P8</f>
        <v>n/a</v>
      </c>
      <c r="O4" s="778" t="str">
        <f>'Embodied Carbon'!P11</f>
        <v>n/a</v>
      </c>
      <c r="P4" s="344" t="str">
        <f>IF(L4="Yes",N4,"n/a")</f>
        <v>n/a</v>
      </c>
      <c r="Q4" s="344" t="str">
        <f>IF(L4="Yes",O4,"n/a")</f>
        <v>n/a</v>
      </c>
      <c r="R4" s="1202">
        <f>SUMIF(H4:H15,"Yes",K4:K15)</f>
        <v>82</v>
      </c>
      <c r="S4" s="1202">
        <f>SUMIF(L4:L15,"Yes",K4:K15)</f>
        <v>54</v>
      </c>
      <c r="T4" s="1205">
        <f>SUM(S4)/SUM(R4)</f>
        <v>0.65853658536585369</v>
      </c>
      <c r="U4" s="1197">
        <f>SUM(P4:P15)</f>
        <v>166000</v>
      </c>
      <c r="V4" s="1197">
        <f>SUM(Q4:Q15)</f>
        <v>208000</v>
      </c>
      <c r="W4" s="98" t="s">
        <v>169</v>
      </c>
      <c r="X4" s="79"/>
      <c r="Y4" t="s">
        <v>170</v>
      </c>
    </row>
    <row r="5" spans="1:25" x14ac:dyDescent="0.25">
      <c r="B5" s="1166"/>
      <c r="C5" s="1098"/>
      <c r="D5" s="136" t="s">
        <v>171</v>
      </c>
      <c r="E5" s="109" t="s">
        <v>172</v>
      </c>
      <c r="F5" s="109" t="s">
        <v>173</v>
      </c>
      <c r="G5" s="648" t="s">
        <v>174</v>
      </c>
      <c r="H5" s="648" t="s">
        <v>174</v>
      </c>
      <c r="I5" s="100">
        <v>3</v>
      </c>
      <c r="J5" s="100">
        <v>4</v>
      </c>
      <c r="K5" s="100">
        <f t="shared" ref="K5:K14" si="0">(I5*J5)</f>
        <v>12</v>
      </c>
      <c r="L5" s="648" t="s">
        <v>175</v>
      </c>
      <c r="M5" s="100" t="s">
        <v>168</v>
      </c>
      <c r="N5" s="289">
        <f>'Embodied Carbon'!P21</f>
        <v>165000</v>
      </c>
      <c r="O5" s="362">
        <f>'Embodied Carbon'!P30</f>
        <v>232000</v>
      </c>
      <c r="P5" s="101" t="str">
        <f>IF(L5="Yes",N5,"n/a")</f>
        <v>n/a</v>
      </c>
      <c r="Q5" s="345" t="str">
        <f t="shared" ref="Q5:Q90" si="1">IF(L5="Yes",O5,"n/a")</f>
        <v>n/a</v>
      </c>
      <c r="R5" s="1203"/>
      <c r="S5" s="1203"/>
      <c r="T5" s="1206"/>
      <c r="U5" s="1092"/>
      <c r="V5" s="1092"/>
      <c r="W5" s="102"/>
      <c r="X5" s="79"/>
    </row>
    <row r="6" spans="1:25" ht="24" x14ac:dyDescent="0.25">
      <c r="B6" s="1166"/>
      <c r="C6" s="1098"/>
      <c r="D6" s="136" t="s">
        <v>163</v>
      </c>
      <c r="E6" s="109" t="s">
        <v>176</v>
      </c>
      <c r="F6" s="109" t="s">
        <v>177</v>
      </c>
      <c r="G6" s="648" t="s">
        <v>174</v>
      </c>
      <c r="H6" s="648" t="s">
        <v>174</v>
      </c>
      <c r="I6" s="100">
        <v>3</v>
      </c>
      <c r="J6" s="100">
        <v>2</v>
      </c>
      <c r="K6" s="100">
        <f t="shared" si="0"/>
        <v>6</v>
      </c>
      <c r="L6" s="648" t="s">
        <v>174</v>
      </c>
      <c r="M6" s="100" t="s">
        <v>168</v>
      </c>
      <c r="N6" s="289" t="str">
        <f>'Embodied Carbon'!P34</f>
        <v>Included</v>
      </c>
      <c r="O6" s="362" t="str">
        <f>'Embodied Carbon'!P37</f>
        <v>Included</v>
      </c>
      <c r="P6" s="101" t="str">
        <f t="shared" ref="P6:P90" si="2">IF(L6="Yes",N6,"n/a")</f>
        <v>Included</v>
      </c>
      <c r="Q6" s="345" t="str">
        <f t="shared" si="1"/>
        <v>Included</v>
      </c>
      <c r="R6" s="1203"/>
      <c r="S6" s="1203"/>
      <c r="T6" s="1206"/>
      <c r="U6" s="1092"/>
      <c r="V6" s="1092"/>
      <c r="W6" s="102" t="s">
        <v>178</v>
      </c>
      <c r="X6" s="79"/>
    </row>
    <row r="7" spans="1:25" x14ac:dyDescent="0.25">
      <c r="B7" s="1166"/>
      <c r="C7" s="1098"/>
      <c r="D7" s="136" t="s">
        <v>179</v>
      </c>
      <c r="E7" s="109" t="s">
        <v>180</v>
      </c>
      <c r="F7" s="109" t="s">
        <v>181</v>
      </c>
      <c r="G7" s="648" t="s">
        <v>174</v>
      </c>
      <c r="H7" s="648" t="s">
        <v>174</v>
      </c>
      <c r="I7" s="100">
        <v>3</v>
      </c>
      <c r="J7" s="100">
        <v>2</v>
      </c>
      <c r="K7" s="100">
        <f t="shared" si="0"/>
        <v>6</v>
      </c>
      <c r="L7" s="648" t="s">
        <v>174</v>
      </c>
      <c r="M7" s="100" t="s">
        <v>168</v>
      </c>
      <c r="N7" s="289">
        <f>'Embodied Carbon'!P46</f>
        <v>272000</v>
      </c>
      <c r="O7" s="362">
        <f>'Embodied Carbon'!P54</f>
        <v>272000</v>
      </c>
      <c r="P7" s="101">
        <f t="shared" si="2"/>
        <v>272000</v>
      </c>
      <c r="Q7" s="345">
        <f t="shared" si="1"/>
        <v>272000</v>
      </c>
      <c r="R7" s="1203"/>
      <c r="S7" s="1203"/>
      <c r="T7" s="1206"/>
      <c r="U7" s="1092"/>
      <c r="V7" s="1092"/>
      <c r="W7" s="102"/>
      <c r="X7" s="79"/>
    </row>
    <row r="8" spans="1:25" ht="24" x14ac:dyDescent="0.25">
      <c r="B8" s="1166"/>
      <c r="C8" s="1098"/>
      <c r="D8" s="136" t="s">
        <v>182</v>
      </c>
      <c r="E8" s="109" t="s">
        <v>183</v>
      </c>
      <c r="F8" s="109" t="s">
        <v>184</v>
      </c>
      <c r="G8" s="648" t="s">
        <v>174</v>
      </c>
      <c r="H8" s="648" t="s">
        <v>174</v>
      </c>
      <c r="I8" s="100">
        <v>3</v>
      </c>
      <c r="J8" s="100">
        <v>2</v>
      </c>
      <c r="K8" s="100">
        <f t="shared" si="0"/>
        <v>6</v>
      </c>
      <c r="L8" s="648" t="s">
        <v>174</v>
      </c>
      <c r="M8" s="100" t="s">
        <v>168</v>
      </c>
      <c r="N8" s="289" t="str">
        <f>'Embodied Carbon'!P58</f>
        <v>Included</v>
      </c>
      <c r="O8" s="362" t="str">
        <f>'Embodied Carbon'!P61</f>
        <v>Included</v>
      </c>
      <c r="P8" s="101" t="str">
        <f t="shared" si="2"/>
        <v>Included</v>
      </c>
      <c r="Q8" s="345" t="str">
        <f t="shared" si="1"/>
        <v>Included</v>
      </c>
      <c r="R8" s="1203"/>
      <c r="S8" s="1203"/>
      <c r="T8" s="1206"/>
      <c r="U8" s="1092"/>
      <c r="V8" s="1092"/>
      <c r="W8" s="102" t="s">
        <v>178</v>
      </c>
      <c r="X8" s="79"/>
    </row>
    <row r="9" spans="1:25" ht="24" x14ac:dyDescent="0.25">
      <c r="B9" s="1166"/>
      <c r="C9" s="1098"/>
      <c r="D9" s="136" t="s">
        <v>182</v>
      </c>
      <c r="E9" s="109" t="s">
        <v>183</v>
      </c>
      <c r="F9" s="109" t="s">
        <v>185</v>
      </c>
      <c r="G9" s="648" t="s">
        <v>174</v>
      </c>
      <c r="H9" s="648" t="s">
        <v>174</v>
      </c>
      <c r="I9" s="100">
        <v>4</v>
      </c>
      <c r="J9" s="100">
        <v>2</v>
      </c>
      <c r="K9" s="100">
        <f t="shared" si="0"/>
        <v>8</v>
      </c>
      <c r="L9" s="648" t="s">
        <v>174</v>
      </c>
      <c r="M9" s="100" t="s">
        <v>168</v>
      </c>
      <c r="N9" s="289" t="str">
        <f>'Embodied Carbon'!P65</f>
        <v>Included</v>
      </c>
      <c r="O9" s="362" t="str">
        <f>'Embodied Carbon'!P68</f>
        <v>Included</v>
      </c>
      <c r="P9" s="101" t="str">
        <f t="shared" si="2"/>
        <v>Included</v>
      </c>
      <c r="Q9" s="345" t="str">
        <f t="shared" si="1"/>
        <v>Included</v>
      </c>
      <c r="R9" s="1203"/>
      <c r="S9" s="1203"/>
      <c r="T9" s="1206"/>
      <c r="U9" s="1092"/>
      <c r="V9" s="1092"/>
      <c r="W9" s="102" t="s">
        <v>178</v>
      </c>
      <c r="X9" s="79"/>
    </row>
    <row r="10" spans="1:25" ht="24" x14ac:dyDescent="0.25">
      <c r="B10" s="1166"/>
      <c r="C10" s="1098"/>
      <c r="D10" s="136" t="s">
        <v>171</v>
      </c>
      <c r="E10" s="109" t="s">
        <v>186</v>
      </c>
      <c r="F10" s="109" t="s">
        <v>187</v>
      </c>
      <c r="G10" s="648" t="s">
        <v>174</v>
      </c>
      <c r="H10" s="648" t="s">
        <v>174</v>
      </c>
      <c r="I10" s="100">
        <v>4</v>
      </c>
      <c r="J10" s="100">
        <v>2</v>
      </c>
      <c r="K10" s="100">
        <f t="shared" ref="K10:K12" si="3">(I10*J10)</f>
        <v>8</v>
      </c>
      <c r="L10" s="648" t="s">
        <v>174</v>
      </c>
      <c r="M10" s="100" t="s">
        <v>168</v>
      </c>
      <c r="N10" s="289">
        <f>'Embodied Carbon'!P73</f>
        <v>0</v>
      </c>
      <c r="O10" s="362">
        <f>'Embodied Carbon'!P76</f>
        <v>254000</v>
      </c>
      <c r="P10" s="101">
        <f t="shared" ref="P10:P12" si="4">IF(L10="Yes",N10,"n/a")</f>
        <v>0</v>
      </c>
      <c r="Q10" s="345">
        <f t="shared" ref="Q10:Q12" si="5">IF(L10="Yes",O10,"n/a")</f>
        <v>254000</v>
      </c>
      <c r="R10" s="1203"/>
      <c r="S10" s="1203"/>
      <c r="T10" s="1206"/>
      <c r="U10" s="1092"/>
      <c r="V10" s="1092"/>
      <c r="W10" s="102" t="s">
        <v>188</v>
      </c>
      <c r="X10" s="79"/>
    </row>
    <row r="11" spans="1:25" ht="24" x14ac:dyDescent="0.25">
      <c r="B11" s="1166"/>
      <c r="C11" s="1098"/>
      <c r="D11" s="136" t="s">
        <v>171</v>
      </c>
      <c r="E11" s="109" t="s">
        <v>186</v>
      </c>
      <c r="F11" s="109" t="s">
        <v>189</v>
      </c>
      <c r="G11" s="648" t="s">
        <v>174</v>
      </c>
      <c r="H11" s="648" t="s">
        <v>174</v>
      </c>
      <c r="I11" s="100">
        <v>4</v>
      </c>
      <c r="J11" s="100">
        <v>2</v>
      </c>
      <c r="K11" s="100">
        <f t="shared" si="3"/>
        <v>8</v>
      </c>
      <c r="L11" s="648" t="s">
        <v>175</v>
      </c>
      <c r="M11" s="100" t="s">
        <v>168</v>
      </c>
      <c r="N11" s="289">
        <f>'Embodied Carbon'!P81</f>
        <v>254000</v>
      </c>
      <c r="O11" s="362">
        <f>'Embodied Carbon'!P85</f>
        <v>472000</v>
      </c>
      <c r="P11" s="101" t="str">
        <f t="shared" si="4"/>
        <v>n/a</v>
      </c>
      <c r="Q11" s="345" t="str">
        <f t="shared" si="5"/>
        <v>n/a</v>
      </c>
      <c r="R11" s="1203"/>
      <c r="S11" s="1203"/>
      <c r="T11" s="1206"/>
      <c r="U11" s="1092"/>
      <c r="V11" s="1092"/>
      <c r="W11" s="102" t="s">
        <v>188</v>
      </c>
      <c r="X11" s="79"/>
    </row>
    <row r="12" spans="1:25" ht="24" x14ac:dyDescent="0.25">
      <c r="B12" s="1166"/>
      <c r="C12" s="1098"/>
      <c r="D12" s="136" t="s">
        <v>171</v>
      </c>
      <c r="E12" s="109" t="s">
        <v>186</v>
      </c>
      <c r="F12" s="109" t="s">
        <v>190</v>
      </c>
      <c r="G12" s="648" t="s">
        <v>174</v>
      </c>
      <c r="H12" s="648" t="s">
        <v>174</v>
      </c>
      <c r="I12" s="100">
        <v>4</v>
      </c>
      <c r="J12" s="100">
        <v>2</v>
      </c>
      <c r="K12" s="100">
        <f t="shared" si="3"/>
        <v>8</v>
      </c>
      <c r="L12" s="648" t="s">
        <v>175</v>
      </c>
      <c r="M12" s="100" t="s">
        <v>168</v>
      </c>
      <c r="N12" s="289">
        <f>'Embodied Carbon'!P90</f>
        <v>472000</v>
      </c>
      <c r="O12" s="362">
        <f>'Embodied Carbon'!P94</f>
        <v>1017000</v>
      </c>
      <c r="P12" s="101" t="str">
        <f t="shared" si="4"/>
        <v>n/a</v>
      </c>
      <c r="Q12" s="345" t="str">
        <f t="shared" si="5"/>
        <v>n/a</v>
      </c>
      <c r="R12" s="1203"/>
      <c r="S12" s="1203"/>
      <c r="T12" s="1206"/>
      <c r="U12" s="1092"/>
      <c r="V12" s="1092"/>
      <c r="W12" s="102" t="s">
        <v>188</v>
      </c>
      <c r="X12" s="79"/>
    </row>
    <row r="13" spans="1:25" x14ac:dyDescent="0.25">
      <c r="B13" s="1166"/>
      <c r="C13" s="1098"/>
      <c r="D13" s="136" t="s">
        <v>163</v>
      </c>
      <c r="E13" s="109" t="s">
        <v>191</v>
      </c>
      <c r="F13" s="109" t="s">
        <v>192</v>
      </c>
      <c r="G13" s="648" t="s">
        <v>174</v>
      </c>
      <c r="H13" s="648" t="s">
        <v>167</v>
      </c>
      <c r="I13" s="100">
        <v>5</v>
      </c>
      <c r="J13" s="100">
        <v>4</v>
      </c>
      <c r="K13" s="100">
        <f t="shared" si="0"/>
        <v>20</v>
      </c>
      <c r="L13" s="648" t="s">
        <v>167</v>
      </c>
      <c r="M13" s="100" t="s">
        <v>168</v>
      </c>
      <c r="N13" s="289" t="str">
        <f>'Embodied Carbon'!P98</f>
        <v>n/a</v>
      </c>
      <c r="O13" s="362" t="str">
        <f>'Embodied Carbon'!P101</f>
        <v>n/a</v>
      </c>
      <c r="P13" s="101" t="str">
        <f t="shared" si="2"/>
        <v>n/a</v>
      </c>
      <c r="Q13" s="345" t="str">
        <f t="shared" si="1"/>
        <v>n/a</v>
      </c>
      <c r="R13" s="1203"/>
      <c r="S13" s="1203"/>
      <c r="T13" s="1206"/>
      <c r="U13" s="1092"/>
      <c r="V13" s="1092"/>
      <c r="W13" s="102" t="s">
        <v>193</v>
      </c>
      <c r="X13" s="79"/>
    </row>
    <row r="14" spans="1:25" ht="24" x14ac:dyDescent="0.25">
      <c r="B14" s="1166"/>
      <c r="C14" s="1098"/>
      <c r="D14" s="136" t="s">
        <v>163</v>
      </c>
      <c r="E14" s="109" t="s">
        <v>194</v>
      </c>
      <c r="F14" s="109" t="s">
        <v>195</v>
      </c>
      <c r="G14" s="648" t="s">
        <v>174</v>
      </c>
      <c r="H14" s="648" t="s">
        <v>174</v>
      </c>
      <c r="I14" s="100">
        <v>5</v>
      </c>
      <c r="J14" s="100">
        <v>4</v>
      </c>
      <c r="K14" s="100">
        <f t="shared" si="0"/>
        <v>20</v>
      </c>
      <c r="L14" s="648" t="s">
        <v>174</v>
      </c>
      <c r="M14" s="100" t="s">
        <v>168</v>
      </c>
      <c r="N14" s="289">
        <f>'Embodied Carbon'!P110</f>
        <v>-106000</v>
      </c>
      <c r="O14" s="362">
        <f>'Embodied Carbon'!P117</f>
        <v>-318000</v>
      </c>
      <c r="P14" s="101">
        <f t="shared" si="2"/>
        <v>-106000</v>
      </c>
      <c r="Q14" s="345">
        <f t="shared" si="1"/>
        <v>-318000</v>
      </c>
      <c r="R14" s="1203"/>
      <c r="S14" s="1203"/>
      <c r="T14" s="1206"/>
      <c r="U14" s="1092"/>
      <c r="V14" s="1092"/>
      <c r="W14" s="102" t="s">
        <v>196</v>
      </c>
      <c r="X14" s="79"/>
    </row>
    <row r="15" spans="1:25" ht="6" customHeight="1" x14ac:dyDescent="0.25">
      <c r="B15" s="1166"/>
      <c r="C15" s="1193"/>
      <c r="D15" s="150"/>
      <c r="E15" s="151"/>
      <c r="F15" s="151"/>
      <c r="G15" s="612"/>
      <c r="H15" s="612"/>
      <c r="I15" s="152"/>
      <c r="J15" s="152"/>
      <c r="K15" s="152"/>
      <c r="L15" s="612"/>
      <c r="M15" s="152"/>
      <c r="N15" s="153"/>
      <c r="O15" s="346"/>
      <c r="P15" s="153"/>
      <c r="Q15" s="346"/>
      <c r="R15" s="1204"/>
      <c r="S15" s="1204"/>
      <c r="T15" s="1207"/>
      <c r="U15" s="1198"/>
      <c r="V15" s="1198"/>
      <c r="W15" s="154"/>
    </row>
    <row r="16" spans="1:25" x14ac:dyDescent="0.25">
      <c r="B16" s="1166"/>
      <c r="C16" s="1097" t="s">
        <v>117</v>
      </c>
      <c r="D16" s="672" t="s">
        <v>163</v>
      </c>
      <c r="E16" s="160" t="s">
        <v>197</v>
      </c>
      <c r="F16" s="160" t="s">
        <v>198</v>
      </c>
      <c r="G16" s="648" t="s">
        <v>174</v>
      </c>
      <c r="H16" s="648" t="s">
        <v>174</v>
      </c>
      <c r="I16" s="161">
        <v>1</v>
      </c>
      <c r="J16" s="161">
        <v>2</v>
      </c>
      <c r="K16" s="161">
        <f t="shared" ref="K16:K99" si="6">(I16*J16)</f>
        <v>2</v>
      </c>
      <c r="L16" s="648" t="s">
        <v>175</v>
      </c>
      <c r="M16" s="161" t="s">
        <v>199</v>
      </c>
      <c r="N16" s="163">
        <f>'Operating Carbon'!$P$13</f>
        <v>-405000</v>
      </c>
      <c r="O16" s="347">
        <f t="shared" ref="O16:O29" si="7">N16</f>
        <v>-405000</v>
      </c>
      <c r="P16" s="163" t="str">
        <f t="shared" si="2"/>
        <v>n/a</v>
      </c>
      <c r="Q16" s="347" t="str">
        <f t="shared" si="1"/>
        <v>n/a</v>
      </c>
      <c r="R16" s="1088">
        <f>SUMIF(H16:H84,"Yes",K16:K84)</f>
        <v>142</v>
      </c>
      <c r="S16" s="1088">
        <f>SUMIF(L16:L84,"Yes",K16:K84)</f>
        <v>24</v>
      </c>
      <c r="T16" s="1100">
        <f>SUM(S16)/SUM(R16)</f>
        <v>0.16901408450704225</v>
      </c>
      <c r="U16" s="1091">
        <f>SUM(P16:P84)</f>
        <v>675000</v>
      </c>
      <c r="V16" s="1091">
        <f>SUM(Q16:Q84)</f>
        <v>1335000</v>
      </c>
      <c r="W16" s="164"/>
    </row>
    <row r="17" spans="2:23" x14ac:dyDescent="0.25">
      <c r="B17" s="1166"/>
      <c r="C17" s="1098"/>
      <c r="D17" s="135" t="s">
        <v>163</v>
      </c>
      <c r="E17" s="99" t="s">
        <v>197</v>
      </c>
      <c r="F17" s="99" t="s">
        <v>200</v>
      </c>
      <c r="G17" s="648" t="s">
        <v>174</v>
      </c>
      <c r="H17" s="648" t="s">
        <v>174</v>
      </c>
      <c r="I17" s="100">
        <v>2</v>
      </c>
      <c r="J17" s="100">
        <v>3</v>
      </c>
      <c r="K17" s="100">
        <f t="shared" si="6"/>
        <v>6</v>
      </c>
      <c r="L17" s="648" t="s">
        <v>175</v>
      </c>
      <c r="M17" s="100" t="s">
        <v>199</v>
      </c>
      <c r="N17" s="101">
        <f>'Operating Carbon'!$P$22</f>
        <v>-202000</v>
      </c>
      <c r="O17" s="345">
        <f t="shared" si="7"/>
        <v>-202000</v>
      </c>
      <c r="P17" s="101" t="str">
        <f t="shared" si="2"/>
        <v>n/a</v>
      </c>
      <c r="Q17" s="345" t="str">
        <f t="shared" si="1"/>
        <v>n/a</v>
      </c>
      <c r="R17" s="1089"/>
      <c r="S17" s="1089"/>
      <c r="T17" s="1101"/>
      <c r="U17" s="1092"/>
      <c r="V17" s="1092"/>
      <c r="W17" s="165"/>
    </row>
    <row r="18" spans="2:23" x14ac:dyDescent="0.25">
      <c r="B18" s="1166"/>
      <c r="C18" s="1098"/>
      <c r="D18" s="135" t="s">
        <v>163</v>
      </c>
      <c r="E18" s="99" t="s">
        <v>197</v>
      </c>
      <c r="F18" s="99" t="s">
        <v>201</v>
      </c>
      <c r="G18" s="648" t="s">
        <v>174</v>
      </c>
      <c r="H18" s="648" t="s">
        <v>174</v>
      </c>
      <c r="I18" s="100">
        <v>3</v>
      </c>
      <c r="J18" s="100">
        <v>4</v>
      </c>
      <c r="K18" s="100">
        <f t="shared" si="6"/>
        <v>12</v>
      </c>
      <c r="L18" s="648" t="s">
        <v>175</v>
      </c>
      <c r="M18" s="100" t="s">
        <v>168</v>
      </c>
      <c r="N18" s="101">
        <f>'Operating Carbon'!$P$31</f>
        <v>0</v>
      </c>
      <c r="O18" s="345">
        <f t="shared" si="7"/>
        <v>0</v>
      </c>
      <c r="P18" s="101" t="str">
        <f t="shared" si="2"/>
        <v>n/a</v>
      </c>
      <c r="Q18" s="345" t="str">
        <f t="shared" si="1"/>
        <v>n/a</v>
      </c>
      <c r="R18" s="1089"/>
      <c r="S18" s="1089"/>
      <c r="T18" s="1101"/>
      <c r="U18" s="1092"/>
      <c r="V18" s="1092"/>
      <c r="W18" s="165"/>
    </row>
    <row r="19" spans="2:23" x14ac:dyDescent="0.25">
      <c r="B19" s="1166"/>
      <c r="C19" s="1098"/>
      <c r="D19" s="135" t="s">
        <v>163</v>
      </c>
      <c r="E19" s="99" t="s">
        <v>197</v>
      </c>
      <c r="F19" s="99" t="s">
        <v>202</v>
      </c>
      <c r="G19" s="648" t="s">
        <v>174</v>
      </c>
      <c r="H19" s="648" t="s">
        <v>174</v>
      </c>
      <c r="I19" s="100">
        <v>4</v>
      </c>
      <c r="J19" s="100">
        <v>5</v>
      </c>
      <c r="K19" s="100">
        <f t="shared" si="6"/>
        <v>20</v>
      </c>
      <c r="L19" s="648" t="s">
        <v>174</v>
      </c>
      <c r="M19" s="100" t="s">
        <v>168</v>
      </c>
      <c r="N19" s="101">
        <f>'Operating Carbon'!$P$40</f>
        <v>203000</v>
      </c>
      <c r="O19" s="345">
        <f t="shared" si="7"/>
        <v>203000</v>
      </c>
      <c r="P19" s="101">
        <f t="shared" si="2"/>
        <v>203000</v>
      </c>
      <c r="Q19" s="345">
        <f t="shared" si="1"/>
        <v>203000</v>
      </c>
      <c r="R19" s="1089"/>
      <c r="S19" s="1089"/>
      <c r="T19" s="1101"/>
      <c r="U19" s="1092"/>
      <c r="V19" s="1092"/>
      <c r="W19" s="165"/>
    </row>
    <row r="20" spans="2:23" x14ac:dyDescent="0.25">
      <c r="B20" s="1166"/>
      <c r="C20" s="1098"/>
      <c r="D20" s="135" t="s">
        <v>163</v>
      </c>
      <c r="E20" s="99" t="s">
        <v>197</v>
      </c>
      <c r="F20" s="99" t="s">
        <v>203</v>
      </c>
      <c r="G20" s="648" t="s">
        <v>174</v>
      </c>
      <c r="H20" s="648" t="s">
        <v>174</v>
      </c>
      <c r="I20" s="100">
        <v>4</v>
      </c>
      <c r="J20" s="100">
        <v>5</v>
      </c>
      <c r="K20" s="100">
        <f t="shared" si="6"/>
        <v>20</v>
      </c>
      <c r="L20" s="648" t="s">
        <v>175</v>
      </c>
      <c r="M20" s="100" t="s">
        <v>168</v>
      </c>
      <c r="N20" s="101">
        <f>'Operating Carbon'!$P$49</f>
        <v>405000</v>
      </c>
      <c r="O20" s="345">
        <f t="shared" si="7"/>
        <v>405000</v>
      </c>
      <c r="P20" s="101" t="str">
        <f t="shared" si="2"/>
        <v>n/a</v>
      </c>
      <c r="Q20" s="345" t="str">
        <f t="shared" si="1"/>
        <v>n/a</v>
      </c>
      <c r="R20" s="1089"/>
      <c r="S20" s="1089"/>
      <c r="T20" s="1101"/>
      <c r="U20" s="1092"/>
      <c r="V20" s="1092"/>
      <c r="W20" s="165"/>
    </row>
    <row r="21" spans="2:23" x14ac:dyDescent="0.25">
      <c r="B21" s="1166"/>
      <c r="C21" s="1098"/>
      <c r="D21" s="135" t="s">
        <v>204</v>
      </c>
      <c r="E21" s="99" t="s">
        <v>205</v>
      </c>
      <c r="F21" s="99" t="s">
        <v>206</v>
      </c>
      <c r="G21" s="648" t="s">
        <v>174</v>
      </c>
      <c r="H21" s="648" t="s">
        <v>174</v>
      </c>
      <c r="I21" s="100">
        <v>2</v>
      </c>
      <c r="J21" s="100">
        <v>2</v>
      </c>
      <c r="K21" s="100">
        <f t="shared" si="6"/>
        <v>4</v>
      </c>
      <c r="L21" s="648" t="s">
        <v>175</v>
      </c>
      <c r="M21" s="100" t="s">
        <v>168</v>
      </c>
      <c r="N21" s="101">
        <f>'Operating Carbon'!$P$56</f>
        <v>0</v>
      </c>
      <c r="O21" s="345">
        <f t="shared" si="7"/>
        <v>0</v>
      </c>
      <c r="P21" s="101" t="str">
        <f t="shared" si="2"/>
        <v>n/a</v>
      </c>
      <c r="Q21" s="345" t="str">
        <f t="shared" si="1"/>
        <v>n/a</v>
      </c>
      <c r="R21" s="1089"/>
      <c r="S21" s="1089"/>
      <c r="T21" s="1101"/>
      <c r="U21" s="1092"/>
      <c r="V21" s="1092"/>
      <c r="W21" s="165"/>
    </row>
    <row r="22" spans="2:23" x14ac:dyDescent="0.25">
      <c r="B22" s="1166"/>
      <c r="C22" s="1098"/>
      <c r="D22" s="135" t="s">
        <v>204</v>
      </c>
      <c r="E22" s="99" t="s">
        <v>205</v>
      </c>
      <c r="F22" s="673" t="s">
        <v>207</v>
      </c>
      <c r="G22" s="648" t="s">
        <v>174</v>
      </c>
      <c r="H22" s="648" t="s">
        <v>174</v>
      </c>
      <c r="I22" s="100">
        <v>3</v>
      </c>
      <c r="J22" s="100">
        <v>2</v>
      </c>
      <c r="K22" s="100">
        <f t="shared" si="6"/>
        <v>6</v>
      </c>
      <c r="L22" s="648" t="s">
        <v>175</v>
      </c>
      <c r="M22" s="100" t="s">
        <v>168</v>
      </c>
      <c r="N22" s="101">
        <f>'Operating Carbon'!$P$71</f>
        <v>99000</v>
      </c>
      <c r="O22" s="345">
        <f t="shared" si="7"/>
        <v>99000</v>
      </c>
      <c r="P22" s="101" t="str">
        <f t="shared" si="2"/>
        <v>n/a</v>
      </c>
      <c r="Q22" s="345" t="str">
        <f t="shared" si="1"/>
        <v>n/a</v>
      </c>
      <c r="R22" s="1089"/>
      <c r="S22" s="1089"/>
      <c r="T22" s="1101"/>
      <c r="U22" s="1092"/>
      <c r="V22" s="1092"/>
      <c r="W22" s="165"/>
    </row>
    <row r="23" spans="2:23" x14ac:dyDescent="0.25">
      <c r="B23" s="1166"/>
      <c r="C23" s="1098"/>
      <c r="D23" s="135" t="s">
        <v>204</v>
      </c>
      <c r="E23" s="99" t="s">
        <v>205</v>
      </c>
      <c r="F23" s="674" t="s">
        <v>208</v>
      </c>
      <c r="G23" s="648" t="s">
        <v>174</v>
      </c>
      <c r="H23" s="648" t="s">
        <v>174</v>
      </c>
      <c r="I23" s="100">
        <v>4</v>
      </c>
      <c r="J23" s="100">
        <v>2</v>
      </c>
      <c r="K23" s="100">
        <f t="shared" si="6"/>
        <v>8</v>
      </c>
      <c r="L23" s="648" t="s">
        <v>175</v>
      </c>
      <c r="M23" s="100" t="s">
        <v>168</v>
      </c>
      <c r="N23" s="101">
        <f>'Operating Carbon'!$P$87</f>
        <v>165000</v>
      </c>
      <c r="O23" s="345">
        <f t="shared" si="7"/>
        <v>165000</v>
      </c>
      <c r="P23" s="101" t="str">
        <f t="shared" si="2"/>
        <v>n/a</v>
      </c>
      <c r="Q23" s="345" t="str">
        <f t="shared" si="1"/>
        <v>n/a</v>
      </c>
      <c r="R23" s="1089"/>
      <c r="S23" s="1089"/>
      <c r="T23" s="1101"/>
      <c r="U23" s="1092"/>
      <c r="V23" s="1092"/>
      <c r="W23" s="165"/>
    </row>
    <row r="24" spans="2:23" x14ac:dyDescent="0.25">
      <c r="B24" s="1166"/>
      <c r="C24" s="1098"/>
      <c r="D24" s="135" t="s">
        <v>204</v>
      </c>
      <c r="E24" s="99" t="s">
        <v>209</v>
      </c>
      <c r="F24" s="109" t="s">
        <v>210</v>
      </c>
      <c r="G24" s="648" t="s">
        <v>174</v>
      </c>
      <c r="H24" s="648" t="s">
        <v>174</v>
      </c>
      <c r="I24" s="100">
        <v>2</v>
      </c>
      <c r="J24" s="100">
        <v>2</v>
      </c>
      <c r="K24" s="100">
        <f t="shared" si="6"/>
        <v>4</v>
      </c>
      <c r="L24" s="648" t="s">
        <v>175</v>
      </c>
      <c r="M24" s="100" t="s">
        <v>168</v>
      </c>
      <c r="N24" s="101">
        <f>'Operating Carbon'!$P$103</f>
        <v>0</v>
      </c>
      <c r="O24" s="345">
        <f t="shared" si="7"/>
        <v>0</v>
      </c>
      <c r="P24" s="101" t="str">
        <f t="shared" si="2"/>
        <v>n/a</v>
      </c>
      <c r="Q24" s="345" t="str">
        <f t="shared" si="1"/>
        <v>n/a</v>
      </c>
      <c r="R24" s="1089"/>
      <c r="S24" s="1089"/>
      <c r="T24" s="1101"/>
      <c r="U24" s="1092"/>
      <c r="V24" s="1092"/>
      <c r="W24" s="165"/>
    </row>
    <row r="25" spans="2:23" x14ac:dyDescent="0.25">
      <c r="B25" s="1166"/>
      <c r="C25" s="1098"/>
      <c r="D25" s="135" t="s">
        <v>204</v>
      </c>
      <c r="E25" s="99" t="s">
        <v>209</v>
      </c>
      <c r="F25" s="673" t="s">
        <v>211</v>
      </c>
      <c r="G25" s="648" t="s">
        <v>174</v>
      </c>
      <c r="H25" s="648" t="s">
        <v>174</v>
      </c>
      <c r="I25" s="100">
        <v>3</v>
      </c>
      <c r="J25" s="100">
        <v>2</v>
      </c>
      <c r="K25" s="100">
        <f t="shared" si="6"/>
        <v>6</v>
      </c>
      <c r="L25" s="648" t="s">
        <v>175</v>
      </c>
      <c r="M25" s="100" t="s">
        <v>168</v>
      </c>
      <c r="N25" s="101">
        <f>'Operating Carbon'!$P$110</f>
        <v>354000</v>
      </c>
      <c r="O25" s="345">
        <f t="shared" si="7"/>
        <v>354000</v>
      </c>
      <c r="P25" s="101" t="str">
        <f t="shared" si="2"/>
        <v>n/a</v>
      </c>
      <c r="Q25" s="345" t="str">
        <f t="shared" si="1"/>
        <v>n/a</v>
      </c>
      <c r="R25" s="1089"/>
      <c r="S25" s="1089"/>
      <c r="T25" s="1101"/>
      <c r="U25" s="1092"/>
      <c r="V25" s="1092"/>
      <c r="W25" s="165"/>
    </row>
    <row r="26" spans="2:23" x14ac:dyDescent="0.25">
      <c r="B26" s="1166"/>
      <c r="C26" s="1098"/>
      <c r="D26" s="135" t="s">
        <v>204</v>
      </c>
      <c r="E26" s="99" t="s">
        <v>209</v>
      </c>
      <c r="F26" s="674" t="s">
        <v>212</v>
      </c>
      <c r="G26" s="648" t="s">
        <v>174</v>
      </c>
      <c r="H26" s="648" t="s">
        <v>174</v>
      </c>
      <c r="I26" s="100">
        <v>4</v>
      </c>
      <c r="J26" s="100">
        <v>2</v>
      </c>
      <c r="K26" s="100">
        <f t="shared" si="6"/>
        <v>8</v>
      </c>
      <c r="L26" s="648" t="s">
        <v>175</v>
      </c>
      <c r="M26" s="100" t="s">
        <v>168</v>
      </c>
      <c r="N26" s="101">
        <f>'Operating Carbon'!$P$117</f>
        <v>425000</v>
      </c>
      <c r="O26" s="345">
        <f t="shared" si="7"/>
        <v>425000</v>
      </c>
      <c r="P26" s="101" t="str">
        <f t="shared" si="2"/>
        <v>n/a</v>
      </c>
      <c r="Q26" s="345" t="str">
        <f t="shared" si="1"/>
        <v>n/a</v>
      </c>
      <c r="R26" s="1089"/>
      <c r="S26" s="1089"/>
      <c r="T26" s="1101"/>
      <c r="U26" s="1092"/>
      <c r="V26" s="1092"/>
      <c r="W26" s="165"/>
    </row>
    <row r="27" spans="2:23" x14ac:dyDescent="0.25">
      <c r="B27" s="1166"/>
      <c r="C27" s="1098"/>
      <c r="D27" s="136" t="s">
        <v>163</v>
      </c>
      <c r="E27" s="109" t="s">
        <v>213</v>
      </c>
      <c r="F27" s="109" t="s">
        <v>214</v>
      </c>
      <c r="G27" s="648" t="s">
        <v>174</v>
      </c>
      <c r="H27" s="648" t="s">
        <v>174</v>
      </c>
      <c r="I27" s="100">
        <v>2</v>
      </c>
      <c r="J27" s="100">
        <v>2</v>
      </c>
      <c r="K27" s="100">
        <f t="shared" si="6"/>
        <v>4</v>
      </c>
      <c r="L27" s="648" t="s">
        <v>175</v>
      </c>
      <c r="M27" s="100" t="s">
        <v>168</v>
      </c>
      <c r="N27" s="101">
        <f>'Operating Carbon'!$P$120</f>
        <v>263000</v>
      </c>
      <c r="O27" s="345">
        <f t="shared" si="7"/>
        <v>263000</v>
      </c>
      <c r="P27" s="101" t="str">
        <f t="shared" si="2"/>
        <v>n/a</v>
      </c>
      <c r="Q27" s="345" t="str">
        <f t="shared" si="1"/>
        <v>n/a</v>
      </c>
      <c r="R27" s="1089"/>
      <c r="S27" s="1089"/>
      <c r="T27" s="1101"/>
      <c r="U27" s="1092"/>
      <c r="V27" s="1092"/>
      <c r="W27" s="165"/>
    </row>
    <row r="28" spans="2:23" x14ac:dyDescent="0.25">
      <c r="B28" s="1166"/>
      <c r="C28" s="1098"/>
      <c r="D28" s="136" t="s">
        <v>163</v>
      </c>
      <c r="E28" s="109" t="s">
        <v>213</v>
      </c>
      <c r="F28" s="673" t="s">
        <v>215</v>
      </c>
      <c r="G28" s="648" t="s">
        <v>174</v>
      </c>
      <c r="H28" s="648" t="s">
        <v>174</v>
      </c>
      <c r="I28" s="100">
        <v>3</v>
      </c>
      <c r="J28" s="100">
        <v>2</v>
      </c>
      <c r="K28" s="100">
        <f t="shared" si="6"/>
        <v>6</v>
      </c>
      <c r="L28" s="648" t="s">
        <v>175</v>
      </c>
      <c r="M28" s="100" t="s">
        <v>168</v>
      </c>
      <c r="N28" s="101">
        <f>'Operating Carbon'!$P$135</f>
        <v>122000</v>
      </c>
      <c r="O28" s="345">
        <f t="shared" si="7"/>
        <v>122000</v>
      </c>
      <c r="P28" s="101" t="str">
        <f t="shared" si="2"/>
        <v>n/a</v>
      </c>
      <c r="Q28" s="345" t="str">
        <f t="shared" si="1"/>
        <v>n/a</v>
      </c>
      <c r="R28" s="1089"/>
      <c r="S28" s="1089"/>
      <c r="T28" s="1101"/>
      <c r="U28" s="1092"/>
      <c r="V28" s="1092"/>
      <c r="W28" s="165"/>
    </row>
    <row r="29" spans="2:23" x14ac:dyDescent="0.25">
      <c r="B29" s="1166"/>
      <c r="C29" s="1098"/>
      <c r="D29" s="136" t="s">
        <v>163</v>
      </c>
      <c r="E29" s="109" t="s">
        <v>213</v>
      </c>
      <c r="F29" s="673" t="s">
        <v>216</v>
      </c>
      <c r="G29" s="648" t="s">
        <v>174</v>
      </c>
      <c r="H29" s="648" t="s">
        <v>174</v>
      </c>
      <c r="I29" s="100">
        <v>4</v>
      </c>
      <c r="J29" s="100">
        <v>2</v>
      </c>
      <c r="K29" s="100">
        <f t="shared" si="6"/>
        <v>8</v>
      </c>
      <c r="L29" s="648" t="s">
        <v>175</v>
      </c>
      <c r="M29" s="100" t="s">
        <v>168</v>
      </c>
      <c r="N29" s="101">
        <f>'Operating Carbon'!$P$151</f>
        <v>142000</v>
      </c>
      <c r="O29" s="345">
        <f t="shared" si="7"/>
        <v>142000</v>
      </c>
      <c r="P29" s="101" t="str">
        <f t="shared" si="2"/>
        <v>n/a</v>
      </c>
      <c r="Q29" s="345" t="str">
        <f t="shared" si="1"/>
        <v>n/a</v>
      </c>
      <c r="R29" s="1089"/>
      <c r="S29" s="1089"/>
      <c r="T29" s="1101"/>
      <c r="U29" s="1092"/>
      <c r="V29" s="1092"/>
      <c r="W29" s="165"/>
    </row>
    <row r="30" spans="2:23" x14ac:dyDescent="0.25">
      <c r="B30" s="1166"/>
      <c r="C30" s="1098"/>
      <c r="D30" s="136" t="s">
        <v>163</v>
      </c>
      <c r="E30" s="109" t="s">
        <v>217</v>
      </c>
      <c r="F30" s="673" t="s">
        <v>218</v>
      </c>
      <c r="G30" s="648" t="s">
        <v>174</v>
      </c>
      <c r="H30" s="648" t="s">
        <v>174</v>
      </c>
      <c r="I30" s="100">
        <v>2</v>
      </c>
      <c r="J30" s="100">
        <v>2</v>
      </c>
      <c r="K30" s="100">
        <f t="shared" si="6"/>
        <v>4</v>
      </c>
      <c r="L30" s="648" t="s">
        <v>174</v>
      </c>
      <c r="M30" s="100" t="s">
        <v>168</v>
      </c>
      <c r="N30" s="101">
        <f>'Operating Carbon'!P178</f>
        <v>472000</v>
      </c>
      <c r="O30" s="345">
        <f>'Operating Carbon'!P188</f>
        <v>1132000</v>
      </c>
      <c r="P30" s="101">
        <f t="shared" si="2"/>
        <v>472000</v>
      </c>
      <c r="Q30" s="345">
        <f t="shared" si="1"/>
        <v>1132000</v>
      </c>
      <c r="R30" s="1089"/>
      <c r="S30" s="1089"/>
      <c r="T30" s="1101"/>
      <c r="U30" s="1092"/>
      <c r="V30" s="1092"/>
      <c r="W30" s="165"/>
    </row>
    <row r="31" spans="2:23" x14ac:dyDescent="0.25">
      <c r="B31" s="1166"/>
      <c r="C31" s="1098"/>
      <c r="D31" s="136" t="s">
        <v>163</v>
      </c>
      <c r="E31" s="109" t="s">
        <v>217</v>
      </c>
      <c r="F31" s="673" t="s">
        <v>219</v>
      </c>
      <c r="G31" s="648" t="s">
        <v>174</v>
      </c>
      <c r="H31" s="648" t="s">
        <v>174</v>
      </c>
      <c r="I31" s="100">
        <v>3</v>
      </c>
      <c r="J31" s="100">
        <v>2</v>
      </c>
      <c r="K31" s="100">
        <f t="shared" si="6"/>
        <v>6</v>
      </c>
      <c r="L31" s="648" t="s">
        <v>175</v>
      </c>
      <c r="M31" s="100" t="s">
        <v>168</v>
      </c>
      <c r="N31" s="101">
        <f>'Operating Carbon'!$P$196</f>
        <v>165000</v>
      </c>
      <c r="O31" s="345">
        <f>'Operating Carbon'!P203</f>
        <v>987000</v>
      </c>
      <c r="P31" s="101" t="str">
        <f t="shared" si="2"/>
        <v>n/a</v>
      </c>
      <c r="Q31" s="345" t="str">
        <f t="shared" si="1"/>
        <v>n/a</v>
      </c>
      <c r="R31" s="1089"/>
      <c r="S31" s="1089"/>
      <c r="T31" s="1101"/>
      <c r="U31" s="1092"/>
      <c r="V31" s="1092"/>
      <c r="W31" s="165"/>
    </row>
    <row r="32" spans="2:23" x14ac:dyDescent="0.25">
      <c r="B32" s="1166"/>
      <c r="C32" s="1098"/>
      <c r="D32" s="136" t="s">
        <v>163</v>
      </c>
      <c r="E32" s="109" t="s">
        <v>217</v>
      </c>
      <c r="F32" s="673" t="s">
        <v>220</v>
      </c>
      <c r="G32" s="648" t="s">
        <v>174</v>
      </c>
      <c r="H32" s="648" t="s">
        <v>174</v>
      </c>
      <c r="I32" s="100">
        <v>4</v>
      </c>
      <c r="J32" s="100">
        <v>2</v>
      </c>
      <c r="K32" s="100">
        <f t="shared" si="6"/>
        <v>8</v>
      </c>
      <c r="L32" s="648" t="s">
        <v>175</v>
      </c>
      <c r="M32" s="100" t="s">
        <v>168</v>
      </c>
      <c r="N32" s="101">
        <f>'Operating Carbon'!P211</f>
        <v>329000</v>
      </c>
      <c r="O32" s="345">
        <f>'Operating Carbon'!P218</f>
        <v>987000</v>
      </c>
      <c r="P32" s="101" t="str">
        <f t="shared" si="2"/>
        <v>n/a</v>
      </c>
      <c r="Q32" s="345" t="str">
        <f t="shared" si="1"/>
        <v>n/a</v>
      </c>
      <c r="R32" s="1089"/>
      <c r="S32" s="1089"/>
      <c r="T32" s="1101"/>
      <c r="U32" s="1092"/>
      <c r="V32" s="1092"/>
      <c r="W32" s="165"/>
    </row>
    <row r="33" spans="1:23" x14ac:dyDescent="0.25">
      <c r="B33" s="1166"/>
      <c r="C33" s="1098"/>
      <c r="D33" s="135"/>
      <c r="E33" s="99"/>
      <c r="F33" s="99"/>
      <c r="G33" s="648"/>
      <c r="H33" s="648"/>
      <c r="I33" s="100"/>
      <c r="J33" s="100"/>
      <c r="K33" s="100"/>
      <c r="L33" s="648"/>
      <c r="M33" s="100"/>
      <c r="N33" s="101"/>
      <c r="O33" s="345"/>
      <c r="P33" s="101" t="str">
        <f t="shared" ref="P33:P81" si="8">IF(L33="Yes",N33,"n/a")</f>
        <v>n/a</v>
      </c>
      <c r="Q33" s="345" t="str">
        <f t="shared" ref="Q33:Q81" si="9">IF(L33="Yes",O33,"n/a")</f>
        <v>n/a</v>
      </c>
      <c r="R33" s="1089"/>
      <c r="S33" s="1089"/>
      <c r="T33" s="1101"/>
      <c r="U33" s="1092"/>
      <c r="V33" s="1092"/>
      <c r="W33" s="165"/>
    </row>
    <row r="34" spans="1:23" x14ac:dyDescent="0.25">
      <c r="B34" s="1166"/>
      <c r="C34" s="1098"/>
      <c r="D34" s="135" t="s">
        <v>163</v>
      </c>
      <c r="E34" s="99" t="s">
        <v>221</v>
      </c>
      <c r="F34" s="99" t="s">
        <v>222</v>
      </c>
      <c r="G34" s="648" t="s">
        <v>175</v>
      </c>
      <c r="H34" s="648" t="s">
        <v>174</v>
      </c>
      <c r="I34" s="106">
        <v>0</v>
      </c>
      <c r="J34" s="106">
        <v>0</v>
      </c>
      <c r="K34" s="100">
        <f t="shared" si="6"/>
        <v>0</v>
      </c>
      <c r="L34" s="648" t="s">
        <v>223</v>
      </c>
      <c r="M34" s="100"/>
      <c r="N34" s="675">
        <f>'Operating Carbon'!P224</f>
        <v>0</v>
      </c>
      <c r="O34" s="676">
        <f>'Operating Carbon'!P229</f>
        <v>0</v>
      </c>
      <c r="P34" s="101" t="str">
        <f t="shared" si="8"/>
        <v>n/a</v>
      </c>
      <c r="Q34" s="345" t="str">
        <f t="shared" si="9"/>
        <v>n/a</v>
      </c>
      <c r="R34" s="1089"/>
      <c r="S34" s="1089"/>
      <c r="T34" s="1101"/>
      <c r="U34" s="1092"/>
      <c r="V34" s="1092"/>
      <c r="W34" s="165"/>
    </row>
    <row r="35" spans="1:23" ht="24" x14ac:dyDescent="0.25">
      <c r="B35" s="1166"/>
      <c r="C35" s="1098"/>
      <c r="D35" s="135" t="s">
        <v>163</v>
      </c>
      <c r="E35" s="99" t="s">
        <v>221</v>
      </c>
      <c r="F35" s="701" t="s">
        <v>224</v>
      </c>
      <c r="G35" s="648" t="s">
        <v>166</v>
      </c>
      <c r="H35" s="648" t="s">
        <v>174</v>
      </c>
      <c r="I35" s="106">
        <v>0</v>
      </c>
      <c r="J35" s="106">
        <v>0</v>
      </c>
      <c r="K35" s="100">
        <f t="shared" si="6"/>
        <v>0</v>
      </c>
      <c r="L35" s="648" t="s">
        <v>223</v>
      </c>
      <c r="M35" s="100"/>
      <c r="N35" s="675">
        <f>'Operating Carbon'!P235</f>
        <v>0</v>
      </c>
      <c r="O35" s="676">
        <f>'Operating Carbon'!P240</f>
        <v>0</v>
      </c>
      <c r="P35" s="101" t="str">
        <f t="shared" si="8"/>
        <v>n/a</v>
      </c>
      <c r="Q35" s="345" t="str">
        <f t="shared" si="9"/>
        <v>n/a</v>
      </c>
      <c r="R35" s="1089"/>
      <c r="S35" s="1089"/>
      <c r="T35" s="1101"/>
      <c r="U35" s="1092"/>
      <c r="V35" s="1092"/>
      <c r="W35" s="165"/>
    </row>
    <row r="36" spans="1:23" x14ac:dyDescent="0.25">
      <c r="B36" s="1166"/>
      <c r="C36" s="1098"/>
      <c r="D36" s="135" t="s">
        <v>163</v>
      </c>
      <c r="E36" s="99" t="s">
        <v>221</v>
      </c>
      <c r="F36" s="701" t="s">
        <v>225</v>
      </c>
      <c r="G36" s="648" t="s">
        <v>166</v>
      </c>
      <c r="H36" s="648" t="s">
        <v>174</v>
      </c>
      <c r="I36" s="106">
        <v>0</v>
      </c>
      <c r="J36" s="106">
        <v>0</v>
      </c>
      <c r="K36" s="100">
        <f t="shared" si="6"/>
        <v>0</v>
      </c>
      <c r="L36" s="648" t="s">
        <v>223</v>
      </c>
      <c r="M36" s="100"/>
      <c r="N36" s="675">
        <f>'Operating Carbon'!P246</f>
        <v>0</v>
      </c>
      <c r="O36" s="676">
        <f>'Operating Carbon'!P251</f>
        <v>0</v>
      </c>
      <c r="P36" s="101" t="str">
        <f t="shared" si="8"/>
        <v>n/a</v>
      </c>
      <c r="Q36" s="345" t="str">
        <f t="shared" si="9"/>
        <v>n/a</v>
      </c>
      <c r="R36" s="1089"/>
      <c r="S36" s="1089"/>
      <c r="T36" s="1101"/>
      <c r="U36" s="1092"/>
      <c r="V36" s="1092"/>
      <c r="W36" s="165"/>
    </row>
    <row r="37" spans="1:23" x14ac:dyDescent="0.25">
      <c r="B37" s="1166"/>
      <c r="C37" s="1098"/>
      <c r="D37" s="135" t="s">
        <v>163</v>
      </c>
      <c r="E37" s="99" t="s">
        <v>221</v>
      </c>
      <c r="F37" s="702" t="s">
        <v>226</v>
      </c>
      <c r="G37" s="648" t="s">
        <v>166</v>
      </c>
      <c r="H37" s="648" t="s">
        <v>174</v>
      </c>
      <c r="I37" s="106">
        <v>0</v>
      </c>
      <c r="J37" s="106">
        <v>0</v>
      </c>
      <c r="K37" s="100">
        <f t="shared" si="6"/>
        <v>0</v>
      </c>
      <c r="L37" s="648" t="s">
        <v>223</v>
      </c>
      <c r="M37" s="100"/>
      <c r="N37" s="675">
        <f>'Operating Carbon'!P257</f>
        <v>0</v>
      </c>
      <c r="O37" s="676">
        <f>'Operating Carbon'!P262</f>
        <v>0</v>
      </c>
      <c r="P37" s="101" t="str">
        <f t="shared" si="8"/>
        <v>n/a</v>
      </c>
      <c r="Q37" s="345" t="str">
        <f t="shared" si="9"/>
        <v>n/a</v>
      </c>
      <c r="R37" s="1089"/>
      <c r="S37" s="1089"/>
      <c r="T37" s="1101"/>
      <c r="U37" s="1092"/>
      <c r="V37" s="1092"/>
      <c r="W37" s="165"/>
    </row>
    <row r="38" spans="1:23" ht="24" x14ac:dyDescent="0.25">
      <c r="B38" s="1166"/>
      <c r="C38" s="1098"/>
      <c r="D38" s="135" t="s">
        <v>163</v>
      </c>
      <c r="E38" s="99" t="s">
        <v>221</v>
      </c>
      <c r="F38" s="702" t="s">
        <v>227</v>
      </c>
      <c r="G38" s="648" t="s">
        <v>166</v>
      </c>
      <c r="H38" s="648" t="s">
        <v>174</v>
      </c>
      <c r="I38" s="106">
        <v>0</v>
      </c>
      <c r="J38" s="106">
        <v>0</v>
      </c>
      <c r="K38" s="100">
        <f t="shared" si="6"/>
        <v>0</v>
      </c>
      <c r="L38" s="648" t="s">
        <v>223</v>
      </c>
      <c r="M38" s="100"/>
      <c r="N38" s="675">
        <f>'Operating Carbon'!P267</f>
        <v>0</v>
      </c>
      <c r="O38" s="676">
        <f>'Operating Carbon'!P272</f>
        <v>0</v>
      </c>
      <c r="P38" s="101" t="str">
        <f t="shared" si="8"/>
        <v>n/a</v>
      </c>
      <c r="Q38" s="345" t="str">
        <f t="shared" si="9"/>
        <v>n/a</v>
      </c>
      <c r="R38" s="1089"/>
      <c r="S38" s="1089"/>
      <c r="T38" s="1101"/>
      <c r="U38" s="1092"/>
      <c r="V38" s="1092"/>
      <c r="W38" s="165"/>
    </row>
    <row r="39" spans="1:23" ht="24" x14ac:dyDescent="0.25">
      <c r="B39" s="1166"/>
      <c r="C39" s="1098"/>
      <c r="D39" s="135" t="s">
        <v>163</v>
      </c>
      <c r="E39" s="99" t="s">
        <v>221</v>
      </c>
      <c r="F39" s="703" t="s">
        <v>228</v>
      </c>
      <c r="G39" s="648" t="s">
        <v>166</v>
      </c>
      <c r="H39" s="648" t="s">
        <v>174</v>
      </c>
      <c r="I39" s="106">
        <v>0</v>
      </c>
      <c r="J39" s="106">
        <v>0</v>
      </c>
      <c r="K39" s="100">
        <f t="shared" si="6"/>
        <v>0</v>
      </c>
      <c r="L39" s="648" t="s">
        <v>223</v>
      </c>
      <c r="M39" s="100"/>
      <c r="N39" s="675">
        <f>'Operating Carbon'!P277</f>
        <v>0</v>
      </c>
      <c r="O39" s="676">
        <f>'Operating Carbon'!P282</f>
        <v>0</v>
      </c>
      <c r="P39" s="101" t="str">
        <f t="shared" si="8"/>
        <v>n/a</v>
      </c>
      <c r="Q39" s="345" t="str">
        <f t="shared" si="9"/>
        <v>n/a</v>
      </c>
      <c r="R39" s="1089"/>
      <c r="S39" s="1089"/>
      <c r="T39" s="1101"/>
      <c r="U39" s="1092"/>
      <c r="V39" s="1092"/>
      <c r="W39" s="165"/>
    </row>
    <row r="40" spans="1:23" x14ac:dyDescent="0.25">
      <c r="B40" s="1166"/>
      <c r="C40" s="1098"/>
      <c r="D40" s="135"/>
      <c r="E40" s="99"/>
      <c r="F40" s="99"/>
      <c r="G40" s="648"/>
      <c r="H40" s="648"/>
      <c r="I40" s="100"/>
      <c r="J40" s="100"/>
      <c r="K40" s="100"/>
      <c r="L40" s="648" t="s">
        <v>223</v>
      </c>
      <c r="M40" s="100"/>
      <c r="N40" s="101"/>
      <c r="O40" s="101"/>
      <c r="P40" s="101" t="str">
        <f>IF(L40="Yes",N41,"n/a")</f>
        <v>n/a</v>
      </c>
      <c r="Q40" s="345" t="str">
        <f>IF(L40="Yes",O41,"n/a")</f>
        <v>n/a</v>
      </c>
      <c r="R40" s="1089"/>
      <c r="S40" s="1089"/>
      <c r="T40" s="1101"/>
      <c r="U40" s="1092"/>
      <c r="V40" s="1092"/>
      <c r="W40" s="165"/>
    </row>
    <row r="41" spans="1:23" x14ac:dyDescent="0.25">
      <c r="B41" s="1166"/>
      <c r="C41" s="1098"/>
      <c r="D41" s="135" t="s">
        <v>163</v>
      </c>
      <c r="E41" s="99" t="s">
        <v>229</v>
      </c>
      <c r="F41" s="99" t="s">
        <v>230</v>
      </c>
      <c r="G41" s="648" t="s">
        <v>175</v>
      </c>
      <c r="H41" s="648" t="s">
        <v>174</v>
      </c>
      <c r="I41" s="106">
        <v>0</v>
      </c>
      <c r="J41" s="106">
        <v>0</v>
      </c>
      <c r="K41" s="100">
        <f t="shared" si="6"/>
        <v>0</v>
      </c>
      <c r="L41" s="648" t="s">
        <v>223</v>
      </c>
      <c r="M41" s="100"/>
      <c r="N41" s="675">
        <f>'Operating Carbon'!P287</f>
        <v>0</v>
      </c>
      <c r="O41" s="676">
        <f>'Operating Carbon'!P292</f>
        <v>0</v>
      </c>
      <c r="P41" s="101" t="str">
        <f>IF(L41="Yes",N42,"n/a")</f>
        <v>n/a</v>
      </c>
      <c r="Q41" s="345" t="str">
        <f>IF(L41="Yes",O42,"n/a")</f>
        <v>n/a</v>
      </c>
      <c r="R41" s="1089"/>
      <c r="S41" s="1089"/>
      <c r="T41" s="1101"/>
      <c r="U41" s="1092"/>
      <c r="V41" s="1092"/>
      <c r="W41" s="165"/>
    </row>
    <row r="42" spans="1:23" ht="24" x14ac:dyDescent="0.25">
      <c r="B42" s="1166"/>
      <c r="C42" s="1098"/>
      <c r="D42" s="135" t="s">
        <v>163</v>
      </c>
      <c r="E42" s="99" t="s">
        <v>229</v>
      </c>
      <c r="F42" s="701" t="s">
        <v>231</v>
      </c>
      <c r="G42" s="648" t="s">
        <v>166</v>
      </c>
      <c r="H42" s="648" t="s">
        <v>174</v>
      </c>
      <c r="I42" s="106">
        <v>0</v>
      </c>
      <c r="J42" s="106">
        <v>0</v>
      </c>
      <c r="K42" s="100">
        <f t="shared" si="6"/>
        <v>0</v>
      </c>
      <c r="L42" s="648" t="s">
        <v>223</v>
      </c>
      <c r="M42" s="100"/>
      <c r="N42" s="675">
        <f>'Operating Carbon'!P298</f>
        <v>0</v>
      </c>
      <c r="O42" s="676">
        <f>'Operating Carbon'!P303</f>
        <v>0</v>
      </c>
      <c r="P42" s="101" t="str">
        <f>IF(L42="Yes",#REF!,"n/a")</f>
        <v>n/a</v>
      </c>
      <c r="Q42" s="345" t="str">
        <f>IF(L42="Yes",#REF!,"n/a")</f>
        <v>n/a</v>
      </c>
      <c r="R42" s="1089"/>
      <c r="S42" s="1089"/>
      <c r="T42" s="1101"/>
      <c r="U42" s="1092"/>
      <c r="V42" s="1092"/>
      <c r="W42" s="165"/>
    </row>
    <row r="43" spans="1:23" x14ac:dyDescent="0.25">
      <c r="B43" s="1166"/>
      <c r="C43" s="1098"/>
      <c r="D43" s="135" t="s">
        <v>163</v>
      </c>
      <c r="E43" s="99" t="s">
        <v>229</v>
      </c>
      <c r="F43" s="701" t="s">
        <v>232</v>
      </c>
      <c r="G43" s="648" t="s">
        <v>166</v>
      </c>
      <c r="H43" s="648" t="s">
        <v>174</v>
      </c>
      <c r="I43" s="106">
        <v>0</v>
      </c>
      <c r="J43" s="106">
        <v>0</v>
      </c>
      <c r="K43" s="100">
        <f t="shared" si="6"/>
        <v>0</v>
      </c>
      <c r="L43" s="648" t="s">
        <v>223</v>
      </c>
      <c r="M43" s="100"/>
      <c r="N43" s="675">
        <f>'Operating Carbon'!P309</f>
        <v>0</v>
      </c>
      <c r="O43" s="676">
        <f>'Operating Carbon'!P314</f>
        <v>0</v>
      </c>
      <c r="P43" s="101" t="str">
        <f t="shared" si="8"/>
        <v>n/a</v>
      </c>
      <c r="Q43" s="345" t="str">
        <f t="shared" si="9"/>
        <v>n/a</v>
      </c>
      <c r="R43" s="1089"/>
      <c r="S43" s="1089"/>
      <c r="T43" s="1101"/>
      <c r="U43" s="1092"/>
      <c r="V43" s="1092"/>
      <c r="W43" s="165"/>
    </row>
    <row r="44" spans="1:23" ht="24" x14ac:dyDescent="0.25">
      <c r="B44" s="1166"/>
      <c r="C44" s="1098"/>
      <c r="D44" s="135" t="s">
        <v>163</v>
      </c>
      <c r="E44" s="99" t="s">
        <v>229</v>
      </c>
      <c r="F44" s="702" t="s">
        <v>233</v>
      </c>
      <c r="G44" s="648" t="s">
        <v>166</v>
      </c>
      <c r="H44" s="648" t="s">
        <v>174</v>
      </c>
      <c r="I44" s="106">
        <v>0</v>
      </c>
      <c r="J44" s="106">
        <v>0</v>
      </c>
      <c r="K44" s="100">
        <f t="shared" si="6"/>
        <v>0</v>
      </c>
      <c r="L44" s="648" t="s">
        <v>223</v>
      </c>
      <c r="M44" s="100"/>
      <c r="N44" s="675">
        <f>'Operating Carbon'!P320</f>
        <v>0</v>
      </c>
      <c r="O44" s="676">
        <f>'Operating Carbon'!P325</f>
        <v>0</v>
      </c>
      <c r="P44" s="101" t="str">
        <f t="shared" si="8"/>
        <v>n/a</v>
      </c>
      <c r="Q44" s="345" t="str">
        <f t="shared" si="9"/>
        <v>n/a</v>
      </c>
      <c r="R44" s="1089"/>
      <c r="S44" s="1089"/>
      <c r="T44" s="1101"/>
      <c r="U44" s="1092"/>
      <c r="V44" s="1092"/>
      <c r="W44" s="165"/>
    </row>
    <row r="45" spans="1:23" ht="24" x14ac:dyDescent="0.25">
      <c r="B45" s="1166"/>
      <c r="C45" s="1098"/>
      <c r="D45" s="135" t="s">
        <v>163</v>
      </c>
      <c r="E45" s="99" t="s">
        <v>229</v>
      </c>
      <c r="F45" s="703" t="s">
        <v>234</v>
      </c>
      <c r="G45" s="648" t="s">
        <v>166</v>
      </c>
      <c r="H45" s="648" t="s">
        <v>174</v>
      </c>
      <c r="I45" s="106">
        <v>0</v>
      </c>
      <c r="J45" s="106">
        <v>0</v>
      </c>
      <c r="K45" s="100">
        <f t="shared" si="6"/>
        <v>0</v>
      </c>
      <c r="L45" s="648" t="s">
        <v>223</v>
      </c>
      <c r="M45" s="100"/>
      <c r="N45" s="675">
        <f>'Operating Carbon'!P330</f>
        <v>0</v>
      </c>
      <c r="O45" s="676">
        <f>'Operating Carbon'!P335</f>
        <v>0</v>
      </c>
      <c r="P45" s="101" t="str">
        <f t="shared" si="8"/>
        <v>n/a</v>
      </c>
      <c r="Q45" s="345" t="str">
        <f t="shared" si="9"/>
        <v>n/a</v>
      </c>
      <c r="R45" s="1089"/>
      <c r="S45" s="1089"/>
      <c r="T45" s="1101"/>
      <c r="U45" s="1092"/>
      <c r="V45" s="1092"/>
      <c r="W45" s="165"/>
    </row>
    <row r="46" spans="1:23" ht="26.1" customHeight="1" x14ac:dyDescent="0.25">
      <c r="B46" s="1166"/>
      <c r="C46" s="1098"/>
      <c r="D46" s="135" t="s">
        <v>163</v>
      </c>
      <c r="E46" s="99" t="s">
        <v>229</v>
      </c>
      <c r="F46" s="704" t="s">
        <v>235</v>
      </c>
      <c r="G46" s="648" t="s">
        <v>166</v>
      </c>
      <c r="H46" s="648" t="s">
        <v>174</v>
      </c>
      <c r="I46" s="106">
        <v>0</v>
      </c>
      <c r="J46" s="106">
        <v>0</v>
      </c>
      <c r="K46" s="100">
        <f t="shared" si="6"/>
        <v>0</v>
      </c>
      <c r="L46" s="648" t="s">
        <v>223</v>
      </c>
      <c r="M46" s="100"/>
      <c r="N46" s="675">
        <f>'Operating Carbon'!P340</f>
        <v>0</v>
      </c>
      <c r="O46" s="676">
        <f>'Operating Carbon'!P345</f>
        <v>0</v>
      </c>
      <c r="P46" s="101" t="str">
        <f t="shared" si="8"/>
        <v>n/a</v>
      </c>
      <c r="Q46" s="345" t="str">
        <f t="shared" si="9"/>
        <v>n/a</v>
      </c>
      <c r="R46" s="1089"/>
      <c r="S46" s="1089"/>
      <c r="T46" s="1101"/>
      <c r="U46" s="1092"/>
      <c r="V46" s="1092"/>
      <c r="W46" s="165"/>
    </row>
    <row r="47" spans="1:23" x14ac:dyDescent="0.25">
      <c r="A47" t="s">
        <v>236</v>
      </c>
      <c r="B47" s="1166"/>
      <c r="C47" s="1098"/>
      <c r="D47" s="135"/>
      <c r="E47" s="99"/>
      <c r="F47" s="99"/>
      <c r="G47" s="648"/>
      <c r="H47" s="648"/>
      <c r="I47" s="100"/>
      <c r="J47" s="100"/>
      <c r="K47" s="100"/>
      <c r="L47" s="648" t="s">
        <v>223</v>
      </c>
      <c r="M47" s="100"/>
      <c r="N47" s="675"/>
      <c r="O47" s="676"/>
      <c r="P47" s="101" t="str">
        <f t="shared" si="8"/>
        <v>n/a</v>
      </c>
      <c r="Q47" s="345" t="str">
        <f t="shared" si="9"/>
        <v>n/a</v>
      </c>
      <c r="R47" s="1089"/>
      <c r="S47" s="1089"/>
      <c r="T47" s="1101"/>
      <c r="U47" s="1092"/>
      <c r="V47" s="1092"/>
      <c r="W47" s="165"/>
    </row>
    <row r="48" spans="1:23" ht="24" x14ac:dyDescent="0.25">
      <c r="B48" s="1166"/>
      <c r="C48" s="1098"/>
      <c r="D48" s="135" t="s">
        <v>163</v>
      </c>
      <c r="E48" s="99" t="s">
        <v>237</v>
      </c>
      <c r="F48" s="701" t="s">
        <v>238</v>
      </c>
      <c r="G48" s="648" t="s">
        <v>175</v>
      </c>
      <c r="H48" s="648" t="s">
        <v>174</v>
      </c>
      <c r="I48" s="106">
        <v>0</v>
      </c>
      <c r="J48" s="106">
        <v>0</v>
      </c>
      <c r="K48" s="100">
        <f t="shared" si="6"/>
        <v>0</v>
      </c>
      <c r="L48" s="648" t="s">
        <v>223</v>
      </c>
      <c r="M48" s="100"/>
      <c r="N48" s="675">
        <f>'Operating Carbon'!P350</f>
        <v>0</v>
      </c>
      <c r="O48" s="676">
        <f>'Operating Carbon'!P355</f>
        <v>0</v>
      </c>
      <c r="P48" s="101" t="str">
        <f t="shared" si="8"/>
        <v>n/a</v>
      </c>
      <c r="Q48" s="345" t="str">
        <f t="shared" si="9"/>
        <v>n/a</v>
      </c>
      <c r="R48" s="1089"/>
      <c r="S48" s="1089"/>
      <c r="T48" s="1101"/>
      <c r="U48" s="1092"/>
      <c r="V48" s="1092"/>
      <c r="W48" s="165"/>
    </row>
    <row r="49" spans="2:23" ht="36" x14ac:dyDescent="0.25">
      <c r="B49" s="1166"/>
      <c r="C49" s="1098"/>
      <c r="D49" s="135" t="s">
        <v>163</v>
      </c>
      <c r="E49" s="99" t="s">
        <v>237</v>
      </c>
      <c r="F49" s="701" t="s">
        <v>239</v>
      </c>
      <c r="G49" s="648" t="s">
        <v>166</v>
      </c>
      <c r="H49" s="648" t="s">
        <v>174</v>
      </c>
      <c r="I49" s="106">
        <v>0</v>
      </c>
      <c r="J49" s="106">
        <v>0</v>
      </c>
      <c r="K49" s="100">
        <f t="shared" si="6"/>
        <v>0</v>
      </c>
      <c r="L49" s="648" t="s">
        <v>223</v>
      </c>
      <c r="M49" s="100"/>
      <c r="N49" s="675">
        <f>'Operating Carbon'!P361</f>
        <v>0</v>
      </c>
      <c r="O49" s="676">
        <f>'Operating Carbon'!P366</f>
        <v>0</v>
      </c>
      <c r="P49" s="101" t="str">
        <f t="shared" si="8"/>
        <v>n/a</v>
      </c>
      <c r="Q49" s="345" t="str">
        <f t="shared" si="9"/>
        <v>n/a</v>
      </c>
      <c r="R49" s="1089"/>
      <c r="S49" s="1089"/>
      <c r="T49" s="1101"/>
      <c r="U49" s="1092"/>
      <c r="V49" s="1092"/>
      <c r="W49" s="165"/>
    </row>
    <row r="50" spans="2:23" ht="36" x14ac:dyDescent="0.25">
      <c r="B50" s="1166"/>
      <c r="C50" s="1098"/>
      <c r="D50" s="135" t="s">
        <v>163</v>
      </c>
      <c r="E50" s="99" t="s">
        <v>237</v>
      </c>
      <c r="F50" s="702" t="s">
        <v>240</v>
      </c>
      <c r="G50" s="648" t="s">
        <v>166</v>
      </c>
      <c r="H50" s="648" t="s">
        <v>174</v>
      </c>
      <c r="I50" s="106">
        <v>0</v>
      </c>
      <c r="J50" s="106">
        <v>0</v>
      </c>
      <c r="K50" s="100">
        <f t="shared" si="6"/>
        <v>0</v>
      </c>
      <c r="L50" s="648" t="s">
        <v>223</v>
      </c>
      <c r="M50" s="100"/>
      <c r="N50" s="675">
        <f>'Operating Carbon'!P371</f>
        <v>0</v>
      </c>
      <c r="O50" s="676">
        <f>'Operating Carbon'!P376</f>
        <v>0</v>
      </c>
      <c r="P50" s="101" t="str">
        <f t="shared" si="8"/>
        <v>n/a</v>
      </c>
      <c r="Q50" s="345" t="str">
        <f t="shared" si="9"/>
        <v>n/a</v>
      </c>
      <c r="R50" s="1089"/>
      <c r="S50" s="1089"/>
      <c r="T50" s="1101"/>
      <c r="U50" s="1092"/>
      <c r="V50" s="1092"/>
      <c r="W50" s="165"/>
    </row>
    <row r="51" spans="2:23" ht="36" x14ac:dyDescent="0.25">
      <c r="B51" s="1166"/>
      <c r="C51" s="1098"/>
      <c r="D51" s="135" t="s">
        <v>163</v>
      </c>
      <c r="E51" s="99" t="s">
        <v>237</v>
      </c>
      <c r="F51" s="703" t="s">
        <v>241</v>
      </c>
      <c r="G51" s="648" t="s">
        <v>166</v>
      </c>
      <c r="H51" s="648" t="s">
        <v>174</v>
      </c>
      <c r="I51" s="106">
        <v>0</v>
      </c>
      <c r="J51" s="106">
        <v>0</v>
      </c>
      <c r="K51" s="100">
        <f t="shared" si="6"/>
        <v>0</v>
      </c>
      <c r="L51" s="648" t="s">
        <v>223</v>
      </c>
      <c r="M51" s="100"/>
      <c r="N51" s="675">
        <f>'Operating Carbon'!P382</f>
        <v>0</v>
      </c>
      <c r="O51" s="676">
        <f>'Operating Carbon'!P387</f>
        <v>0</v>
      </c>
      <c r="P51" s="101" t="str">
        <f t="shared" si="8"/>
        <v>n/a</v>
      </c>
      <c r="Q51" s="345" t="str">
        <f t="shared" si="9"/>
        <v>n/a</v>
      </c>
      <c r="R51" s="1089"/>
      <c r="S51" s="1089"/>
      <c r="T51" s="1101"/>
      <c r="U51" s="1092"/>
      <c r="V51" s="1092"/>
      <c r="W51" s="165"/>
    </row>
    <row r="52" spans="2:23" ht="34.5" customHeight="1" x14ac:dyDescent="0.25">
      <c r="B52" s="1166"/>
      <c r="C52" s="1098"/>
      <c r="D52" s="135" t="s">
        <v>163</v>
      </c>
      <c r="E52" s="99" t="s">
        <v>237</v>
      </c>
      <c r="F52" s="704" t="s">
        <v>242</v>
      </c>
      <c r="G52" s="648" t="s">
        <v>166</v>
      </c>
      <c r="H52" s="648" t="s">
        <v>174</v>
      </c>
      <c r="I52" s="106">
        <v>0</v>
      </c>
      <c r="J52" s="106">
        <v>0</v>
      </c>
      <c r="K52" s="100">
        <f t="shared" si="6"/>
        <v>0</v>
      </c>
      <c r="L52" s="648" t="s">
        <v>223</v>
      </c>
      <c r="M52" s="100"/>
      <c r="N52" s="675">
        <f>'Operating Carbon'!P392</f>
        <v>0</v>
      </c>
      <c r="O52" s="676">
        <f>'Operating Carbon'!P397</f>
        <v>0</v>
      </c>
      <c r="P52" s="101" t="str">
        <f t="shared" si="8"/>
        <v>n/a</v>
      </c>
      <c r="Q52" s="345" t="str">
        <f t="shared" si="9"/>
        <v>n/a</v>
      </c>
      <c r="R52" s="1089"/>
      <c r="S52" s="1089"/>
      <c r="T52" s="1101"/>
      <c r="U52" s="1092"/>
      <c r="V52" s="1092"/>
      <c r="W52" s="165"/>
    </row>
    <row r="53" spans="2:23" x14ac:dyDescent="0.25">
      <c r="B53" s="1166"/>
      <c r="C53" s="1098"/>
      <c r="D53" s="135"/>
      <c r="E53" s="99"/>
      <c r="F53" s="99"/>
      <c r="G53" s="648"/>
      <c r="H53" s="648"/>
      <c r="I53" s="100"/>
      <c r="J53" s="100"/>
      <c r="K53" s="100"/>
      <c r="L53" s="648"/>
      <c r="M53" s="100"/>
      <c r="N53" s="675"/>
      <c r="O53" s="676"/>
      <c r="P53" s="101" t="str">
        <f t="shared" si="8"/>
        <v>n/a</v>
      </c>
      <c r="Q53" s="345" t="str">
        <f t="shared" si="9"/>
        <v>n/a</v>
      </c>
      <c r="R53" s="1089"/>
      <c r="S53" s="1089"/>
      <c r="T53" s="1101"/>
      <c r="U53" s="1092"/>
      <c r="V53" s="1092"/>
      <c r="W53" s="165"/>
    </row>
    <row r="54" spans="2:23" x14ac:dyDescent="0.25">
      <c r="B54" s="1166"/>
      <c r="C54" s="1098"/>
      <c r="D54" s="135" t="s">
        <v>163</v>
      </c>
      <c r="E54" s="99" t="s">
        <v>243</v>
      </c>
      <c r="F54" s="99" t="s">
        <v>222</v>
      </c>
      <c r="G54" s="648" t="s">
        <v>175</v>
      </c>
      <c r="H54" s="648" t="s">
        <v>174</v>
      </c>
      <c r="I54" s="106">
        <v>0</v>
      </c>
      <c r="J54" s="106">
        <v>0</v>
      </c>
      <c r="K54" s="100">
        <f t="shared" si="6"/>
        <v>0</v>
      </c>
      <c r="L54" s="648" t="s">
        <v>223</v>
      </c>
      <c r="M54" s="100"/>
      <c r="N54" s="675">
        <f>'Operating Carbon'!P402</f>
        <v>0</v>
      </c>
      <c r="O54" s="676">
        <f>'Operating Carbon'!P407</f>
        <v>0</v>
      </c>
      <c r="P54" s="101" t="str">
        <f t="shared" si="8"/>
        <v>n/a</v>
      </c>
      <c r="Q54" s="345" t="str">
        <f t="shared" si="9"/>
        <v>n/a</v>
      </c>
      <c r="R54" s="1089"/>
      <c r="S54" s="1089"/>
      <c r="T54" s="1101"/>
      <c r="U54" s="1092"/>
      <c r="V54" s="1092"/>
      <c r="W54" s="165"/>
    </row>
    <row r="55" spans="2:23" ht="24" x14ac:dyDescent="0.25">
      <c r="B55" s="1166"/>
      <c r="C55" s="1098"/>
      <c r="D55" s="135" t="s">
        <v>163</v>
      </c>
      <c r="E55" s="99" t="s">
        <v>243</v>
      </c>
      <c r="F55" s="701" t="s">
        <v>244</v>
      </c>
      <c r="G55" s="648" t="s">
        <v>166</v>
      </c>
      <c r="H55" s="648" t="s">
        <v>174</v>
      </c>
      <c r="I55" s="106">
        <v>0</v>
      </c>
      <c r="J55" s="106">
        <v>0</v>
      </c>
      <c r="K55" s="100">
        <f t="shared" si="6"/>
        <v>0</v>
      </c>
      <c r="L55" s="648" t="s">
        <v>223</v>
      </c>
      <c r="M55" s="100"/>
      <c r="N55" s="675">
        <f>'Operating Carbon'!P412</f>
        <v>0</v>
      </c>
      <c r="O55" s="676">
        <f>'Operating Carbon'!P417</f>
        <v>0</v>
      </c>
      <c r="P55" s="101" t="str">
        <f t="shared" si="8"/>
        <v>n/a</v>
      </c>
      <c r="Q55" s="345" t="str">
        <f t="shared" si="9"/>
        <v>n/a</v>
      </c>
      <c r="R55" s="1089"/>
      <c r="S55" s="1089"/>
      <c r="T55" s="1101"/>
      <c r="U55" s="1092"/>
      <c r="V55" s="1092"/>
      <c r="W55" s="165"/>
    </row>
    <row r="56" spans="2:23" ht="28.35" customHeight="1" x14ac:dyDescent="0.25">
      <c r="B56" s="1166"/>
      <c r="C56" s="1098"/>
      <c r="D56" s="135" t="s">
        <v>163</v>
      </c>
      <c r="E56" s="99" t="s">
        <v>243</v>
      </c>
      <c r="F56" s="701" t="s">
        <v>245</v>
      </c>
      <c r="G56" s="648" t="s">
        <v>166</v>
      </c>
      <c r="H56" s="648" t="s">
        <v>174</v>
      </c>
      <c r="I56" s="106">
        <v>0</v>
      </c>
      <c r="J56" s="106">
        <v>0</v>
      </c>
      <c r="K56" s="100">
        <f t="shared" si="6"/>
        <v>0</v>
      </c>
      <c r="L56" s="648" t="s">
        <v>223</v>
      </c>
      <c r="M56" s="100"/>
      <c r="N56" s="675">
        <f>'Operating Carbon'!P423</f>
        <v>0</v>
      </c>
      <c r="O56" s="676">
        <f>'Operating Carbon'!P428</f>
        <v>0</v>
      </c>
      <c r="P56" s="101" t="str">
        <f t="shared" si="8"/>
        <v>n/a</v>
      </c>
      <c r="Q56" s="345" t="str">
        <f t="shared" si="9"/>
        <v>n/a</v>
      </c>
      <c r="R56" s="1089"/>
      <c r="S56" s="1089"/>
      <c r="T56" s="1101"/>
      <c r="U56" s="1092"/>
      <c r="V56" s="1092"/>
      <c r="W56" s="165"/>
    </row>
    <row r="57" spans="2:23" ht="24" x14ac:dyDescent="0.25">
      <c r="B57" s="1166"/>
      <c r="C57" s="1098"/>
      <c r="D57" s="135" t="s">
        <v>163</v>
      </c>
      <c r="E57" s="99" t="s">
        <v>243</v>
      </c>
      <c r="F57" s="702" t="s">
        <v>246</v>
      </c>
      <c r="G57" s="648" t="s">
        <v>166</v>
      </c>
      <c r="H57" s="648" t="s">
        <v>174</v>
      </c>
      <c r="I57" s="106">
        <v>0</v>
      </c>
      <c r="J57" s="106">
        <v>0</v>
      </c>
      <c r="K57" s="100">
        <f t="shared" si="6"/>
        <v>0</v>
      </c>
      <c r="L57" s="648" t="s">
        <v>223</v>
      </c>
      <c r="M57" s="100"/>
      <c r="N57" s="675">
        <f>'Operating Carbon'!P433</f>
        <v>0</v>
      </c>
      <c r="O57" s="676">
        <f>'Operating Carbon'!P438</f>
        <v>0</v>
      </c>
      <c r="P57" s="101" t="str">
        <f t="shared" si="8"/>
        <v>n/a</v>
      </c>
      <c r="Q57" s="345" t="str">
        <f t="shared" si="9"/>
        <v>n/a</v>
      </c>
      <c r="R57" s="1089"/>
      <c r="S57" s="1089"/>
      <c r="T57" s="1101"/>
      <c r="U57" s="1092"/>
      <c r="V57" s="1092"/>
      <c r="W57" s="165"/>
    </row>
    <row r="58" spans="2:23" ht="24" x14ac:dyDescent="0.25">
      <c r="B58" s="1166"/>
      <c r="C58" s="1098"/>
      <c r="D58" s="135" t="s">
        <v>163</v>
      </c>
      <c r="E58" s="99" t="s">
        <v>243</v>
      </c>
      <c r="F58" s="702" t="s">
        <v>247</v>
      </c>
      <c r="G58" s="648" t="s">
        <v>166</v>
      </c>
      <c r="H58" s="648" t="s">
        <v>174</v>
      </c>
      <c r="I58" s="106">
        <v>0</v>
      </c>
      <c r="J58" s="106">
        <v>0</v>
      </c>
      <c r="K58" s="100">
        <f t="shared" si="6"/>
        <v>0</v>
      </c>
      <c r="L58" s="648" t="s">
        <v>223</v>
      </c>
      <c r="M58" s="100"/>
      <c r="N58" s="675">
        <f>'Operating Carbon'!P443</f>
        <v>0</v>
      </c>
      <c r="O58" s="676">
        <f>'Operating Carbon'!P448</f>
        <v>0</v>
      </c>
      <c r="P58" s="101" t="str">
        <f t="shared" si="8"/>
        <v>n/a</v>
      </c>
      <c r="Q58" s="345" t="str">
        <f t="shared" si="9"/>
        <v>n/a</v>
      </c>
      <c r="R58" s="1089"/>
      <c r="S58" s="1089"/>
      <c r="T58" s="1101"/>
      <c r="U58" s="1092"/>
      <c r="V58" s="1092"/>
      <c r="W58" s="165"/>
    </row>
    <row r="59" spans="2:23" ht="24" x14ac:dyDescent="0.25">
      <c r="B59" s="1166"/>
      <c r="C59" s="1098"/>
      <c r="D59" s="135" t="s">
        <v>163</v>
      </c>
      <c r="E59" s="99" t="s">
        <v>243</v>
      </c>
      <c r="F59" s="703" t="s">
        <v>248</v>
      </c>
      <c r="G59" s="648" t="s">
        <v>166</v>
      </c>
      <c r="H59" s="648" t="s">
        <v>174</v>
      </c>
      <c r="I59" s="106">
        <v>0</v>
      </c>
      <c r="J59" s="106">
        <v>0</v>
      </c>
      <c r="K59" s="100">
        <f t="shared" si="6"/>
        <v>0</v>
      </c>
      <c r="L59" s="648" t="s">
        <v>223</v>
      </c>
      <c r="M59" s="100"/>
      <c r="N59" s="675">
        <f>'Operating Carbon'!P453</f>
        <v>0</v>
      </c>
      <c r="O59" s="676">
        <f>'Operating Carbon'!P458</f>
        <v>0</v>
      </c>
      <c r="P59" s="101" t="str">
        <f t="shared" si="8"/>
        <v>n/a</v>
      </c>
      <c r="Q59" s="345" t="str">
        <f t="shared" si="9"/>
        <v>n/a</v>
      </c>
      <c r="R59" s="1089"/>
      <c r="S59" s="1089"/>
      <c r="T59" s="1101"/>
      <c r="U59" s="1092"/>
      <c r="V59" s="1092"/>
      <c r="W59" s="165"/>
    </row>
    <row r="60" spans="2:23" ht="24" x14ac:dyDescent="0.25">
      <c r="B60" s="1166"/>
      <c r="C60" s="1098"/>
      <c r="D60" s="135" t="s">
        <v>163</v>
      </c>
      <c r="E60" s="99" t="s">
        <v>243</v>
      </c>
      <c r="F60" s="704" t="s">
        <v>249</v>
      </c>
      <c r="G60" s="648" t="s">
        <v>166</v>
      </c>
      <c r="H60" s="648" t="s">
        <v>174</v>
      </c>
      <c r="I60" s="106">
        <v>0</v>
      </c>
      <c r="J60" s="106">
        <v>0</v>
      </c>
      <c r="K60" s="100">
        <f t="shared" si="6"/>
        <v>0</v>
      </c>
      <c r="L60" s="648" t="s">
        <v>223</v>
      </c>
      <c r="M60" s="100"/>
      <c r="N60" s="675">
        <f>'Operating Carbon'!P463</f>
        <v>0</v>
      </c>
      <c r="O60" s="676">
        <f>'Operating Carbon'!P468</f>
        <v>0</v>
      </c>
      <c r="P60" s="101" t="str">
        <f t="shared" si="8"/>
        <v>n/a</v>
      </c>
      <c r="Q60" s="345" t="str">
        <f t="shared" si="9"/>
        <v>n/a</v>
      </c>
      <c r="R60" s="1089"/>
      <c r="S60" s="1089"/>
      <c r="T60" s="1101"/>
      <c r="U60" s="1092"/>
      <c r="V60" s="1092"/>
      <c r="W60" s="165"/>
    </row>
    <row r="61" spans="2:23" x14ac:dyDescent="0.25">
      <c r="B61" s="1166"/>
      <c r="C61" s="1098"/>
      <c r="D61" s="135"/>
      <c r="E61" s="99"/>
      <c r="F61" s="99"/>
      <c r="G61" s="648"/>
      <c r="H61" s="648"/>
      <c r="I61" s="100"/>
      <c r="J61" s="100"/>
      <c r="K61" s="100"/>
      <c r="L61" s="648"/>
      <c r="M61" s="100"/>
      <c r="N61" s="675"/>
      <c r="O61" s="676"/>
      <c r="P61" s="101" t="str">
        <f t="shared" si="8"/>
        <v>n/a</v>
      </c>
      <c r="Q61" s="345" t="str">
        <f t="shared" si="9"/>
        <v>n/a</v>
      </c>
      <c r="R61" s="1089"/>
      <c r="S61" s="1089"/>
      <c r="T61" s="1101"/>
      <c r="U61" s="1092"/>
      <c r="V61" s="1092"/>
      <c r="W61" s="165"/>
    </row>
    <row r="62" spans="2:23" x14ac:dyDescent="0.25">
      <c r="B62" s="1166"/>
      <c r="C62" s="1098"/>
      <c r="D62" s="135" t="s">
        <v>163</v>
      </c>
      <c r="E62" s="99" t="s">
        <v>250</v>
      </c>
      <c r="F62" s="99" t="s">
        <v>222</v>
      </c>
      <c r="G62" s="648" t="s">
        <v>175</v>
      </c>
      <c r="H62" s="648" t="s">
        <v>174</v>
      </c>
      <c r="I62" s="106">
        <v>0</v>
      </c>
      <c r="J62" s="106">
        <v>0</v>
      </c>
      <c r="K62" s="100">
        <f t="shared" si="6"/>
        <v>0</v>
      </c>
      <c r="L62" s="648" t="s">
        <v>223</v>
      </c>
      <c r="M62" s="100"/>
      <c r="N62" s="675">
        <f>'Operating Carbon'!P473</f>
        <v>0</v>
      </c>
      <c r="O62" s="676">
        <f>'Operating Carbon'!P478</f>
        <v>0</v>
      </c>
      <c r="P62" s="101" t="str">
        <f t="shared" si="8"/>
        <v>n/a</v>
      </c>
      <c r="Q62" s="345" t="str">
        <f t="shared" si="9"/>
        <v>n/a</v>
      </c>
      <c r="R62" s="1089"/>
      <c r="S62" s="1089"/>
      <c r="T62" s="1101"/>
      <c r="U62" s="1092"/>
      <c r="V62" s="1092"/>
      <c r="W62" s="165"/>
    </row>
    <row r="63" spans="2:23" x14ac:dyDescent="0.25">
      <c r="B63" s="1166"/>
      <c r="C63" s="1098"/>
      <c r="D63" s="135" t="s">
        <v>163</v>
      </c>
      <c r="E63" s="99" t="s">
        <v>250</v>
      </c>
      <c r="F63" s="701" t="s">
        <v>251</v>
      </c>
      <c r="G63" s="648" t="s">
        <v>166</v>
      </c>
      <c r="H63" s="648" t="s">
        <v>174</v>
      </c>
      <c r="I63" s="106">
        <v>0</v>
      </c>
      <c r="J63" s="106">
        <v>0</v>
      </c>
      <c r="K63" s="100">
        <f t="shared" si="6"/>
        <v>0</v>
      </c>
      <c r="L63" s="648" t="s">
        <v>223</v>
      </c>
      <c r="M63" s="100"/>
      <c r="N63" s="675">
        <f>'Operating Carbon'!P483</f>
        <v>0</v>
      </c>
      <c r="O63" s="676">
        <f>'Operating Carbon'!P488</f>
        <v>0</v>
      </c>
      <c r="P63" s="101" t="str">
        <f t="shared" si="8"/>
        <v>n/a</v>
      </c>
      <c r="Q63" s="345" t="str">
        <f t="shared" si="9"/>
        <v>n/a</v>
      </c>
      <c r="R63" s="1089"/>
      <c r="S63" s="1089"/>
      <c r="T63" s="1101"/>
      <c r="U63" s="1092"/>
      <c r="V63" s="1092"/>
      <c r="W63" s="165"/>
    </row>
    <row r="64" spans="2:23" ht="24" x14ac:dyDescent="0.25">
      <c r="B64" s="1166"/>
      <c r="C64" s="1098"/>
      <c r="D64" s="135" t="s">
        <v>163</v>
      </c>
      <c r="E64" s="99" t="s">
        <v>250</v>
      </c>
      <c r="F64" s="701" t="s">
        <v>252</v>
      </c>
      <c r="G64" s="648" t="s">
        <v>166</v>
      </c>
      <c r="H64" s="648" t="s">
        <v>174</v>
      </c>
      <c r="I64" s="106">
        <v>0</v>
      </c>
      <c r="J64" s="106">
        <v>0</v>
      </c>
      <c r="K64" s="100">
        <f t="shared" si="6"/>
        <v>0</v>
      </c>
      <c r="L64" s="648" t="s">
        <v>223</v>
      </c>
      <c r="M64" s="100"/>
      <c r="N64" s="675">
        <f>'Operating Carbon'!P493</f>
        <v>0</v>
      </c>
      <c r="O64" s="676">
        <f>'Operating Carbon'!P498</f>
        <v>0</v>
      </c>
      <c r="P64" s="101" t="str">
        <f t="shared" si="8"/>
        <v>n/a</v>
      </c>
      <c r="Q64" s="345" t="str">
        <f t="shared" si="9"/>
        <v>n/a</v>
      </c>
      <c r="R64" s="1089"/>
      <c r="S64" s="1089"/>
      <c r="T64" s="1101"/>
      <c r="U64" s="1092"/>
      <c r="V64" s="1092"/>
      <c r="W64" s="165"/>
    </row>
    <row r="65" spans="2:23" x14ac:dyDescent="0.25">
      <c r="B65" s="1166"/>
      <c r="C65" s="1098"/>
      <c r="D65" s="135"/>
      <c r="E65" s="99"/>
      <c r="F65" s="99"/>
      <c r="G65" s="648"/>
      <c r="H65" s="648"/>
      <c r="I65" s="100"/>
      <c r="J65" s="100"/>
      <c r="K65" s="100"/>
      <c r="L65" s="648"/>
      <c r="M65" s="100"/>
      <c r="N65" s="675"/>
      <c r="O65" s="676"/>
      <c r="P65" s="101" t="str">
        <f t="shared" si="8"/>
        <v>n/a</v>
      </c>
      <c r="Q65" s="345" t="str">
        <f t="shared" si="9"/>
        <v>n/a</v>
      </c>
      <c r="R65" s="1089"/>
      <c r="S65" s="1089"/>
      <c r="T65" s="1101"/>
      <c r="U65" s="1092"/>
      <c r="V65" s="1092"/>
      <c r="W65" s="165"/>
    </row>
    <row r="66" spans="2:23" x14ac:dyDescent="0.25">
      <c r="B66" s="1166"/>
      <c r="C66" s="1098"/>
      <c r="D66" s="135" t="s">
        <v>163</v>
      </c>
      <c r="E66" s="99" t="s">
        <v>253</v>
      </c>
      <c r="F66" s="99" t="s">
        <v>222</v>
      </c>
      <c r="G66" s="648" t="s">
        <v>175</v>
      </c>
      <c r="H66" s="648" t="s">
        <v>174</v>
      </c>
      <c r="I66" s="106">
        <v>0</v>
      </c>
      <c r="J66" s="106">
        <v>0</v>
      </c>
      <c r="K66" s="100">
        <f t="shared" si="6"/>
        <v>0</v>
      </c>
      <c r="L66" s="648" t="s">
        <v>223</v>
      </c>
      <c r="M66" s="100"/>
      <c r="N66" s="675">
        <f>'Operating Carbon'!P504</f>
        <v>0</v>
      </c>
      <c r="O66" s="676">
        <f>'Operating Carbon'!P509</f>
        <v>0</v>
      </c>
      <c r="P66" s="101" t="str">
        <f t="shared" si="8"/>
        <v>n/a</v>
      </c>
      <c r="Q66" s="345" t="str">
        <f t="shared" si="9"/>
        <v>n/a</v>
      </c>
      <c r="R66" s="1089"/>
      <c r="S66" s="1089"/>
      <c r="T66" s="1101"/>
      <c r="U66" s="1092"/>
      <c r="V66" s="1092"/>
      <c r="W66" s="165"/>
    </row>
    <row r="67" spans="2:23" ht="24" x14ac:dyDescent="0.25">
      <c r="B67" s="1166"/>
      <c r="C67" s="1098"/>
      <c r="D67" s="135" t="s">
        <v>163</v>
      </c>
      <c r="E67" s="99" t="s">
        <v>253</v>
      </c>
      <c r="F67" s="701" t="s">
        <v>254</v>
      </c>
      <c r="G67" s="648" t="s">
        <v>175</v>
      </c>
      <c r="H67" s="648" t="s">
        <v>174</v>
      </c>
      <c r="I67" s="106">
        <v>0</v>
      </c>
      <c r="J67" s="106">
        <v>0</v>
      </c>
      <c r="K67" s="100">
        <f t="shared" si="6"/>
        <v>0</v>
      </c>
      <c r="L67" s="648" t="s">
        <v>223</v>
      </c>
      <c r="M67" s="100"/>
      <c r="N67" s="675">
        <f>'Operating Carbon'!P514</f>
        <v>0</v>
      </c>
      <c r="O67" s="676">
        <f>'Operating Carbon'!P519</f>
        <v>0</v>
      </c>
      <c r="P67" s="101" t="str">
        <f t="shared" si="8"/>
        <v>n/a</v>
      </c>
      <c r="Q67" s="345" t="str">
        <f t="shared" si="9"/>
        <v>n/a</v>
      </c>
      <c r="R67" s="1089"/>
      <c r="S67" s="1089"/>
      <c r="T67" s="1101"/>
      <c r="U67" s="1092"/>
      <c r="V67" s="1092"/>
      <c r="W67" s="165"/>
    </row>
    <row r="68" spans="2:23" ht="24" x14ac:dyDescent="0.25">
      <c r="B68" s="1166"/>
      <c r="C68" s="1098"/>
      <c r="D68" s="135" t="s">
        <v>163</v>
      </c>
      <c r="E68" s="99" t="s">
        <v>253</v>
      </c>
      <c r="F68" s="702" t="s">
        <v>255</v>
      </c>
      <c r="G68" s="648" t="s">
        <v>175</v>
      </c>
      <c r="H68" s="648" t="s">
        <v>174</v>
      </c>
      <c r="I68" s="106">
        <v>0</v>
      </c>
      <c r="J68" s="106">
        <v>0</v>
      </c>
      <c r="K68" s="100">
        <f t="shared" si="6"/>
        <v>0</v>
      </c>
      <c r="L68" s="648" t="s">
        <v>223</v>
      </c>
      <c r="M68" s="100"/>
      <c r="N68" s="675">
        <f>'Operating Carbon'!P524</f>
        <v>0</v>
      </c>
      <c r="O68" s="676">
        <f>'Operating Carbon'!P529</f>
        <v>0</v>
      </c>
      <c r="P68" s="101" t="str">
        <f t="shared" si="8"/>
        <v>n/a</v>
      </c>
      <c r="Q68" s="345" t="str">
        <f t="shared" si="9"/>
        <v>n/a</v>
      </c>
      <c r="R68" s="1089"/>
      <c r="S68" s="1089"/>
      <c r="T68" s="1101"/>
      <c r="U68" s="1092"/>
      <c r="V68" s="1092"/>
      <c r="W68" s="165"/>
    </row>
    <row r="69" spans="2:23" x14ac:dyDescent="0.25">
      <c r="B69" s="1166"/>
      <c r="C69" s="1098"/>
      <c r="D69" s="135" t="s">
        <v>163</v>
      </c>
      <c r="E69" s="99" t="s">
        <v>253</v>
      </c>
      <c r="F69" s="703" t="s">
        <v>256</v>
      </c>
      <c r="G69" s="648" t="s">
        <v>175</v>
      </c>
      <c r="H69" s="648" t="s">
        <v>174</v>
      </c>
      <c r="I69" s="106">
        <v>0</v>
      </c>
      <c r="J69" s="106">
        <v>0</v>
      </c>
      <c r="K69" s="100">
        <f t="shared" si="6"/>
        <v>0</v>
      </c>
      <c r="L69" s="648" t="s">
        <v>223</v>
      </c>
      <c r="M69" s="100"/>
      <c r="N69" s="675">
        <f>'Operating Carbon'!P534</f>
        <v>0</v>
      </c>
      <c r="O69" s="676">
        <f>'Operating Carbon'!P539</f>
        <v>0</v>
      </c>
      <c r="P69" s="101" t="str">
        <f t="shared" si="8"/>
        <v>n/a</v>
      </c>
      <c r="Q69" s="345" t="str">
        <f t="shared" si="9"/>
        <v>n/a</v>
      </c>
      <c r="R69" s="1089"/>
      <c r="S69" s="1089"/>
      <c r="T69" s="1101"/>
      <c r="U69" s="1092"/>
      <c r="V69" s="1092"/>
      <c r="W69" s="165"/>
    </row>
    <row r="70" spans="2:23" x14ac:dyDescent="0.25">
      <c r="B70" s="1166"/>
      <c r="C70" s="1098"/>
      <c r="D70" s="135"/>
      <c r="E70" s="99"/>
      <c r="F70" s="99"/>
      <c r="G70" s="648"/>
      <c r="H70" s="648"/>
      <c r="I70" s="100"/>
      <c r="J70" s="100"/>
      <c r="K70" s="100"/>
      <c r="L70" s="648"/>
      <c r="M70" s="100"/>
      <c r="N70" s="675"/>
      <c r="O70" s="676"/>
      <c r="P70" s="101" t="str">
        <f t="shared" si="8"/>
        <v>n/a</v>
      </c>
      <c r="Q70" s="345" t="str">
        <f t="shared" si="9"/>
        <v>n/a</v>
      </c>
      <c r="R70" s="1089"/>
      <c r="S70" s="1089"/>
      <c r="T70" s="1101"/>
      <c r="U70" s="1092"/>
      <c r="V70" s="1092"/>
      <c r="W70" s="165"/>
    </row>
    <row r="71" spans="2:23" x14ac:dyDescent="0.25">
      <c r="B71" s="1166"/>
      <c r="C71" s="1098"/>
      <c r="D71" s="135" t="s">
        <v>163</v>
      </c>
      <c r="E71" s="99" t="s">
        <v>257</v>
      </c>
      <c r="F71" s="99" t="s">
        <v>258</v>
      </c>
      <c r="G71" s="648" t="s">
        <v>175</v>
      </c>
      <c r="H71" s="648" t="s">
        <v>174</v>
      </c>
      <c r="I71" s="106">
        <v>0</v>
      </c>
      <c r="J71" s="106">
        <v>0</v>
      </c>
      <c r="K71" s="100">
        <f t="shared" si="6"/>
        <v>0</v>
      </c>
      <c r="L71" s="648" t="s">
        <v>223</v>
      </c>
      <c r="M71" s="100"/>
      <c r="N71" s="675">
        <f>'Operating Carbon'!P544</f>
        <v>0</v>
      </c>
      <c r="O71" s="676">
        <f>'Operating Carbon'!P549</f>
        <v>0</v>
      </c>
      <c r="P71" s="101" t="str">
        <f t="shared" si="8"/>
        <v>n/a</v>
      </c>
      <c r="Q71" s="345" t="str">
        <f t="shared" si="9"/>
        <v>n/a</v>
      </c>
      <c r="R71" s="1089"/>
      <c r="S71" s="1089"/>
      <c r="T71" s="1101"/>
      <c r="U71" s="1092"/>
      <c r="V71" s="1092"/>
      <c r="W71" s="165"/>
    </row>
    <row r="72" spans="2:23" x14ac:dyDescent="0.25">
      <c r="B72" s="1166"/>
      <c r="C72" s="1098"/>
      <c r="D72" s="135" t="s">
        <v>163</v>
      </c>
      <c r="E72" s="99" t="s">
        <v>257</v>
      </c>
      <c r="F72" s="99" t="s">
        <v>259</v>
      </c>
      <c r="G72" s="648" t="s">
        <v>175</v>
      </c>
      <c r="H72" s="648" t="s">
        <v>174</v>
      </c>
      <c r="I72" s="106">
        <v>0</v>
      </c>
      <c r="J72" s="106">
        <v>0</v>
      </c>
      <c r="K72" s="100">
        <f t="shared" si="6"/>
        <v>0</v>
      </c>
      <c r="L72" s="648" t="s">
        <v>223</v>
      </c>
      <c r="M72" s="100"/>
      <c r="N72" s="675">
        <f>'Operating Carbon'!P554</f>
        <v>0</v>
      </c>
      <c r="O72" s="676">
        <f>'Operating Carbon'!P559</f>
        <v>0</v>
      </c>
      <c r="P72" s="101" t="str">
        <f t="shared" si="8"/>
        <v>n/a</v>
      </c>
      <c r="Q72" s="345" t="str">
        <f t="shared" si="9"/>
        <v>n/a</v>
      </c>
      <c r="R72" s="1089"/>
      <c r="S72" s="1089"/>
      <c r="T72" s="1101"/>
      <c r="U72" s="1092"/>
      <c r="V72" s="1092"/>
      <c r="W72" s="165"/>
    </row>
    <row r="73" spans="2:23" x14ac:dyDescent="0.25">
      <c r="B73" s="1166"/>
      <c r="C73" s="1098"/>
      <c r="D73" s="135" t="s">
        <v>163</v>
      </c>
      <c r="E73" s="99" t="s">
        <v>257</v>
      </c>
      <c r="F73" s="701" t="s">
        <v>260</v>
      </c>
      <c r="G73" s="648" t="s">
        <v>175</v>
      </c>
      <c r="H73" s="648" t="s">
        <v>174</v>
      </c>
      <c r="I73" s="106">
        <v>0</v>
      </c>
      <c r="J73" s="106">
        <v>0</v>
      </c>
      <c r="K73" s="100">
        <f t="shared" si="6"/>
        <v>0</v>
      </c>
      <c r="L73" s="648" t="s">
        <v>223</v>
      </c>
      <c r="M73" s="100"/>
      <c r="N73" s="675">
        <f>'Operating Carbon'!P564</f>
        <v>0</v>
      </c>
      <c r="O73" s="676">
        <f>'Operating Carbon'!P569</f>
        <v>0</v>
      </c>
      <c r="P73" s="101" t="str">
        <f t="shared" si="8"/>
        <v>n/a</v>
      </c>
      <c r="Q73" s="345" t="str">
        <f t="shared" si="9"/>
        <v>n/a</v>
      </c>
      <c r="R73" s="1089"/>
      <c r="S73" s="1089"/>
      <c r="T73" s="1101"/>
      <c r="U73" s="1092"/>
      <c r="V73" s="1092"/>
      <c r="W73" s="165"/>
    </row>
    <row r="74" spans="2:23" ht="24" x14ac:dyDescent="0.25">
      <c r="B74" s="1166"/>
      <c r="C74" s="1098"/>
      <c r="D74" s="135" t="s">
        <v>204</v>
      </c>
      <c r="E74" s="99" t="s">
        <v>257</v>
      </c>
      <c r="F74" s="701" t="s">
        <v>261</v>
      </c>
      <c r="G74" s="648" t="s">
        <v>175</v>
      </c>
      <c r="H74" s="648" t="s">
        <v>174</v>
      </c>
      <c r="I74" s="106">
        <v>0</v>
      </c>
      <c r="J74" s="106">
        <v>0</v>
      </c>
      <c r="K74" s="100">
        <f t="shared" si="6"/>
        <v>0</v>
      </c>
      <c r="L74" s="648" t="s">
        <v>223</v>
      </c>
      <c r="M74" s="100"/>
      <c r="N74" s="675">
        <f>'Operating Carbon'!P574</f>
        <v>0</v>
      </c>
      <c r="O74" s="676">
        <f>'Operating Carbon'!P579</f>
        <v>0</v>
      </c>
      <c r="P74" s="101" t="str">
        <f t="shared" si="8"/>
        <v>n/a</v>
      </c>
      <c r="Q74" s="345" t="str">
        <f t="shared" si="9"/>
        <v>n/a</v>
      </c>
      <c r="R74" s="1089"/>
      <c r="S74" s="1089"/>
      <c r="T74" s="1101"/>
      <c r="U74" s="1092"/>
      <c r="V74" s="1092"/>
      <c r="W74" s="165"/>
    </row>
    <row r="75" spans="2:23" ht="24" x14ac:dyDescent="0.25">
      <c r="B75" s="1166"/>
      <c r="C75" s="1098"/>
      <c r="D75" s="135" t="s">
        <v>204</v>
      </c>
      <c r="E75" s="99" t="s">
        <v>257</v>
      </c>
      <c r="F75" s="702" t="s">
        <v>262</v>
      </c>
      <c r="G75" s="648" t="s">
        <v>175</v>
      </c>
      <c r="H75" s="648" t="s">
        <v>174</v>
      </c>
      <c r="I75" s="106">
        <v>0</v>
      </c>
      <c r="J75" s="106">
        <v>0</v>
      </c>
      <c r="K75" s="100">
        <f t="shared" si="6"/>
        <v>0</v>
      </c>
      <c r="L75" s="648" t="s">
        <v>223</v>
      </c>
      <c r="M75" s="100"/>
      <c r="N75" s="675">
        <f>'Operating Carbon'!P584</f>
        <v>0</v>
      </c>
      <c r="O75" s="676">
        <f>'Operating Carbon'!P589</f>
        <v>0</v>
      </c>
      <c r="P75" s="101" t="str">
        <f t="shared" si="8"/>
        <v>n/a</v>
      </c>
      <c r="Q75" s="345" t="str">
        <f t="shared" si="9"/>
        <v>n/a</v>
      </c>
      <c r="R75" s="1089"/>
      <c r="S75" s="1089"/>
      <c r="T75" s="1101"/>
      <c r="U75" s="1092"/>
      <c r="V75" s="1092"/>
      <c r="W75" s="165"/>
    </row>
    <row r="76" spans="2:23" ht="24" x14ac:dyDescent="0.25">
      <c r="B76" s="1166"/>
      <c r="C76" s="1098"/>
      <c r="D76" s="135" t="s">
        <v>163</v>
      </c>
      <c r="E76" s="99" t="s">
        <v>257</v>
      </c>
      <c r="F76" s="703" t="s">
        <v>263</v>
      </c>
      <c r="G76" s="648" t="s">
        <v>175</v>
      </c>
      <c r="H76" s="648" t="s">
        <v>174</v>
      </c>
      <c r="I76" s="106">
        <v>0</v>
      </c>
      <c r="J76" s="106">
        <v>0</v>
      </c>
      <c r="K76" s="100">
        <f t="shared" si="6"/>
        <v>0</v>
      </c>
      <c r="L76" s="648" t="s">
        <v>223</v>
      </c>
      <c r="M76" s="100"/>
      <c r="N76" s="675">
        <f>'Operating Carbon'!P594</f>
        <v>0</v>
      </c>
      <c r="O76" s="676">
        <f>'Operating Carbon'!P599</f>
        <v>0</v>
      </c>
      <c r="P76" s="101" t="str">
        <f t="shared" si="8"/>
        <v>n/a</v>
      </c>
      <c r="Q76" s="345" t="str">
        <f t="shared" si="9"/>
        <v>n/a</v>
      </c>
      <c r="R76" s="1089"/>
      <c r="S76" s="1089"/>
      <c r="T76" s="1101"/>
      <c r="U76" s="1092"/>
      <c r="V76" s="1092"/>
      <c r="W76" s="165"/>
    </row>
    <row r="77" spans="2:23" x14ac:dyDescent="0.25">
      <c r="B77" s="1166"/>
      <c r="C77" s="1098"/>
      <c r="D77" s="135"/>
      <c r="E77" s="99"/>
      <c r="F77" s="99"/>
      <c r="G77" s="648"/>
      <c r="H77" s="648"/>
      <c r="I77" s="100"/>
      <c r="J77" s="100"/>
      <c r="K77" s="100"/>
      <c r="L77" s="648"/>
      <c r="M77" s="100"/>
      <c r="N77" s="675"/>
      <c r="O77" s="676"/>
      <c r="P77" s="101" t="str">
        <f t="shared" si="8"/>
        <v>n/a</v>
      </c>
      <c r="Q77" s="345" t="str">
        <f t="shared" si="9"/>
        <v>n/a</v>
      </c>
      <c r="R77" s="1089"/>
      <c r="S77" s="1089"/>
      <c r="T77" s="1101"/>
      <c r="U77" s="1092"/>
      <c r="V77" s="1092"/>
      <c r="W77" s="165"/>
    </row>
    <row r="78" spans="2:23" x14ac:dyDescent="0.25">
      <c r="B78" s="1166"/>
      <c r="C78" s="1098"/>
      <c r="D78" s="135" t="s">
        <v>163</v>
      </c>
      <c r="E78" s="99" t="s">
        <v>264</v>
      </c>
      <c r="F78" s="99" t="s">
        <v>265</v>
      </c>
      <c r="G78" s="648" t="s">
        <v>175</v>
      </c>
      <c r="H78" s="648" t="s">
        <v>174</v>
      </c>
      <c r="I78" s="106">
        <v>0</v>
      </c>
      <c r="J78" s="106">
        <v>0</v>
      </c>
      <c r="K78" s="100"/>
      <c r="L78" s="648" t="s">
        <v>223</v>
      </c>
      <c r="M78" s="100"/>
      <c r="N78" s="675">
        <f>'Operating Carbon'!P604</f>
        <v>0</v>
      </c>
      <c r="O78" s="676">
        <f>'Operating Carbon'!P609</f>
        <v>0</v>
      </c>
      <c r="P78" s="101" t="str">
        <f t="shared" si="8"/>
        <v>n/a</v>
      </c>
      <c r="Q78" s="345" t="str">
        <f t="shared" si="9"/>
        <v>n/a</v>
      </c>
      <c r="R78" s="1089"/>
      <c r="S78" s="1089"/>
      <c r="T78" s="1101"/>
      <c r="U78" s="1092"/>
      <c r="V78" s="1092"/>
      <c r="W78" s="165"/>
    </row>
    <row r="79" spans="2:23" x14ac:dyDescent="0.25">
      <c r="B79" s="1166"/>
      <c r="C79" s="1098"/>
      <c r="D79" s="135" t="s">
        <v>163</v>
      </c>
      <c r="E79" s="99" t="s">
        <v>264</v>
      </c>
      <c r="F79" s="99" t="s">
        <v>266</v>
      </c>
      <c r="G79" s="648" t="s">
        <v>175</v>
      </c>
      <c r="H79" s="648" t="s">
        <v>174</v>
      </c>
      <c r="I79" s="106">
        <v>0</v>
      </c>
      <c r="J79" s="106">
        <v>0</v>
      </c>
      <c r="K79" s="100">
        <f t="shared" si="6"/>
        <v>0</v>
      </c>
      <c r="L79" s="648" t="s">
        <v>223</v>
      </c>
      <c r="M79" s="100"/>
      <c r="N79" s="675">
        <f>'Operating Carbon'!P614</f>
        <v>0</v>
      </c>
      <c r="O79" s="676">
        <f>'Operating Carbon'!P619</f>
        <v>0</v>
      </c>
      <c r="P79" s="101" t="str">
        <f t="shared" si="8"/>
        <v>n/a</v>
      </c>
      <c r="Q79" s="345" t="str">
        <f t="shared" si="9"/>
        <v>n/a</v>
      </c>
      <c r="R79" s="1089"/>
      <c r="S79" s="1089"/>
      <c r="T79" s="1101"/>
      <c r="U79" s="1092"/>
      <c r="V79" s="1092"/>
      <c r="W79" s="165"/>
    </row>
    <row r="80" spans="2:23" x14ac:dyDescent="0.25">
      <c r="B80" s="1166"/>
      <c r="C80" s="1098"/>
      <c r="D80" s="135" t="s">
        <v>163</v>
      </c>
      <c r="E80" s="99" t="s">
        <v>264</v>
      </c>
      <c r="F80" s="701" t="s">
        <v>267</v>
      </c>
      <c r="G80" s="648" t="s">
        <v>175</v>
      </c>
      <c r="H80" s="648" t="s">
        <v>174</v>
      </c>
      <c r="I80" s="106">
        <v>0</v>
      </c>
      <c r="J80" s="106">
        <v>0</v>
      </c>
      <c r="K80" s="100">
        <f t="shared" si="6"/>
        <v>0</v>
      </c>
      <c r="L80" s="648" t="s">
        <v>223</v>
      </c>
      <c r="M80" s="100"/>
      <c r="N80" s="675">
        <f>'Operating Carbon'!P624</f>
        <v>0</v>
      </c>
      <c r="O80" s="676">
        <f>'Operating Carbon'!P629</f>
        <v>0</v>
      </c>
      <c r="P80" s="101" t="str">
        <f t="shared" si="8"/>
        <v>n/a</v>
      </c>
      <c r="Q80" s="345" t="str">
        <f t="shared" si="9"/>
        <v>n/a</v>
      </c>
      <c r="R80" s="1089"/>
      <c r="S80" s="1089"/>
      <c r="T80" s="1101"/>
      <c r="U80" s="1092"/>
      <c r="V80" s="1092"/>
      <c r="W80" s="165"/>
    </row>
    <row r="81" spans="2:23" ht="24" x14ac:dyDescent="0.25">
      <c r="B81" s="1166"/>
      <c r="C81" s="1098"/>
      <c r="D81" s="135" t="s">
        <v>163</v>
      </c>
      <c r="E81" s="99" t="s">
        <v>264</v>
      </c>
      <c r="F81" s="702" t="s">
        <v>268</v>
      </c>
      <c r="G81" s="648" t="s">
        <v>175</v>
      </c>
      <c r="H81" s="648" t="s">
        <v>174</v>
      </c>
      <c r="I81" s="106">
        <v>0</v>
      </c>
      <c r="J81" s="106">
        <v>0</v>
      </c>
      <c r="K81" s="100">
        <f t="shared" si="6"/>
        <v>0</v>
      </c>
      <c r="L81" s="648" t="s">
        <v>223</v>
      </c>
      <c r="M81" s="100"/>
      <c r="N81" s="675">
        <f>'Operating Carbon'!P634</f>
        <v>0</v>
      </c>
      <c r="O81" s="676">
        <f>'Operating Carbon'!P639</f>
        <v>0</v>
      </c>
      <c r="P81" s="101" t="str">
        <f t="shared" si="8"/>
        <v>n/a</v>
      </c>
      <c r="Q81" s="345" t="str">
        <f t="shared" si="9"/>
        <v>n/a</v>
      </c>
      <c r="R81" s="1089"/>
      <c r="S81" s="1089"/>
      <c r="T81" s="1101"/>
      <c r="U81" s="1092"/>
      <c r="V81" s="1092"/>
      <c r="W81" s="165"/>
    </row>
    <row r="82" spans="2:23" x14ac:dyDescent="0.25">
      <c r="B82" s="1166"/>
      <c r="C82" s="1098"/>
      <c r="D82" s="135"/>
      <c r="E82" s="99"/>
      <c r="F82" s="99"/>
      <c r="G82" s="648"/>
      <c r="H82" s="648"/>
      <c r="I82" s="100"/>
      <c r="J82" s="100"/>
      <c r="K82" s="100"/>
      <c r="L82" s="648"/>
      <c r="M82" s="100"/>
      <c r="N82" s="675"/>
      <c r="O82" s="676"/>
      <c r="P82" s="101"/>
      <c r="Q82" s="345"/>
      <c r="R82" s="1089"/>
      <c r="S82" s="1089"/>
      <c r="T82" s="1101"/>
      <c r="U82" s="1092"/>
      <c r="V82" s="1092"/>
      <c r="W82" s="165"/>
    </row>
    <row r="83" spans="2:23" x14ac:dyDescent="0.25">
      <c r="B83" s="1166"/>
      <c r="C83" s="1098"/>
      <c r="D83" s="135" t="s">
        <v>269</v>
      </c>
      <c r="E83" s="99" t="s">
        <v>270</v>
      </c>
      <c r="F83" s="99" t="s">
        <v>271</v>
      </c>
      <c r="G83" s="648" t="s">
        <v>174</v>
      </c>
      <c r="H83" s="648" t="s">
        <v>174</v>
      </c>
      <c r="I83" s="100">
        <v>5</v>
      </c>
      <c r="J83" s="100">
        <v>2</v>
      </c>
      <c r="K83" s="100">
        <f t="shared" ref="K83" si="10">(I83*J83)</f>
        <v>10</v>
      </c>
      <c r="L83" s="648" t="s">
        <v>175</v>
      </c>
      <c r="M83" s="100" t="s">
        <v>168</v>
      </c>
      <c r="N83" s="675">
        <f>'Operating Carbon'!P644</f>
        <v>7000</v>
      </c>
      <c r="O83" s="676">
        <f>'Operating Carbon'!P649</f>
        <v>36000</v>
      </c>
      <c r="P83" s="101" t="str">
        <f t="shared" si="2"/>
        <v>n/a</v>
      </c>
      <c r="Q83" s="345" t="str">
        <f t="shared" si="1"/>
        <v>n/a</v>
      </c>
      <c r="R83" s="1089"/>
      <c r="S83" s="1089"/>
      <c r="T83" s="1101"/>
      <c r="U83" s="1092"/>
      <c r="V83" s="1092"/>
      <c r="W83" s="165"/>
    </row>
    <row r="84" spans="2:23" ht="6.75" customHeight="1" x14ac:dyDescent="0.25">
      <c r="B84" s="1166"/>
      <c r="C84" s="1099"/>
      <c r="D84" s="166"/>
      <c r="E84" s="167"/>
      <c r="F84" s="167"/>
      <c r="G84" s="612"/>
      <c r="H84" s="612"/>
      <c r="I84" s="168"/>
      <c r="J84" s="168"/>
      <c r="K84" s="168"/>
      <c r="L84" s="612"/>
      <c r="M84" s="168"/>
      <c r="N84" s="170"/>
      <c r="O84" s="348"/>
      <c r="P84" s="170" t="str">
        <f t="shared" si="2"/>
        <v>n/a</v>
      </c>
      <c r="Q84" s="348" t="str">
        <f t="shared" si="1"/>
        <v>n/a</v>
      </c>
      <c r="R84" s="1090"/>
      <c r="S84" s="1090"/>
      <c r="T84" s="1102"/>
      <c r="U84" s="1093"/>
      <c r="V84" s="1093"/>
      <c r="W84" s="171"/>
    </row>
    <row r="85" spans="2:23" ht="15.75" customHeight="1" x14ac:dyDescent="0.25">
      <c r="B85" s="1166"/>
      <c r="C85" s="1085" t="s">
        <v>118</v>
      </c>
      <c r="D85" s="135" t="s">
        <v>163</v>
      </c>
      <c r="E85" s="99" t="s">
        <v>272</v>
      </c>
      <c r="F85" s="99" t="s">
        <v>273</v>
      </c>
      <c r="G85" s="925" t="s">
        <v>174</v>
      </c>
      <c r="H85" s="925" t="s">
        <v>174</v>
      </c>
      <c r="I85" s="100">
        <v>5</v>
      </c>
      <c r="J85" s="100">
        <v>3</v>
      </c>
      <c r="K85" s="100">
        <f t="shared" si="6"/>
        <v>15</v>
      </c>
      <c r="L85" s="925" t="s">
        <v>174</v>
      </c>
      <c r="M85" s="100" t="s">
        <v>168</v>
      </c>
      <c r="N85" s="101">
        <f>'Renewable Energy'!P8</f>
        <v>0</v>
      </c>
      <c r="O85" s="345">
        <f>'Renewable Energy'!P11</f>
        <v>194000</v>
      </c>
      <c r="P85" s="101">
        <f>IF(L85="Yes",N85,"n/a")</f>
        <v>0</v>
      </c>
      <c r="Q85" s="345">
        <f>IF(L85="Yes",O85,"n/a")</f>
        <v>194000</v>
      </c>
      <c r="R85" s="1089"/>
      <c r="S85" s="1203"/>
      <c r="T85" s="1101"/>
      <c r="U85" s="1089"/>
      <c r="V85" s="1089"/>
      <c r="W85" s="102" t="s">
        <v>274</v>
      </c>
    </row>
    <row r="86" spans="2:23" ht="15.75" customHeight="1" x14ac:dyDescent="0.25">
      <c r="B86" s="1166"/>
      <c r="C86" s="1086"/>
      <c r="D86" s="135" t="s">
        <v>163</v>
      </c>
      <c r="E86" s="99" t="s">
        <v>272</v>
      </c>
      <c r="F86" s="99" t="s">
        <v>275</v>
      </c>
      <c r="G86" s="925" t="s">
        <v>174</v>
      </c>
      <c r="H86" s="925" t="s">
        <v>174</v>
      </c>
      <c r="I86" s="100">
        <v>4</v>
      </c>
      <c r="J86" s="100">
        <v>4</v>
      </c>
      <c r="K86" s="100">
        <f t="shared" si="6"/>
        <v>16</v>
      </c>
      <c r="L86" s="925" t="s">
        <v>175</v>
      </c>
      <c r="M86" s="100" t="s">
        <v>168</v>
      </c>
      <c r="N86" s="101">
        <f>'Renewable Energy'!P16</f>
        <v>23000</v>
      </c>
      <c r="O86" s="345">
        <f>'Renewable Energy'!P20</f>
        <v>78000</v>
      </c>
      <c r="P86" s="101" t="str">
        <f>IF(L86="Yes",N86,"n/a")</f>
        <v>n/a</v>
      </c>
      <c r="Q86" s="345" t="str">
        <f>IF(L86="Yes",O86,"n/a")</f>
        <v>n/a</v>
      </c>
      <c r="R86" s="1089"/>
      <c r="S86" s="1203"/>
      <c r="T86" s="1101"/>
      <c r="U86" s="1089"/>
      <c r="V86" s="1089"/>
      <c r="W86" s="102"/>
    </row>
    <row r="87" spans="2:23" ht="15.75" customHeight="1" x14ac:dyDescent="0.25">
      <c r="B87" s="1166"/>
      <c r="C87" s="1086"/>
      <c r="D87" s="135" t="s">
        <v>163</v>
      </c>
      <c r="E87" s="99" t="s">
        <v>272</v>
      </c>
      <c r="F87" s="99" t="s">
        <v>276</v>
      </c>
      <c r="G87" s="925" t="s">
        <v>174</v>
      </c>
      <c r="H87" s="925" t="s">
        <v>174</v>
      </c>
      <c r="I87" s="100">
        <v>1</v>
      </c>
      <c r="J87" s="100">
        <v>5</v>
      </c>
      <c r="K87" s="100">
        <f t="shared" si="6"/>
        <v>5</v>
      </c>
      <c r="L87" s="925" t="s">
        <v>175</v>
      </c>
      <c r="M87" s="100" t="s">
        <v>168</v>
      </c>
      <c r="N87" s="101">
        <f>'Renewable Energy'!P26</f>
        <v>1139000</v>
      </c>
      <c r="O87" s="345">
        <f>'Renewable Energy'!P31</f>
        <v>2590000</v>
      </c>
      <c r="P87" s="101" t="str">
        <f>IF(L87="Yes",N87,"n/a")</f>
        <v>n/a</v>
      </c>
      <c r="Q87" s="345" t="str">
        <f>IF(L87="Yes",O87,"n/a")</f>
        <v>n/a</v>
      </c>
      <c r="R87" s="1089"/>
      <c r="S87" s="1203"/>
      <c r="T87" s="1101"/>
      <c r="U87" s="1089"/>
      <c r="V87" s="1089"/>
      <c r="W87" s="102"/>
    </row>
    <row r="88" spans="2:23" ht="6" customHeight="1" x14ac:dyDescent="0.25">
      <c r="B88" s="1166"/>
      <c r="C88" s="1087"/>
      <c r="D88" s="166"/>
      <c r="E88" s="167"/>
      <c r="F88" s="167"/>
      <c r="G88" s="743"/>
      <c r="H88" s="743"/>
      <c r="I88" s="168"/>
      <c r="J88" s="168"/>
      <c r="K88" s="168"/>
      <c r="L88" s="743"/>
      <c r="M88" s="168"/>
      <c r="N88" s="170"/>
      <c r="O88" s="348"/>
      <c r="P88" s="170"/>
      <c r="Q88" s="348"/>
      <c r="R88" s="1090"/>
      <c r="S88" s="1204"/>
      <c r="T88" s="1102"/>
      <c r="U88" s="1090"/>
      <c r="V88" s="1090"/>
      <c r="W88" s="744"/>
    </row>
    <row r="89" spans="2:23" x14ac:dyDescent="0.25">
      <c r="B89" s="1166"/>
      <c r="C89" s="1085" t="s">
        <v>277</v>
      </c>
      <c r="D89" s="173" t="s">
        <v>163</v>
      </c>
      <c r="E89" s="174" t="s">
        <v>278</v>
      </c>
      <c r="F89" s="174" t="s">
        <v>279</v>
      </c>
      <c r="G89" s="616" t="s">
        <v>174</v>
      </c>
      <c r="H89" s="616" t="s">
        <v>174</v>
      </c>
      <c r="I89" s="175">
        <v>3</v>
      </c>
      <c r="J89" s="175">
        <v>2</v>
      </c>
      <c r="K89" s="175">
        <f t="shared" si="6"/>
        <v>6</v>
      </c>
      <c r="L89" s="616" t="s">
        <v>223</v>
      </c>
      <c r="M89" s="175" t="s">
        <v>168</v>
      </c>
      <c r="N89" s="689">
        <f>'Smart Energy'!P9</f>
        <v>170000</v>
      </c>
      <c r="O89" s="690">
        <f>'Smart Energy'!P13</f>
        <v>340000</v>
      </c>
      <c r="P89" s="177" t="str">
        <f t="shared" si="2"/>
        <v>n/a</v>
      </c>
      <c r="Q89" s="353" t="str">
        <f t="shared" si="1"/>
        <v>n/a</v>
      </c>
      <c r="R89" s="1094"/>
      <c r="S89" s="1190"/>
      <c r="T89" s="1103"/>
      <c r="U89" s="1094"/>
      <c r="V89" s="1094"/>
      <c r="W89" s="742"/>
    </row>
    <row r="90" spans="2:23" ht="24" x14ac:dyDescent="0.25">
      <c r="B90" s="1166"/>
      <c r="C90" s="1086"/>
      <c r="D90" s="136" t="s">
        <v>163</v>
      </c>
      <c r="E90" s="109" t="s">
        <v>280</v>
      </c>
      <c r="F90" s="109" t="s">
        <v>281</v>
      </c>
      <c r="G90" s="614" t="s">
        <v>175</v>
      </c>
      <c r="H90" s="614" t="s">
        <v>174</v>
      </c>
      <c r="I90" s="110">
        <v>3</v>
      </c>
      <c r="J90" s="110">
        <v>2</v>
      </c>
      <c r="K90" s="110">
        <f t="shared" si="6"/>
        <v>6</v>
      </c>
      <c r="L90" s="614" t="s">
        <v>223</v>
      </c>
      <c r="M90" s="110" t="s">
        <v>168</v>
      </c>
      <c r="N90" s="683">
        <f>'Smart Energy'!P18</f>
        <v>0</v>
      </c>
      <c r="O90" s="684">
        <f>'Smart Energy'!P22</f>
        <v>0</v>
      </c>
      <c r="P90" s="112" t="str">
        <f t="shared" si="2"/>
        <v>n/a</v>
      </c>
      <c r="Q90" s="351" t="str">
        <f t="shared" si="1"/>
        <v>n/a</v>
      </c>
      <c r="R90" s="1095"/>
      <c r="S90" s="1190"/>
      <c r="T90" s="1104"/>
      <c r="U90" s="1095"/>
      <c r="V90" s="1095"/>
      <c r="W90" s="185"/>
    </row>
    <row r="91" spans="2:23" x14ac:dyDescent="0.25">
      <c r="B91" s="1166"/>
      <c r="C91" s="1086"/>
      <c r="D91" s="136" t="s">
        <v>163</v>
      </c>
      <c r="E91" s="109" t="s">
        <v>282</v>
      </c>
      <c r="F91" s="109" t="s">
        <v>283</v>
      </c>
      <c r="G91" s="614" t="s">
        <v>175</v>
      </c>
      <c r="H91" s="614" t="s">
        <v>174</v>
      </c>
      <c r="I91" s="110">
        <v>3</v>
      </c>
      <c r="J91" s="110">
        <v>2</v>
      </c>
      <c r="K91" s="110">
        <f t="shared" si="6"/>
        <v>6</v>
      </c>
      <c r="L91" s="614" t="s">
        <v>223</v>
      </c>
      <c r="M91" s="110" t="s">
        <v>168</v>
      </c>
      <c r="N91" s="683">
        <f>'Smart Energy'!P27</f>
        <v>0</v>
      </c>
      <c r="O91" s="684">
        <f>'Smart Energy'!P31</f>
        <v>0</v>
      </c>
      <c r="P91" s="112" t="str">
        <f t="shared" ref="P91:P138" si="11">IF(L91="Yes",N91,"n/a")</f>
        <v>n/a</v>
      </c>
      <c r="Q91" s="351" t="str">
        <f t="shared" ref="Q91:Q138" si="12">IF(L91="Yes",O91,"n/a")</f>
        <v>n/a</v>
      </c>
      <c r="R91" s="1095"/>
      <c r="S91" s="1190"/>
      <c r="T91" s="1104"/>
      <c r="U91" s="1095"/>
      <c r="V91" s="1095"/>
      <c r="W91" s="185"/>
    </row>
    <row r="92" spans="2:23" ht="9" customHeight="1" x14ac:dyDescent="0.25">
      <c r="B92" s="1166"/>
      <c r="C92" s="1087"/>
      <c r="D92" s="186"/>
      <c r="E92" s="187"/>
      <c r="F92" s="187"/>
      <c r="G92" s="615"/>
      <c r="H92" s="615"/>
      <c r="I92" s="188"/>
      <c r="J92" s="188"/>
      <c r="K92" s="188"/>
      <c r="L92" s="615"/>
      <c r="M92" s="188"/>
      <c r="N92" s="687"/>
      <c r="O92" s="688"/>
      <c r="P92" s="189" t="str">
        <f t="shared" si="11"/>
        <v>n/a</v>
      </c>
      <c r="Q92" s="352" t="str">
        <f t="shared" si="12"/>
        <v>n/a</v>
      </c>
      <c r="R92" s="1096"/>
      <c r="S92" s="1210"/>
      <c r="T92" s="1105"/>
      <c r="U92" s="1096"/>
      <c r="V92" s="1096"/>
      <c r="W92" s="190"/>
    </row>
    <row r="93" spans="2:23" ht="36" x14ac:dyDescent="0.25">
      <c r="B93" s="1166"/>
      <c r="C93" s="1179" t="s">
        <v>120</v>
      </c>
      <c r="D93" s="179" t="s">
        <v>163</v>
      </c>
      <c r="E93" s="180" t="s">
        <v>284</v>
      </c>
      <c r="F93" s="180" t="s">
        <v>285</v>
      </c>
      <c r="G93" s="613" t="s">
        <v>166</v>
      </c>
      <c r="H93" s="613" t="s">
        <v>174</v>
      </c>
      <c r="I93" s="181">
        <v>2</v>
      </c>
      <c r="J93" s="181">
        <v>2</v>
      </c>
      <c r="K93" s="181">
        <f t="shared" si="6"/>
        <v>4</v>
      </c>
      <c r="L93" s="613" t="s">
        <v>223</v>
      </c>
      <c r="M93" s="181" t="s">
        <v>168</v>
      </c>
      <c r="N93" s="681">
        <f>'Energy Monitoring'!P10</f>
        <v>0</v>
      </c>
      <c r="O93" s="682">
        <f>'Energy Monitoring'!P15</f>
        <v>0</v>
      </c>
      <c r="P93" s="183" t="str">
        <f t="shared" si="11"/>
        <v>n/a</v>
      </c>
      <c r="Q93" s="350" t="str">
        <f t="shared" si="12"/>
        <v>n/a</v>
      </c>
      <c r="R93" s="1209">
        <f>SUMIF(H93:H101,"Yes",K93:K101)</f>
        <v>56</v>
      </c>
      <c r="S93" s="1211">
        <f>SUMIF(L93:L101,"Yes",K93:K101)</f>
        <v>0</v>
      </c>
      <c r="T93" s="1208">
        <f>SUM(S93)/SUM(R93)</f>
        <v>0</v>
      </c>
      <c r="U93" s="1199">
        <f>SUM(P93:P101)</f>
        <v>0</v>
      </c>
      <c r="V93" s="1199">
        <f>SUM(Q93:Q101)</f>
        <v>0</v>
      </c>
      <c r="W93" s="745"/>
    </row>
    <row r="94" spans="2:23" ht="24" x14ac:dyDescent="0.25">
      <c r="B94" s="1166"/>
      <c r="C94" s="1086"/>
      <c r="D94" s="136" t="s">
        <v>163</v>
      </c>
      <c r="E94" s="109" t="s">
        <v>284</v>
      </c>
      <c r="F94" s="673" t="s">
        <v>286</v>
      </c>
      <c r="G94" s="614" t="s">
        <v>166</v>
      </c>
      <c r="H94" s="614" t="s">
        <v>174</v>
      </c>
      <c r="I94" s="110">
        <v>3</v>
      </c>
      <c r="J94" s="110">
        <v>2</v>
      </c>
      <c r="K94" s="110">
        <f t="shared" si="6"/>
        <v>6</v>
      </c>
      <c r="L94" s="614" t="s">
        <v>223</v>
      </c>
      <c r="M94" s="110" t="s">
        <v>168</v>
      </c>
      <c r="N94" s="683">
        <f>'Energy Monitoring'!P20</f>
        <v>0</v>
      </c>
      <c r="O94" s="684">
        <f>'Energy Monitoring'!P25</f>
        <v>0</v>
      </c>
      <c r="P94" s="112" t="str">
        <f t="shared" si="11"/>
        <v>n/a</v>
      </c>
      <c r="Q94" s="351" t="str">
        <f t="shared" si="12"/>
        <v>n/a</v>
      </c>
      <c r="R94" s="1095"/>
      <c r="S94" s="1190"/>
      <c r="T94" s="1104"/>
      <c r="U94" s="1200"/>
      <c r="V94" s="1200"/>
      <c r="W94" s="113"/>
    </row>
    <row r="95" spans="2:23" ht="48" x14ac:dyDescent="0.25">
      <c r="B95" s="1166"/>
      <c r="C95" s="1086"/>
      <c r="D95" s="136" t="s">
        <v>163</v>
      </c>
      <c r="E95" s="109" t="s">
        <v>284</v>
      </c>
      <c r="F95" s="674" t="s">
        <v>287</v>
      </c>
      <c r="G95" s="614" t="s">
        <v>166</v>
      </c>
      <c r="H95" s="614" t="s">
        <v>174</v>
      </c>
      <c r="I95" s="110">
        <v>4</v>
      </c>
      <c r="J95" s="110">
        <v>2</v>
      </c>
      <c r="K95" s="110">
        <f t="shared" si="6"/>
        <v>8</v>
      </c>
      <c r="L95" s="614" t="s">
        <v>223</v>
      </c>
      <c r="M95" s="110" t="s">
        <v>168</v>
      </c>
      <c r="N95" s="683">
        <f>'Energy Monitoring'!P31</f>
        <v>0</v>
      </c>
      <c r="O95" s="684">
        <f>'Energy Monitoring'!P37</f>
        <v>0</v>
      </c>
      <c r="P95" s="112" t="str">
        <f t="shared" si="11"/>
        <v>n/a</v>
      </c>
      <c r="Q95" s="351" t="str">
        <f t="shared" si="12"/>
        <v>n/a</v>
      </c>
      <c r="R95" s="1095"/>
      <c r="S95" s="1190"/>
      <c r="T95" s="1104"/>
      <c r="U95" s="1200"/>
      <c r="V95" s="1200"/>
      <c r="W95" s="113"/>
    </row>
    <row r="96" spans="2:23" ht="36" x14ac:dyDescent="0.25">
      <c r="B96" s="1166"/>
      <c r="C96" s="1086"/>
      <c r="D96" s="136" t="s">
        <v>163</v>
      </c>
      <c r="E96" s="109" t="s">
        <v>284</v>
      </c>
      <c r="F96" s="705" t="s">
        <v>288</v>
      </c>
      <c r="G96" s="614" t="s">
        <v>166</v>
      </c>
      <c r="H96" s="614" t="s">
        <v>174</v>
      </c>
      <c r="I96" s="110">
        <v>5</v>
      </c>
      <c r="J96" s="110">
        <v>2</v>
      </c>
      <c r="K96" s="110">
        <f t="shared" si="6"/>
        <v>10</v>
      </c>
      <c r="L96" s="614" t="s">
        <v>223</v>
      </c>
      <c r="M96" s="110" t="s">
        <v>168</v>
      </c>
      <c r="N96" s="683">
        <f>'Energy Monitoring'!P42</f>
        <v>0</v>
      </c>
      <c r="O96" s="684">
        <f>'Energy Monitoring'!P47</f>
        <v>0</v>
      </c>
      <c r="P96" s="112" t="str">
        <f t="shared" si="11"/>
        <v>n/a</v>
      </c>
      <c r="Q96" s="351" t="str">
        <f t="shared" si="12"/>
        <v>n/a</v>
      </c>
      <c r="R96" s="1095"/>
      <c r="S96" s="1190"/>
      <c r="T96" s="1104"/>
      <c r="U96" s="1200"/>
      <c r="V96" s="1200"/>
      <c r="W96" s="113"/>
    </row>
    <row r="97" spans="2:23" x14ac:dyDescent="0.25">
      <c r="B97" s="1166"/>
      <c r="C97" s="1086"/>
      <c r="D97" s="136" t="s">
        <v>163</v>
      </c>
      <c r="E97" s="109" t="s">
        <v>289</v>
      </c>
      <c r="F97" s="109" t="s">
        <v>290</v>
      </c>
      <c r="G97" s="619" t="s">
        <v>166</v>
      </c>
      <c r="H97" s="619" t="s">
        <v>174</v>
      </c>
      <c r="I97" s="110">
        <v>2</v>
      </c>
      <c r="J97" s="110">
        <v>2</v>
      </c>
      <c r="K97" s="110">
        <f t="shared" si="6"/>
        <v>4</v>
      </c>
      <c r="L97" s="619" t="s">
        <v>223</v>
      </c>
      <c r="M97" s="110" t="s">
        <v>168</v>
      </c>
      <c r="N97" s="683">
        <f>'Energy Monitoring'!P52</f>
        <v>0</v>
      </c>
      <c r="O97" s="684">
        <f>'Energy Monitoring'!P57</f>
        <v>0</v>
      </c>
      <c r="P97" s="112" t="str">
        <f t="shared" si="11"/>
        <v>n/a</v>
      </c>
      <c r="Q97" s="351" t="str">
        <f t="shared" si="12"/>
        <v>n/a</v>
      </c>
      <c r="R97" s="1095"/>
      <c r="S97" s="1190"/>
      <c r="T97" s="1104"/>
      <c r="U97" s="1200"/>
      <c r="V97" s="1200"/>
      <c r="W97" s="113"/>
    </row>
    <row r="98" spans="2:23" ht="24" x14ac:dyDescent="0.25">
      <c r="B98" s="1166"/>
      <c r="C98" s="1086"/>
      <c r="D98" s="136" t="s">
        <v>163</v>
      </c>
      <c r="E98" s="109" t="s">
        <v>289</v>
      </c>
      <c r="F98" s="673" t="s">
        <v>291</v>
      </c>
      <c r="G98" s="619" t="s">
        <v>166</v>
      </c>
      <c r="H98" s="619" t="s">
        <v>174</v>
      </c>
      <c r="I98" s="110">
        <v>3</v>
      </c>
      <c r="J98" s="110">
        <v>2</v>
      </c>
      <c r="K98" s="110">
        <f t="shared" si="6"/>
        <v>6</v>
      </c>
      <c r="L98" s="619" t="s">
        <v>223</v>
      </c>
      <c r="M98" s="110" t="s">
        <v>168</v>
      </c>
      <c r="N98" s="683">
        <f>'Energy Monitoring'!P62</f>
        <v>0</v>
      </c>
      <c r="O98" s="684">
        <f>'Energy Monitoring'!P67</f>
        <v>0</v>
      </c>
      <c r="P98" s="112" t="str">
        <f t="shared" si="11"/>
        <v>n/a</v>
      </c>
      <c r="Q98" s="351" t="str">
        <f t="shared" si="12"/>
        <v>n/a</v>
      </c>
      <c r="R98" s="1095"/>
      <c r="S98" s="1190"/>
      <c r="T98" s="1104"/>
      <c r="U98" s="1200"/>
      <c r="V98" s="1200"/>
      <c r="W98" s="113"/>
    </row>
    <row r="99" spans="2:23" ht="36" x14ac:dyDescent="0.25">
      <c r="B99" s="1166"/>
      <c r="C99" s="1086"/>
      <c r="D99" s="136" t="s">
        <v>163</v>
      </c>
      <c r="E99" s="109" t="s">
        <v>289</v>
      </c>
      <c r="F99" s="674" t="s">
        <v>292</v>
      </c>
      <c r="G99" s="619" t="s">
        <v>166</v>
      </c>
      <c r="H99" s="619" t="s">
        <v>174</v>
      </c>
      <c r="I99" s="110">
        <v>4</v>
      </c>
      <c r="J99" s="110">
        <v>2</v>
      </c>
      <c r="K99" s="110">
        <f t="shared" si="6"/>
        <v>8</v>
      </c>
      <c r="L99" s="619" t="s">
        <v>223</v>
      </c>
      <c r="M99" s="110" t="s">
        <v>168</v>
      </c>
      <c r="N99" s="683">
        <f>'Energy Monitoring'!P73</f>
        <v>0</v>
      </c>
      <c r="O99" s="684">
        <f>'Energy Monitoring'!P78</f>
        <v>0</v>
      </c>
      <c r="P99" s="112" t="str">
        <f t="shared" si="11"/>
        <v>n/a</v>
      </c>
      <c r="Q99" s="351" t="str">
        <f t="shared" si="12"/>
        <v>n/a</v>
      </c>
      <c r="R99" s="1095"/>
      <c r="S99" s="1190"/>
      <c r="T99" s="1104"/>
      <c r="U99" s="1200"/>
      <c r="V99" s="1200"/>
      <c r="W99" s="113"/>
    </row>
    <row r="100" spans="2:23" ht="36" x14ac:dyDescent="0.25">
      <c r="B100" s="1166"/>
      <c r="C100" s="1086"/>
      <c r="D100" s="136" t="s">
        <v>163</v>
      </c>
      <c r="E100" s="109" t="s">
        <v>289</v>
      </c>
      <c r="F100" s="705" t="s">
        <v>293</v>
      </c>
      <c r="G100" s="619" t="s">
        <v>166</v>
      </c>
      <c r="H100" s="619" t="s">
        <v>174</v>
      </c>
      <c r="I100" s="110">
        <v>5</v>
      </c>
      <c r="J100" s="110">
        <v>2</v>
      </c>
      <c r="K100" s="110">
        <f t="shared" ref="K100" si="13">(I100*J100)</f>
        <v>10</v>
      </c>
      <c r="L100" s="619" t="s">
        <v>223</v>
      </c>
      <c r="M100" s="110" t="s">
        <v>168</v>
      </c>
      <c r="N100" s="683">
        <f>'Energy Monitoring'!P84</f>
        <v>0</v>
      </c>
      <c r="O100" s="684">
        <f>'Energy Monitoring'!P89</f>
        <v>0</v>
      </c>
      <c r="P100" s="112" t="str">
        <f t="shared" si="11"/>
        <v>n/a</v>
      </c>
      <c r="Q100" s="351" t="str">
        <f t="shared" si="12"/>
        <v>n/a</v>
      </c>
      <c r="R100" s="1095"/>
      <c r="S100" s="1190"/>
      <c r="T100" s="1104"/>
      <c r="U100" s="1200"/>
      <c r="V100" s="1200"/>
      <c r="W100" s="113"/>
    </row>
    <row r="101" spans="2:23" ht="10.5" customHeight="1" x14ac:dyDescent="0.25">
      <c r="B101" s="1166"/>
      <c r="C101" s="1087"/>
      <c r="D101" s="746"/>
      <c r="E101" s="187"/>
      <c r="F101" s="187"/>
      <c r="G101" s="615"/>
      <c r="H101" s="615"/>
      <c r="I101" s="188"/>
      <c r="J101" s="188"/>
      <c r="K101" s="188"/>
      <c r="L101" s="615"/>
      <c r="M101" s="188"/>
      <c r="N101" s="687"/>
      <c r="O101" s="688"/>
      <c r="P101" s="189" t="str">
        <f t="shared" si="11"/>
        <v>n/a</v>
      </c>
      <c r="Q101" s="352" t="str">
        <f t="shared" si="12"/>
        <v>n/a</v>
      </c>
      <c r="R101" s="1096"/>
      <c r="S101" s="1210"/>
      <c r="T101" s="1105"/>
      <c r="U101" s="1201"/>
      <c r="V101" s="1201"/>
      <c r="W101" s="747"/>
    </row>
    <row r="102" spans="2:23" ht="24" x14ac:dyDescent="0.25">
      <c r="B102" s="1166"/>
      <c r="C102" s="1175" t="s">
        <v>294</v>
      </c>
      <c r="D102" s="173"/>
      <c r="E102" s="174" t="s">
        <v>278</v>
      </c>
      <c r="F102" s="174" t="s">
        <v>295</v>
      </c>
      <c r="G102" s="616" t="s">
        <v>174</v>
      </c>
      <c r="H102" s="616" t="s">
        <v>174</v>
      </c>
      <c r="I102" s="175">
        <v>5</v>
      </c>
      <c r="J102" s="175">
        <v>2</v>
      </c>
      <c r="K102" s="175">
        <f t="shared" ref="K102:K170" si="14">(I102*J102)</f>
        <v>10</v>
      </c>
      <c r="L102" s="616" t="s">
        <v>174</v>
      </c>
      <c r="M102" s="175"/>
      <c r="N102" s="689">
        <f>'Construction Activity Emissions'!P10</f>
        <v>0</v>
      </c>
      <c r="O102" s="690">
        <f>'Construction Activity Emissions'!P15</f>
        <v>363000</v>
      </c>
      <c r="P102" s="177">
        <f t="shared" si="11"/>
        <v>0</v>
      </c>
      <c r="Q102" s="353">
        <f t="shared" si="12"/>
        <v>363000</v>
      </c>
      <c r="R102" s="1094">
        <f>SUMIF(H102:H105,"Yes",K102:K105)</f>
        <v>18</v>
      </c>
      <c r="S102" s="1190">
        <f>SUMIF(L102:L105,"Yes",K102:K105)</f>
        <v>10</v>
      </c>
      <c r="T102" s="1103">
        <f>SUM(S102)/SUM(R102)</f>
        <v>0.55555555555555558</v>
      </c>
      <c r="U102" s="1214">
        <f>SUM(P102:P105)</f>
        <v>0</v>
      </c>
      <c r="V102" s="1214">
        <f>SUM(Q102:Q105)</f>
        <v>363000</v>
      </c>
      <c r="W102" s="178"/>
    </row>
    <row r="103" spans="2:23" ht="36" x14ac:dyDescent="0.25">
      <c r="B103" s="1166"/>
      <c r="C103" s="1176"/>
      <c r="D103" s="136"/>
      <c r="E103" s="109" t="s">
        <v>280</v>
      </c>
      <c r="F103" s="109" t="s">
        <v>296</v>
      </c>
      <c r="G103" s="614" t="s">
        <v>174</v>
      </c>
      <c r="H103" s="614" t="s">
        <v>174</v>
      </c>
      <c r="I103" s="110">
        <v>3</v>
      </c>
      <c r="J103" s="110">
        <v>2</v>
      </c>
      <c r="K103" s="110">
        <f t="shared" si="14"/>
        <v>6</v>
      </c>
      <c r="L103" s="614" t="s">
        <v>175</v>
      </c>
      <c r="M103" s="110"/>
      <c r="N103" s="683">
        <f>'Construction Activity Emissions'!P20</f>
        <v>363000</v>
      </c>
      <c r="O103" s="684">
        <f>'Construction Activity Emissions'!P25</f>
        <v>726000</v>
      </c>
      <c r="P103" s="112" t="str">
        <f t="shared" si="11"/>
        <v>n/a</v>
      </c>
      <c r="Q103" s="351" t="str">
        <f t="shared" si="12"/>
        <v>n/a</v>
      </c>
      <c r="R103" s="1095"/>
      <c r="S103" s="1190"/>
      <c r="T103" s="1104"/>
      <c r="U103" s="1095"/>
      <c r="V103" s="1095"/>
      <c r="W103" s="113"/>
    </row>
    <row r="104" spans="2:23" x14ac:dyDescent="0.25">
      <c r="B104" s="1166"/>
      <c r="C104" s="1177"/>
      <c r="D104" s="926"/>
      <c r="E104" s="143" t="s">
        <v>282</v>
      </c>
      <c r="F104" s="143" t="s">
        <v>297</v>
      </c>
      <c r="G104" s="927" t="s">
        <v>174</v>
      </c>
      <c r="H104" s="927" t="s">
        <v>174</v>
      </c>
      <c r="I104" s="191">
        <v>1</v>
      </c>
      <c r="J104" s="110">
        <v>2</v>
      </c>
      <c r="K104" s="110">
        <f t="shared" si="14"/>
        <v>2</v>
      </c>
      <c r="L104" s="927" t="s">
        <v>175</v>
      </c>
      <c r="M104" s="191"/>
      <c r="N104" s="685">
        <f>'Construction Activity Emissions'!P30</f>
        <v>363000</v>
      </c>
      <c r="O104" s="686">
        <f>'Construction Activity Emissions'!P35</f>
        <v>2542000</v>
      </c>
      <c r="P104" s="193"/>
      <c r="Q104" s="354"/>
      <c r="R104" s="1182"/>
      <c r="S104" s="1190"/>
      <c r="T104" s="1187"/>
      <c r="U104" s="1182"/>
      <c r="V104" s="1182"/>
      <c r="W104" s="194"/>
    </row>
    <row r="105" spans="2:23" x14ac:dyDescent="0.25">
      <c r="B105" s="1167"/>
      <c r="C105" s="1178"/>
      <c r="D105" s="331"/>
      <c r="E105" s="332"/>
      <c r="F105" s="332"/>
      <c r="G105" s="617"/>
      <c r="H105" s="617"/>
      <c r="I105" s="333"/>
      <c r="J105" s="333"/>
      <c r="K105" s="333"/>
      <c r="L105" s="617"/>
      <c r="M105" s="333"/>
      <c r="N105" s="691"/>
      <c r="O105" s="692"/>
      <c r="P105" s="334"/>
      <c r="Q105" s="355"/>
      <c r="R105" s="1183"/>
      <c r="S105" s="1191"/>
      <c r="T105" s="1188"/>
      <c r="U105" s="1183"/>
      <c r="V105" s="1183"/>
      <c r="W105" s="335"/>
    </row>
    <row r="106" spans="2:23" ht="26.1" customHeight="1" x14ac:dyDescent="0.25">
      <c r="B106" s="1033" t="s">
        <v>298</v>
      </c>
      <c r="C106" s="1132" t="s">
        <v>122</v>
      </c>
      <c r="D106" s="329" t="s">
        <v>163</v>
      </c>
      <c r="E106" s="200" t="s">
        <v>299</v>
      </c>
      <c r="F106" s="200" t="s">
        <v>300</v>
      </c>
      <c r="G106" s="618" t="s">
        <v>174</v>
      </c>
      <c r="H106" s="618" t="s">
        <v>174</v>
      </c>
      <c r="I106" s="201">
        <v>2</v>
      </c>
      <c r="J106" s="201">
        <v>2</v>
      </c>
      <c r="K106" s="201">
        <f t="shared" si="14"/>
        <v>4</v>
      </c>
      <c r="L106" s="618" t="s">
        <v>223</v>
      </c>
      <c r="M106" s="201" t="s">
        <v>168</v>
      </c>
      <c r="N106" s="677">
        <f>'Indoor Air Quality'!P12</f>
        <v>0</v>
      </c>
      <c r="O106" s="678">
        <f>'Indoor Air Quality'!P19</f>
        <v>0</v>
      </c>
      <c r="P106" s="203" t="str">
        <f t="shared" si="11"/>
        <v>n/a</v>
      </c>
      <c r="Q106" s="356" t="str">
        <f t="shared" si="12"/>
        <v>n/a</v>
      </c>
      <c r="R106" s="1184">
        <f>SUMIF(H106:H115,"Yes",K106:K115)</f>
        <v>56</v>
      </c>
      <c r="S106" s="1215">
        <f>SUMIF(L106:L115,"Yes",K106:K115)</f>
        <v>0</v>
      </c>
      <c r="T106" s="1117">
        <f>SUM(S106)/SUM(R106)</f>
        <v>0</v>
      </c>
      <c r="U106" s="1034">
        <f>SUM(P106:P115)</f>
        <v>0</v>
      </c>
      <c r="V106" s="1034">
        <f>SUM(Q106:Q115)</f>
        <v>0</v>
      </c>
      <c r="W106" s="330"/>
    </row>
    <row r="107" spans="2:23" ht="30" customHeight="1" x14ac:dyDescent="0.25">
      <c r="B107" s="1033"/>
      <c r="C107" s="1133"/>
      <c r="D107" s="137" t="s">
        <v>163</v>
      </c>
      <c r="E107" s="115" t="s">
        <v>299</v>
      </c>
      <c r="F107" s="706" t="s">
        <v>301</v>
      </c>
      <c r="G107" s="619" t="s">
        <v>174</v>
      </c>
      <c r="H107" s="619" t="s">
        <v>174</v>
      </c>
      <c r="I107" s="116">
        <v>3</v>
      </c>
      <c r="J107" s="116">
        <v>2</v>
      </c>
      <c r="K107" s="116">
        <f t="shared" si="14"/>
        <v>6</v>
      </c>
      <c r="L107" s="619" t="s">
        <v>223</v>
      </c>
      <c r="M107" s="116" t="s">
        <v>168</v>
      </c>
      <c r="N107" s="675">
        <f>'Indoor Air Quality'!P27</f>
        <v>204000</v>
      </c>
      <c r="O107" s="676">
        <f>'Indoor Air Quality'!P36</f>
        <v>0</v>
      </c>
      <c r="P107" s="117" t="str">
        <f t="shared" si="11"/>
        <v>n/a</v>
      </c>
      <c r="Q107" s="357" t="str">
        <f t="shared" si="12"/>
        <v>n/a</v>
      </c>
      <c r="R107" s="1038"/>
      <c r="S107" s="1144"/>
      <c r="T107" s="1040"/>
      <c r="U107" s="1035"/>
      <c r="V107" s="1035"/>
      <c r="W107" s="209"/>
    </row>
    <row r="108" spans="2:23" ht="24" x14ac:dyDescent="0.25">
      <c r="B108" s="1033"/>
      <c r="C108" s="1133"/>
      <c r="D108" s="137" t="s">
        <v>163</v>
      </c>
      <c r="E108" s="115" t="s">
        <v>299</v>
      </c>
      <c r="F108" s="707" t="s">
        <v>302</v>
      </c>
      <c r="G108" s="619" t="s">
        <v>174</v>
      </c>
      <c r="H108" s="619" t="s">
        <v>174</v>
      </c>
      <c r="I108" s="116">
        <v>4</v>
      </c>
      <c r="J108" s="116">
        <v>2</v>
      </c>
      <c r="K108" s="116">
        <f t="shared" si="14"/>
        <v>8</v>
      </c>
      <c r="L108" s="619" t="s">
        <v>223</v>
      </c>
      <c r="M108" s="116" t="s">
        <v>168</v>
      </c>
      <c r="N108" s="675">
        <f>'Indoor Air Quality'!P46</f>
        <v>102000</v>
      </c>
      <c r="O108" s="676">
        <f>'Indoor Air Quality'!P55</f>
        <v>0</v>
      </c>
      <c r="P108" s="117" t="str">
        <f t="shared" si="11"/>
        <v>n/a</v>
      </c>
      <c r="Q108" s="357" t="str">
        <f t="shared" si="12"/>
        <v>n/a</v>
      </c>
      <c r="R108" s="1038"/>
      <c r="S108" s="1144"/>
      <c r="T108" s="1040"/>
      <c r="U108" s="1035"/>
      <c r="V108" s="1035"/>
      <c r="W108" s="209"/>
    </row>
    <row r="109" spans="2:23" ht="24" x14ac:dyDescent="0.25">
      <c r="B109" s="1033"/>
      <c r="C109" s="1133"/>
      <c r="D109" s="137" t="s">
        <v>163</v>
      </c>
      <c r="E109" s="115" t="s">
        <v>299</v>
      </c>
      <c r="F109" s="708" t="s">
        <v>303</v>
      </c>
      <c r="G109" s="619" t="s">
        <v>174</v>
      </c>
      <c r="H109" s="619" t="s">
        <v>174</v>
      </c>
      <c r="I109" s="116">
        <v>5</v>
      </c>
      <c r="J109" s="116">
        <v>2</v>
      </c>
      <c r="K109" s="116">
        <f t="shared" si="14"/>
        <v>10</v>
      </c>
      <c r="L109" s="619" t="s">
        <v>223</v>
      </c>
      <c r="M109" s="116" t="s">
        <v>168</v>
      </c>
      <c r="N109" s="675">
        <f>'Indoor Air Quality'!P64</f>
        <v>714000</v>
      </c>
      <c r="O109" s="676">
        <f>'Indoor Air Quality'!P72</f>
        <v>0</v>
      </c>
      <c r="P109" s="117" t="str">
        <f t="shared" si="11"/>
        <v>n/a</v>
      </c>
      <c r="Q109" s="357" t="str">
        <f t="shared" si="12"/>
        <v>n/a</v>
      </c>
      <c r="R109" s="1038"/>
      <c r="S109" s="1144"/>
      <c r="T109" s="1040"/>
      <c r="U109" s="1035"/>
      <c r="V109" s="1035"/>
      <c r="W109" s="209"/>
    </row>
    <row r="110" spans="2:23" x14ac:dyDescent="0.25">
      <c r="B110" s="1033"/>
      <c r="C110" s="1133"/>
      <c r="D110" s="137" t="s">
        <v>163</v>
      </c>
      <c r="E110" s="115" t="s">
        <v>304</v>
      </c>
      <c r="F110" s="115" t="s">
        <v>305</v>
      </c>
      <c r="G110" s="619" t="s">
        <v>166</v>
      </c>
      <c r="H110" s="619" t="s">
        <v>174</v>
      </c>
      <c r="I110" s="116">
        <v>2</v>
      </c>
      <c r="J110" s="116">
        <v>2</v>
      </c>
      <c r="K110" s="116">
        <f t="shared" si="14"/>
        <v>4</v>
      </c>
      <c r="L110" s="619" t="s">
        <v>223</v>
      </c>
      <c r="M110" s="116" t="s">
        <v>168</v>
      </c>
      <c r="N110" s="675">
        <f>'Indoor Air Quality'!P80</f>
        <v>0</v>
      </c>
      <c r="O110" s="676">
        <f>'Indoor Air Quality'!P88</f>
        <v>0</v>
      </c>
      <c r="P110" s="117" t="str">
        <f t="shared" si="11"/>
        <v>n/a</v>
      </c>
      <c r="Q110" s="357" t="str">
        <f t="shared" si="12"/>
        <v>n/a</v>
      </c>
      <c r="R110" s="1038"/>
      <c r="S110" s="1144"/>
      <c r="T110" s="1040"/>
      <c r="U110" s="1035"/>
      <c r="V110" s="1035"/>
      <c r="W110" s="209"/>
    </row>
    <row r="111" spans="2:23" ht="24" x14ac:dyDescent="0.25">
      <c r="B111" s="1033"/>
      <c r="C111" s="1133"/>
      <c r="D111" s="137" t="s">
        <v>163</v>
      </c>
      <c r="E111" s="115" t="s">
        <v>304</v>
      </c>
      <c r="F111" s="706" t="s">
        <v>306</v>
      </c>
      <c r="G111" s="619" t="s">
        <v>166</v>
      </c>
      <c r="H111" s="619" t="s">
        <v>174</v>
      </c>
      <c r="I111" s="116">
        <v>3</v>
      </c>
      <c r="J111" s="116">
        <v>2</v>
      </c>
      <c r="K111" s="116">
        <f t="shared" si="14"/>
        <v>6</v>
      </c>
      <c r="L111" s="619" t="s">
        <v>223</v>
      </c>
      <c r="M111" s="116" t="s">
        <v>168</v>
      </c>
      <c r="N111" s="675">
        <f>'Indoor Air Quality'!P97</f>
        <v>0</v>
      </c>
      <c r="O111" s="676">
        <f>'Indoor Air Quality'!P106</f>
        <v>0</v>
      </c>
      <c r="P111" s="117" t="str">
        <f t="shared" si="11"/>
        <v>n/a</v>
      </c>
      <c r="Q111" s="357" t="str">
        <f t="shared" si="12"/>
        <v>n/a</v>
      </c>
      <c r="R111" s="1038"/>
      <c r="S111" s="1144"/>
      <c r="T111" s="1040"/>
      <c r="U111" s="1035"/>
      <c r="V111" s="1035"/>
      <c r="W111" s="209"/>
    </row>
    <row r="112" spans="2:23" ht="24" x14ac:dyDescent="0.25">
      <c r="B112" s="1033"/>
      <c r="C112" s="1133"/>
      <c r="D112" s="137" t="s">
        <v>163</v>
      </c>
      <c r="E112" s="115" t="s">
        <v>304</v>
      </c>
      <c r="F112" s="707" t="s">
        <v>307</v>
      </c>
      <c r="G112" s="619" t="s">
        <v>166</v>
      </c>
      <c r="H112" s="619" t="s">
        <v>174</v>
      </c>
      <c r="I112" s="116">
        <v>5</v>
      </c>
      <c r="J112" s="116">
        <v>2</v>
      </c>
      <c r="K112" s="116">
        <f t="shared" si="14"/>
        <v>10</v>
      </c>
      <c r="L112" s="619" t="s">
        <v>223</v>
      </c>
      <c r="M112" s="116" t="s">
        <v>168</v>
      </c>
      <c r="N112" s="675">
        <f>'Indoor Air Quality'!P115</f>
        <v>0</v>
      </c>
      <c r="O112" s="676">
        <f>'Indoor Air Quality'!P124</f>
        <v>0</v>
      </c>
      <c r="P112" s="117" t="str">
        <f t="shared" si="11"/>
        <v>n/a</v>
      </c>
      <c r="Q112" s="357" t="str">
        <f t="shared" si="12"/>
        <v>n/a</v>
      </c>
      <c r="R112" s="1038"/>
      <c r="S112" s="1144"/>
      <c r="T112" s="1040"/>
      <c r="U112" s="1035"/>
      <c r="V112" s="1035"/>
      <c r="W112" s="209"/>
    </row>
    <row r="113" spans="2:23" ht="24" x14ac:dyDescent="0.25">
      <c r="B113" s="1033"/>
      <c r="C113" s="1133"/>
      <c r="D113" s="137" t="s">
        <v>163</v>
      </c>
      <c r="E113" s="115" t="s">
        <v>308</v>
      </c>
      <c r="F113" s="115" t="s">
        <v>309</v>
      </c>
      <c r="G113" s="619" t="s">
        <v>166</v>
      </c>
      <c r="H113" s="619" t="s">
        <v>174</v>
      </c>
      <c r="I113" s="116">
        <v>4</v>
      </c>
      <c r="J113" s="116">
        <v>2</v>
      </c>
      <c r="K113" s="116">
        <f t="shared" si="14"/>
        <v>8</v>
      </c>
      <c r="L113" s="619" t="s">
        <v>223</v>
      </c>
      <c r="M113" s="116" t="s">
        <v>168</v>
      </c>
      <c r="N113" s="675">
        <f>'Indoor Air Quality'!P132</f>
        <v>0</v>
      </c>
      <c r="O113" s="676">
        <f>'Indoor Air Quality'!P140</f>
        <v>0</v>
      </c>
      <c r="P113" s="117" t="str">
        <f t="shared" si="11"/>
        <v>n/a</v>
      </c>
      <c r="Q113" s="357" t="str">
        <f t="shared" si="12"/>
        <v>n/a</v>
      </c>
      <c r="R113" s="1038"/>
      <c r="S113" s="1144"/>
      <c r="T113" s="1040"/>
      <c r="U113" s="1035"/>
      <c r="V113" s="1035"/>
      <c r="W113" s="209"/>
    </row>
    <row r="114" spans="2:23" ht="24" x14ac:dyDescent="0.25">
      <c r="B114" s="1033"/>
      <c r="C114" s="1133"/>
      <c r="D114" s="137" t="s">
        <v>163</v>
      </c>
      <c r="E114" s="115" t="s">
        <v>308</v>
      </c>
      <c r="F114" s="706" t="s">
        <v>310</v>
      </c>
      <c r="G114" s="619" t="s">
        <v>166</v>
      </c>
      <c r="H114" s="619" t="s">
        <v>175</v>
      </c>
      <c r="I114" s="116">
        <v>5</v>
      </c>
      <c r="J114" s="116">
        <v>2</v>
      </c>
      <c r="K114" s="116">
        <f t="shared" ref="K114" si="15">(I114*J114)</f>
        <v>10</v>
      </c>
      <c r="L114" s="619" t="s">
        <v>223</v>
      </c>
      <c r="M114" s="116" t="s">
        <v>168</v>
      </c>
      <c r="N114" s="675">
        <f>'Indoor Air Quality'!P149</f>
        <v>0</v>
      </c>
      <c r="O114" s="676">
        <f>'Indoor Air Quality'!P158</f>
        <v>0</v>
      </c>
      <c r="P114" s="117" t="str">
        <f t="shared" si="11"/>
        <v>n/a</v>
      </c>
      <c r="Q114" s="357" t="str">
        <f t="shared" si="12"/>
        <v>n/a</v>
      </c>
      <c r="R114" s="1038"/>
      <c r="S114" s="1144"/>
      <c r="T114" s="1040"/>
      <c r="U114" s="1035"/>
      <c r="V114" s="1035"/>
      <c r="W114" s="209"/>
    </row>
    <row r="115" spans="2:23" ht="9" customHeight="1" x14ac:dyDescent="0.25">
      <c r="B115" s="1033"/>
      <c r="C115" s="1181"/>
      <c r="D115" s="210"/>
      <c r="E115" s="211"/>
      <c r="F115" s="211"/>
      <c r="G115" s="620"/>
      <c r="H115" s="620"/>
      <c r="I115" s="212"/>
      <c r="J115" s="212"/>
      <c r="K115" s="212"/>
      <c r="L115" s="620"/>
      <c r="M115" s="212"/>
      <c r="N115" s="693"/>
      <c r="O115" s="694"/>
      <c r="P115" s="213" t="str">
        <f t="shared" si="11"/>
        <v>n/a</v>
      </c>
      <c r="Q115" s="358" t="str">
        <f t="shared" si="12"/>
        <v>n/a</v>
      </c>
      <c r="R115" s="1186"/>
      <c r="S115" s="1145"/>
      <c r="T115" s="1189"/>
      <c r="U115" s="1141"/>
      <c r="V115" s="1141"/>
      <c r="W115" s="214"/>
    </row>
    <row r="116" spans="2:23" ht="36" x14ac:dyDescent="0.25">
      <c r="B116" s="1033"/>
      <c r="C116" s="1132" t="s">
        <v>123</v>
      </c>
      <c r="D116" s="199" t="s">
        <v>163</v>
      </c>
      <c r="E116" s="200" t="s">
        <v>311</v>
      </c>
      <c r="F116" s="200" t="s">
        <v>312</v>
      </c>
      <c r="G116" s="618" t="s">
        <v>166</v>
      </c>
      <c r="H116" s="618" t="s">
        <v>174</v>
      </c>
      <c r="I116" s="201">
        <v>1</v>
      </c>
      <c r="J116" s="201">
        <v>2</v>
      </c>
      <c r="K116" s="201">
        <f t="shared" si="14"/>
        <v>2</v>
      </c>
      <c r="L116" s="618" t="s">
        <v>223</v>
      </c>
      <c r="M116" s="201" t="s">
        <v>168</v>
      </c>
      <c r="N116" s="677">
        <f>'Int Thermal Comfort'!P12</f>
        <v>0</v>
      </c>
      <c r="O116" s="678">
        <f>'Int Thermal Comfort'!P19</f>
        <v>0</v>
      </c>
      <c r="P116" s="203" t="str">
        <f t="shared" si="11"/>
        <v>n/a</v>
      </c>
      <c r="Q116" s="356" t="str">
        <f t="shared" si="12"/>
        <v>n/a</v>
      </c>
      <c r="R116" s="1184">
        <f>SUMIF(H116:H122,"Yes",K116:K122)</f>
        <v>70</v>
      </c>
      <c r="S116" s="1143">
        <f>SUMIF(L116:L122,"Yes",K116:K122)</f>
        <v>0</v>
      </c>
      <c r="T116" s="1117">
        <f>SUM(S116)/SUM(R116)</f>
        <v>0</v>
      </c>
      <c r="U116" s="1034">
        <f>SUM(P116:P122)</f>
        <v>0</v>
      </c>
      <c r="V116" s="1034">
        <f>SUM(Q116:Q122)</f>
        <v>0</v>
      </c>
      <c r="W116" s="204"/>
    </row>
    <row r="117" spans="2:23" ht="21.75" customHeight="1" x14ac:dyDescent="0.25">
      <c r="B117" s="1033"/>
      <c r="C117" s="1133"/>
      <c r="D117" s="138" t="s">
        <v>163</v>
      </c>
      <c r="E117" s="115" t="s">
        <v>311</v>
      </c>
      <c r="F117" s="706" t="s">
        <v>313</v>
      </c>
      <c r="G117" s="619" t="s">
        <v>166</v>
      </c>
      <c r="H117" s="619" t="s">
        <v>174</v>
      </c>
      <c r="I117" s="116">
        <v>2</v>
      </c>
      <c r="J117" s="116">
        <v>2</v>
      </c>
      <c r="K117" s="116">
        <f t="shared" si="14"/>
        <v>4</v>
      </c>
      <c r="L117" s="619" t="s">
        <v>223</v>
      </c>
      <c r="M117" s="116" t="s">
        <v>168</v>
      </c>
      <c r="N117" s="675">
        <f>'Int Thermal Comfort'!P28</f>
        <v>0</v>
      </c>
      <c r="O117" s="676">
        <f>'Int Thermal Comfort'!P35</f>
        <v>0</v>
      </c>
      <c r="P117" s="117" t="str">
        <f t="shared" si="11"/>
        <v>n/a</v>
      </c>
      <c r="Q117" s="357" t="str">
        <f t="shared" si="12"/>
        <v>n/a</v>
      </c>
      <c r="R117" s="1038"/>
      <c r="S117" s="1144"/>
      <c r="T117" s="1040"/>
      <c r="U117" s="1035"/>
      <c r="V117" s="1035"/>
      <c r="W117" s="118"/>
    </row>
    <row r="118" spans="2:23" ht="36" x14ac:dyDescent="0.25">
      <c r="B118" s="1033"/>
      <c r="C118" s="1133"/>
      <c r="D118" s="138" t="s">
        <v>163</v>
      </c>
      <c r="E118" s="115" t="s">
        <v>311</v>
      </c>
      <c r="F118" s="707" t="s">
        <v>314</v>
      </c>
      <c r="G118" s="619" t="s">
        <v>166</v>
      </c>
      <c r="H118" s="619" t="s">
        <v>174</v>
      </c>
      <c r="I118" s="116">
        <v>3</v>
      </c>
      <c r="J118" s="116">
        <v>2</v>
      </c>
      <c r="K118" s="116">
        <f t="shared" si="14"/>
        <v>6</v>
      </c>
      <c r="L118" s="619" t="s">
        <v>223</v>
      </c>
      <c r="M118" s="116" t="s">
        <v>168</v>
      </c>
      <c r="N118" s="675">
        <f>'Int Thermal Comfort'!$P$53</f>
        <v>0</v>
      </c>
      <c r="O118" s="676">
        <f>'Int Thermal Comfort'!P53</f>
        <v>0</v>
      </c>
      <c r="P118" s="117" t="str">
        <f t="shared" si="11"/>
        <v>n/a</v>
      </c>
      <c r="Q118" s="357" t="str">
        <f t="shared" si="12"/>
        <v>n/a</v>
      </c>
      <c r="R118" s="1038"/>
      <c r="S118" s="1144"/>
      <c r="T118" s="1040"/>
      <c r="U118" s="1035"/>
      <c r="V118" s="1035"/>
      <c r="W118" s="118"/>
    </row>
    <row r="119" spans="2:23" ht="48" x14ac:dyDescent="0.25">
      <c r="B119" s="1033"/>
      <c r="C119" s="1133"/>
      <c r="D119" s="138" t="s">
        <v>163</v>
      </c>
      <c r="E119" s="115" t="s">
        <v>311</v>
      </c>
      <c r="F119" s="708" t="s">
        <v>315</v>
      </c>
      <c r="G119" s="619" t="s">
        <v>166</v>
      </c>
      <c r="H119" s="619" t="s">
        <v>174</v>
      </c>
      <c r="I119" s="116">
        <v>4</v>
      </c>
      <c r="J119" s="116">
        <v>2</v>
      </c>
      <c r="K119" s="116">
        <f t="shared" si="14"/>
        <v>8</v>
      </c>
      <c r="L119" s="619" t="s">
        <v>223</v>
      </c>
      <c r="M119" s="116" t="s">
        <v>168</v>
      </c>
      <c r="N119" s="675">
        <f>'Int Thermal Comfort'!P61</f>
        <v>0</v>
      </c>
      <c r="O119" s="676">
        <f>'Int Thermal Comfort'!P69</f>
        <v>0</v>
      </c>
      <c r="P119" s="117" t="str">
        <f t="shared" si="11"/>
        <v>n/a</v>
      </c>
      <c r="Q119" s="357" t="str">
        <f t="shared" si="12"/>
        <v>n/a</v>
      </c>
      <c r="R119" s="1038"/>
      <c r="S119" s="1144"/>
      <c r="T119" s="1040"/>
      <c r="U119" s="1035"/>
      <c r="V119" s="1035"/>
      <c r="W119" s="118"/>
    </row>
    <row r="120" spans="2:23" ht="36" x14ac:dyDescent="0.25">
      <c r="B120" s="1033"/>
      <c r="C120" s="1133"/>
      <c r="D120" s="138" t="s">
        <v>163</v>
      </c>
      <c r="E120" s="115" t="s">
        <v>311</v>
      </c>
      <c r="F120" s="709" t="s">
        <v>316</v>
      </c>
      <c r="G120" s="619" t="s">
        <v>166</v>
      </c>
      <c r="H120" s="619" t="s">
        <v>174</v>
      </c>
      <c r="I120" s="116">
        <v>5</v>
      </c>
      <c r="J120" s="116">
        <v>5</v>
      </c>
      <c r="K120" s="116">
        <f t="shared" si="14"/>
        <v>25</v>
      </c>
      <c r="L120" s="619" t="s">
        <v>223</v>
      </c>
      <c r="M120" s="116" t="s">
        <v>168</v>
      </c>
      <c r="N120" s="675">
        <f>'Int Thermal Comfort'!P77</f>
        <v>0</v>
      </c>
      <c r="O120" s="676">
        <f>'Int Thermal Comfort'!P85</f>
        <v>0</v>
      </c>
      <c r="P120" s="117" t="str">
        <f t="shared" si="11"/>
        <v>n/a</v>
      </c>
      <c r="Q120" s="357" t="str">
        <f t="shared" si="12"/>
        <v>n/a</v>
      </c>
      <c r="R120" s="1038"/>
      <c r="S120" s="1144"/>
      <c r="T120" s="1040"/>
      <c r="U120" s="1035"/>
      <c r="V120" s="1035"/>
      <c r="W120" s="118"/>
    </row>
    <row r="121" spans="2:23" ht="24" x14ac:dyDescent="0.25">
      <c r="B121" s="1033"/>
      <c r="C121" s="1133"/>
      <c r="D121" s="138" t="s">
        <v>163</v>
      </c>
      <c r="E121" s="115" t="s">
        <v>317</v>
      </c>
      <c r="F121" s="115" t="s">
        <v>318</v>
      </c>
      <c r="G121" s="619" t="s">
        <v>166</v>
      </c>
      <c r="H121" s="619" t="s">
        <v>174</v>
      </c>
      <c r="I121" s="116">
        <v>5</v>
      </c>
      <c r="J121" s="116">
        <v>5</v>
      </c>
      <c r="K121" s="116">
        <f t="shared" ref="K121" si="16">(I121*J121)</f>
        <v>25</v>
      </c>
      <c r="L121" s="619" t="s">
        <v>223</v>
      </c>
      <c r="M121" s="116" t="s">
        <v>168</v>
      </c>
      <c r="N121" s="675">
        <f>'Int Thermal Comfort'!P93</f>
        <v>0</v>
      </c>
      <c r="O121" s="676">
        <f>'Int Thermal Comfort'!P100</f>
        <v>0</v>
      </c>
      <c r="P121" s="117" t="str">
        <f t="shared" si="11"/>
        <v>n/a</v>
      </c>
      <c r="Q121" s="357" t="str">
        <f t="shared" si="12"/>
        <v>n/a</v>
      </c>
      <c r="R121" s="1038"/>
      <c r="S121" s="1144"/>
      <c r="T121" s="1040"/>
      <c r="U121" s="1035"/>
      <c r="V121" s="1035"/>
      <c r="W121" s="118"/>
    </row>
    <row r="122" spans="2:23" ht="9" customHeight="1" x14ac:dyDescent="0.25">
      <c r="B122" s="1033"/>
      <c r="C122" s="1134"/>
      <c r="D122" s="215"/>
      <c r="E122" s="216"/>
      <c r="F122" s="216"/>
      <c r="G122" s="621"/>
      <c r="H122" s="621"/>
      <c r="I122" s="217"/>
      <c r="J122" s="217"/>
      <c r="K122" s="217"/>
      <c r="L122" s="621"/>
      <c r="M122" s="217"/>
      <c r="N122" s="679"/>
      <c r="O122" s="680"/>
      <c r="P122" s="219" t="str">
        <f t="shared" si="11"/>
        <v>n/a</v>
      </c>
      <c r="Q122" s="359" t="str">
        <f t="shared" si="12"/>
        <v>n/a</v>
      </c>
      <c r="R122" s="1036"/>
      <c r="S122" s="1145"/>
      <c r="T122" s="1041"/>
      <c r="U122" s="1142"/>
      <c r="V122" s="1142"/>
      <c r="W122" s="220"/>
    </row>
    <row r="123" spans="2:23" ht="27" customHeight="1" x14ac:dyDescent="0.25">
      <c r="B123" s="1033"/>
      <c r="C123" s="1072" t="s">
        <v>124</v>
      </c>
      <c r="D123" s="221" t="s">
        <v>163</v>
      </c>
      <c r="E123" s="205" t="s">
        <v>319</v>
      </c>
      <c r="F123" s="205" t="s">
        <v>320</v>
      </c>
      <c r="G123" s="622" t="s">
        <v>174</v>
      </c>
      <c r="H123" s="622" t="s">
        <v>174</v>
      </c>
      <c r="I123" s="206">
        <v>4</v>
      </c>
      <c r="J123" s="206">
        <v>2</v>
      </c>
      <c r="K123" s="206">
        <f t="shared" si="14"/>
        <v>8</v>
      </c>
      <c r="L123" s="622" t="s">
        <v>223</v>
      </c>
      <c r="M123" s="206" t="s">
        <v>168</v>
      </c>
      <c r="N123" s="695" t="str">
        <f>Lighting!P13</f>
        <v>n/a</v>
      </c>
      <c r="O123" s="696" t="str">
        <f>Lighting!P20</f>
        <v>n/a</v>
      </c>
      <c r="P123" s="207" t="str">
        <f t="shared" si="11"/>
        <v>n/a</v>
      </c>
      <c r="Q123" s="360" t="str">
        <f t="shared" si="12"/>
        <v>n/a</v>
      </c>
      <c r="R123" s="1143">
        <f>SUMIF(H123:H131,"Yes",K123:K131)</f>
        <v>50</v>
      </c>
      <c r="S123" s="1143">
        <f>SUMIF(L123:L131,"Yes",K123:K131)</f>
        <v>0</v>
      </c>
      <c r="T123" s="1172">
        <f>SUM(S123)/SUM(R123)</f>
        <v>0</v>
      </c>
      <c r="U123" s="1082">
        <f>SUM(P123:P131)</f>
        <v>0</v>
      </c>
      <c r="V123" s="1082">
        <f>SUM(Q123:Q131)</f>
        <v>0</v>
      </c>
      <c r="W123" s="208"/>
    </row>
    <row r="124" spans="2:23" ht="36" x14ac:dyDescent="0.25">
      <c r="B124" s="1033"/>
      <c r="C124" s="1053"/>
      <c r="D124" s="138" t="s">
        <v>163</v>
      </c>
      <c r="E124" s="115" t="s">
        <v>319</v>
      </c>
      <c r="F124" s="706" t="s">
        <v>321</v>
      </c>
      <c r="G124" s="619" t="s">
        <v>174</v>
      </c>
      <c r="H124" s="619" t="s">
        <v>174</v>
      </c>
      <c r="I124" s="116">
        <v>5</v>
      </c>
      <c r="J124" s="116">
        <v>2</v>
      </c>
      <c r="K124" s="116">
        <f t="shared" si="14"/>
        <v>10</v>
      </c>
      <c r="L124" s="619" t="s">
        <v>223</v>
      </c>
      <c r="M124" s="116" t="s">
        <v>168</v>
      </c>
      <c r="N124" s="675" t="str">
        <f>Lighting!P29</f>
        <v>n/a</v>
      </c>
      <c r="O124" s="676" t="str">
        <f>Lighting!P36</f>
        <v>n/a</v>
      </c>
      <c r="P124" s="117" t="str">
        <f t="shared" si="11"/>
        <v>n/a</v>
      </c>
      <c r="Q124" s="357" t="str">
        <f t="shared" si="12"/>
        <v>n/a</v>
      </c>
      <c r="R124" s="1144"/>
      <c r="S124" s="1144"/>
      <c r="T124" s="1173"/>
      <c r="U124" s="1083"/>
      <c r="V124" s="1083"/>
      <c r="W124" s="209"/>
    </row>
    <row r="125" spans="2:23" ht="28.35" customHeight="1" x14ac:dyDescent="0.25">
      <c r="B125" s="1033"/>
      <c r="C125" s="1053"/>
      <c r="D125" s="138" t="s">
        <v>163</v>
      </c>
      <c r="E125" s="115" t="s">
        <v>322</v>
      </c>
      <c r="F125" s="115" t="s">
        <v>323</v>
      </c>
      <c r="G125" s="619" t="s">
        <v>174</v>
      </c>
      <c r="H125" s="619" t="s">
        <v>174</v>
      </c>
      <c r="I125" s="116">
        <v>2</v>
      </c>
      <c r="J125" s="116">
        <v>2</v>
      </c>
      <c r="K125" s="116">
        <f t="shared" si="14"/>
        <v>4</v>
      </c>
      <c r="L125" s="619" t="s">
        <v>223</v>
      </c>
      <c r="M125" s="116" t="s">
        <v>168</v>
      </c>
      <c r="N125" s="675" t="str">
        <f>Lighting!P46</f>
        <v>n/a</v>
      </c>
      <c r="O125" s="676" t="str">
        <f>Lighting!P53</f>
        <v>n/a</v>
      </c>
      <c r="P125" s="117" t="str">
        <f t="shared" si="11"/>
        <v>n/a</v>
      </c>
      <c r="Q125" s="357" t="str">
        <f t="shared" si="12"/>
        <v>n/a</v>
      </c>
      <c r="R125" s="1144"/>
      <c r="S125" s="1144"/>
      <c r="T125" s="1173"/>
      <c r="U125" s="1083"/>
      <c r="V125" s="1083"/>
      <c r="W125" s="209"/>
    </row>
    <row r="126" spans="2:23" ht="24" x14ac:dyDescent="0.25">
      <c r="B126" s="1033"/>
      <c r="C126" s="1053"/>
      <c r="D126" s="138" t="s">
        <v>163</v>
      </c>
      <c r="E126" s="115" t="s">
        <v>322</v>
      </c>
      <c r="F126" s="706" t="s">
        <v>324</v>
      </c>
      <c r="G126" s="619" t="s">
        <v>174</v>
      </c>
      <c r="H126" s="619" t="s">
        <v>174</v>
      </c>
      <c r="I126" s="116">
        <v>5</v>
      </c>
      <c r="J126" s="116">
        <v>2</v>
      </c>
      <c r="K126" s="116">
        <f t="shared" si="14"/>
        <v>10</v>
      </c>
      <c r="L126" s="619" t="s">
        <v>223</v>
      </c>
      <c r="M126" s="116" t="s">
        <v>168</v>
      </c>
      <c r="N126" s="675" t="str">
        <f>Lighting!P63</f>
        <v>Elsewhere</v>
      </c>
      <c r="O126" s="676" t="str">
        <f>Lighting!P70</f>
        <v>Elsewhere</v>
      </c>
      <c r="P126" s="117" t="str">
        <f t="shared" si="11"/>
        <v>n/a</v>
      </c>
      <c r="Q126" s="357" t="str">
        <f t="shared" si="12"/>
        <v>n/a</v>
      </c>
      <c r="R126" s="1144"/>
      <c r="S126" s="1144"/>
      <c r="T126" s="1173"/>
      <c r="U126" s="1083"/>
      <c r="V126" s="1083"/>
      <c r="W126" s="209"/>
    </row>
    <row r="127" spans="2:23" x14ac:dyDescent="0.25">
      <c r="B127" s="1033"/>
      <c r="C127" s="1053"/>
      <c r="D127" s="138" t="s">
        <v>163</v>
      </c>
      <c r="E127" s="115" t="s">
        <v>325</v>
      </c>
      <c r="F127" s="115" t="s">
        <v>326</v>
      </c>
      <c r="G127" s="619" t="s">
        <v>174</v>
      </c>
      <c r="H127" s="619" t="s">
        <v>174</v>
      </c>
      <c r="I127" s="116">
        <v>2</v>
      </c>
      <c r="J127" s="116">
        <v>2</v>
      </c>
      <c r="K127" s="116">
        <f t="shared" si="14"/>
        <v>4</v>
      </c>
      <c r="L127" s="619" t="s">
        <v>223</v>
      </c>
      <c r="M127" s="116" t="s">
        <v>168</v>
      </c>
      <c r="N127" s="675" t="str">
        <f>Lighting!P80</f>
        <v>n/a</v>
      </c>
      <c r="O127" s="676" t="str">
        <f>Lighting!P87</f>
        <v>n/a</v>
      </c>
      <c r="P127" s="117" t="str">
        <f t="shared" si="11"/>
        <v>n/a</v>
      </c>
      <c r="Q127" s="357" t="str">
        <f t="shared" si="12"/>
        <v>n/a</v>
      </c>
      <c r="R127" s="1144"/>
      <c r="S127" s="1144"/>
      <c r="T127" s="1173"/>
      <c r="U127" s="1083"/>
      <c r="V127" s="1083"/>
      <c r="W127" s="209"/>
    </row>
    <row r="128" spans="2:23" x14ac:dyDescent="0.25">
      <c r="B128" s="1033"/>
      <c r="C128" s="1053"/>
      <c r="D128" s="138" t="s">
        <v>163</v>
      </c>
      <c r="E128" s="115" t="s">
        <v>325</v>
      </c>
      <c r="F128" s="706" t="s">
        <v>327</v>
      </c>
      <c r="G128" s="619" t="s">
        <v>174</v>
      </c>
      <c r="H128" s="619" t="s">
        <v>174</v>
      </c>
      <c r="I128" s="116">
        <v>3</v>
      </c>
      <c r="J128" s="116">
        <v>2</v>
      </c>
      <c r="K128" s="116">
        <f t="shared" si="14"/>
        <v>6</v>
      </c>
      <c r="L128" s="619" t="s">
        <v>223</v>
      </c>
      <c r="M128" s="116" t="s">
        <v>168</v>
      </c>
      <c r="N128" s="675">
        <f>Lighting!P97</f>
        <v>190000</v>
      </c>
      <c r="O128" s="676">
        <f>Lighting!P104</f>
        <v>569000</v>
      </c>
      <c r="P128" s="117" t="str">
        <f t="shared" si="11"/>
        <v>n/a</v>
      </c>
      <c r="Q128" s="357" t="str">
        <f t="shared" si="12"/>
        <v>n/a</v>
      </c>
      <c r="R128" s="1144"/>
      <c r="S128" s="1144"/>
      <c r="T128" s="1173"/>
      <c r="U128" s="1083"/>
      <c r="V128" s="1083"/>
      <c r="W128" s="209"/>
    </row>
    <row r="129" spans="2:23" ht="24" x14ac:dyDescent="0.25">
      <c r="B129" s="1033"/>
      <c r="C129" s="1053"/>
      <c r="D129" s="138" t="s">
        <v>163</v>
      </c>
      <c r="E129" s="115" t="s">
        <v>325</v>
      </c>
      <c r="F129" s="707" t="s">
        <v>328</v>
      </c>
      <c r="G129" s="619" t="s">
        <v>174</v>
      </c>
      <c r="H129" s="619" t="s">
        <v>174</v>
      </c>
      <c r="I129" s="116">
        <v>4</v>
      </c>
      <c r="J129" s="116">
        <v>2</v>
      </c>
      <c r="K129" s="116">
        <f t="shared" si="14"/>
        <v>8</v>
      </c>
      <c r="L129" s="619" t="s">
        <v>223</v>
      </c>
      <c r="M129" s="116" t="s">
        <v>168</v>
      </c>
      <c r="N129" s="675" t="str">
        <f>Lighting!P115</f>
        <v>n/a</v>
      </c>
      <c r="O129" s="676" t="str">
        <f>Lighting!P122</f>
        <v>n/a</v>
      </c>
      <c r="P129" s="117" t="str">
        <f t="shared" si="11"/>
        <v>n/a</v>
      </c>
      <c r="Q129" s="357" t="str">
        <f t="shared" si="12"/>
        <v>n/a</v>
      </c>
      <c r="R129" s="1144"/>
      <c r="S129" s="1144"/>
      <c r="T129" s="1173"/>
      <c r="U129" s="1083"/>
      <c r="V129" s="1083"/>
      <c r="W129" s="209"/>
    </row>
    <row r="130" spans="2:23" ht="24" x14ac:dyDescent="0.25">
      <c r="B130" s="1033"/>
      <c r="C130" s="1053"/>
      <c r="D130" s="138" t="s">
        <v>163</v>
      </c>
      <c r="E130" s="115" t="s">
        <v>325</v>
      </c>
      <c r="F130" s="708" t="s">
        <v>329</v>
      </c>
      <c r="G130" s="619" t="s">
        <v>174</v>
      </c>
      <c r="H130" s="619" t="s">
        <v>175</v>
      </c>
      <c r="I130" s="116">
        <v>5</v>
      </c>
      <c r="J130" s="116">
        <v>2</v>
      </c>
      <c r="K130" s="116">
        <f t="shared" si="14"/>
        <v>10</v>
      </c>
      <c r="L130" s="619" t="s">
        <v>223</v>
      </c>
      <c r="M130" s="116" t="s">
        <v>168</v>
      </c>
      <c r="N130" s="675">
        <f>Lighting!P133</f>
        <v>95000</v>
      </c>
      <c r="O130" s="676">
        <f>Lighting!P140</f>
        <v>284000</v>
      </c>
      <c r="P130" s="117" t="str">
        <f t="shared" si="11"/>
        <v>n/a</v>
      </c>
      <c r="Q130" s="357" t="str">
        <f t="shared" si="12"/>
        <v>n/a</v>
      </c>
      <c r="R130" s="1144"/>
      <c r="S130" s="1144"/>
      <c r="T130" s="1173"/>
      <c r="U130" s="1083"/>
      <c r="V130" s="1083"/>
      <c r="W130" s="209"/>
    </row>
    <row r="131" spans="2:23" ht="10.5" customHeight="1" x14ac:dyDescent="0.25">
      <c r="B131" s="1033"/>
      <c r="C131" s="1073"/>
      <c r="D131" s="222"/>
      <c r="E131" s="211"/>
      <c r="F131" s="211"/>
      <c r="G131" s="620"/>
      <c r="H131" s="620"/>
      <c r="I131" s="212"/>
      <c r="J131" s="212"/>
      <c r="K131" s="212"/>
      <c r="L131" s="620"/>
      <c r="M131" s="212"/>
      <c r="N131" s="693"/>
      <c r="O131" s="694"/>
      <c r="P131" s="213" t="str">
        <f t="shared" si="11"/>
        <v>n/a</v>
      </c>
      <c r="Q131" s="358" t="str">
        <f t="shared" si="12"/>
        <v>n/a</v>
      </c>
      <c r="R131" s="1145"/>
      <c r="S131" s="1145"/>
      <c r="T131" s="1174"/>
      <c r="U131" s="1084"/>
      <c r="V131" s="1084"/>
      <c r="W131" s="214"/>
    </row>
    <row r="132" spans="2:23" ht="25.5" customHeight="1" x14ac:dyDescent="0.25">
      <c r="B132" s="1033"/>
      <c r="C132" s="1053" t="s">
        <v>125</v>
      </c>
      <c r="D132" s="199" t="s">
        <v>163</v>
      </c>
      <c r="E132" s="200" t="s">
        <v>330</v>
      </c>
      <c r="F132" s="200" t="s">
        <v>331</v>
      </c>
      <c r="G132" s="618" t="s">
        <v>166</v>
      </c>
      <c r="H132" s="618" t="s">
        <v>174</v>
      </c>
      <c r="I132" s="201">
        <v>2</v>
      </c>
      <c r="J132" s="201">
        <v>2</v>
      </c>
      <c r="K132" s="201">
        <f t="shared" si="14"/>
        <v>4</v>
      </c>
      <c r="L132" s="618" t="s">
        <v>223</v>
      </c>
      <c r="M132" s="201" t="s">
        <v>168</v>
      </c>
      <c r="N132" s="677">
        <f>'Acoustic Comfort'!P12</f>
        <v>0</v>
      </c>
      <c r="O132" s="678">
        <f>'Acoustic Comfort'!P19</f>
        <v>0</v>
      </c>
      <c r="P132" s="203" t="str">
        <f t="shared" si="11"/>
        <v>n/a</v>
      </c>
      <c r="Q132" s="356" t="str">
        <f t="shared" si="12"/>
        <v>n/a</v>
      </c>
      <c r="R132" s="1143">
        <f>SUMIF(H132:H144,"Yes",K132:K144)</f>
        <v>84</v>
      </c>
      <c r="S132" s="1143">
        <f>SUMIF(L132:L144,"Yes",K132:K144)</f>
        <v>0</v>
      </c>
      <c r="T132" s="1172">
        <f>SUM(S132)/SUM(R132)</f>
        <v>0</v>
      </c>
      <c r="U132" s="1082">
        <f>SUM(P132:P144)</f>
        <v>0</v>
      </c>
      <c r="V132" s="1082">
        <f>SUM(Q132:Q144)</f>
        <v>0</v>
      </c>
      <c r="W132" s="204"/>
    </row>
    <row r="133" spans="2:23" ht="25.5" customHeight="1" x14ac:dyDescent="0.25">
      <c r="B133" s="1033"/>
      <c r="C133" s="1053"/>
      <c r="D133" s="138" t="s">
        <v>163</v>
      </c>
      <c r="E133" s="115" t="s">
        <v>330</v>
      </c>
      <c r="F133" s="706" t="s">
        <v>332</v>
      </c>
      <c r="G133" s="619" t="s">
        <v>166</v>
      </c>
      <c r="H133" s="619" t="s">
        <v>174</v>
      </c>
      <c r="I133" s="116">
        <v>3</v>
      </c>
      <c r="J133" s="116">
        <v>2</v>
      </c>
      <c r="K133" s="116">
        <f t="shared" si="14"/>
        <v>6</v>
      </c>
      <c r="L133" s="619" t="s">
        <v>223</v>
      </c>
      <c r="M133" s="116" t="s">
        <v>168</v>
      </c>
      <c r="N133" s="675">
        <f>'Acoustic Comfort'!P28</f>
        <v>0</v>
      </c>
      <c r="O133" s="676">
        <f>'Acoustic Comfort'!P35</f>
        <v>0</v>
      </c>
      <c r="P133" s="117" t="str">
        <f t="shared" si="11"/>
        <v>n/a</v>
      </c>
      <c r="Q133" s="357" t="str">
        <f t="shared" si="12"/>
        <v>n/a</v>
      </c>
      <c r="R133" s="1144"/>
      <c r="S133" s="1144"/>
      <c r="T133" s="1173"/>
      <c r="U133" s="1083"/>
      <c r="V133" s="1083"/>
      <c r="W133" s="118"/>
    </row>
    <row r="134" spans="2:23" ht="25.5" customHeight="1" x14ac:dyDescent="0.25">
      <c r="B134" s="1033"/>
      <c r="C134" s="1053"/>
      <c r="D134" s="138" t="s">
        <v>163</v>
      </c>
      <c r="E134" s="115" t="s">
        <v>330</v>
      </c>
      <c r="F134" s="707" t="s">
        <v>333</v>
      </c>
      <c r="G134" s="619" t="s">
        <v>166</v>
      </c>
      <c r="H134" s="619" t="s">
        <v>174</v>
      </c>
      <c r="I134" s="116">
        <v>4</v>
      </c>
      <c r="J134" s="116">
        <v>2</v>
      </c>
      <c r="K134" s="116">
        <f t="shared" si="14"/>
        <v>8</v>
      </c>
      <c r="L134" s="619" t="s">
        <v>223</v>
      </c>
      <c r="M134" s="116" t="s">
        <v>168</v>
      </c>
      <c r="N134" s="675">
        <f>'Acoustic Comfort'!P44</f>
        <v>0</v>
      </c>
      <c r="O134" s="676">
        <f>'Acoustic Comfort'!P51</f>
        <v>0</v>
      </c>
      <c r="P134" s="117" t="str">
        <f t="shared" si="11"/>
        <v>n/a</v>
      </c>
      <c r="Q134" s="357" t="str">
        <f t="shared" si="12"/>
        <v>n/a</v>
      </c>
      <c r="R134" s="1144"/>
      <c r="S134" s="1144"/>
      <c r="T134" s="1173"/>
      <c r="U134" s="1083"/>
      <c r="V134" s="1083"/>
      <c r="W134" s="118"/>
    </row>
    <row r="135" spans="2:23" ht="25.5" customHeight="1" x14ac:dyDescent="0.25">
      <c r="B135" s="1033"/>
      <c r="C135" s="1053"/>
      <c r="D135" s="138" t="s">
        <v>163</v>
      </c>
      <c r="E135" s="115" t="s">
        <v>330</v>
      </c>
      <c r="F135" s="708" t="s">
        <v>334</v>
      </c>
      <c r="G135" s="619" t="s">
        <v>166</v>
      </c>
      <c r="H135" s="619" t="s">
        <v>174</v>
      </c>
      <c r="I135" s="116">
        <v>5</v>
      </c>
      <c r="J135" s="116">
        <v>2</v>
      </c>
      <c r="K135" s="116">
        <f t="shared" si="14"/>
        <v>10</v>
      </c>
      <c r="L135" s="619" t="s">
        <v>223</v>
      </c>
      <c r="M135" s="116" t="s">
        <v>168</v>
      </c>
      <c r="N135" s="675">
        <f>'Acoustic Comfort'!P60</f>
        <v>0</v>
      </c>
      <c r="O135" s="676">
        <f>'Acoustic Comfort'!P67</f>
        <v>0</v>
      </c>
      <c r="P135" s="117" t="str">
        <f t="shared" si="11"/>
        <v>n/a</v>
      </c>
      <c r="Q135" s="357" t="str">
        <f t="shared" si="12"/>
        <v>n/a</v>
      </c>
      <c r="R135" s="1144"/>
      <c r="S135" s="1144"/>
      <c r="T135" s="1173"/>
      <c r="U135" s="1083"/>
      <c r="V135" s="1083"/>
      <c r="W135" s="118"/>
    </row>
    <row r="136" spans="2:23" ht="48" x14ac:dyDescent="0.25">
      <c r="B136" s="1033"/>
      <c r="C136" s="1053"/>
      <c r="D136" s="138" t="s">
        <v>163</v>
      </c>
      <c r="E136" s="115" t="s">
        <v>335</v>
      </c>
      <c r="F136" s="115" t="s">
        <v>336</v>
      </c>
      <c r="G136" s="619" t="s">
        <v>166</v>
      </c>
      <c r="H136" s="619" t="s">
        <v>174</v>
      </c>
      <c r="I136" s="116">
        <v>2</v>
      </c>
      <c r="J136" s="116">
        <v>2</v>
      </c>
      <c r="K136" s="116">
        <f t="shared" si="14"/>
        <v>4</v>
      </c>
      <c r="L136" s="619" t="s">
        <v>223</v>
      </c>
      <c r="M136" s="116" t="s">
        <v>168</v>
      </c>
      <c r="N136" s="675">
        <f>'Acoustic Comfort'!P75</f>
        <v>0</v>
      </c>
      <c r="O136" s="676">
        <f>'Acoustic Comfort'!P82</f>
        <v>0</v>
      </c>
      <c r="P136" s="117" t="str">
        <f t="shared" si="11"/>
        <v>n/a</v>
      </c>
      <c r="Q136" s="357" t="str">
        <f t="shared" si="12"/>
        <v>n/a</v>
      </c>
      <c r="R136" s="1144"/>
      <c r="S136" s="1144"/>
      <c r="T136" s="1173"/>
      <c r="U136" s="1083"/>
      <c r="V136" s="1083"/>
      <c r="W136" s="118"/>
    </row>
    <row r="137" spans="2:23" ht="48" x14ac:dyDescent="0.25">
      <c r="B137" s="1033"/>
      <c r="C137" s="1053"/>
      <c r="D137" s="138" t="s">
        <v>163</v>
      </c>
      <c r="E137" s="115" t="s">
        <v>335</v>
      </c>
      <c r="F137" s="706" t="s">
        <v>337</v>
      </c>
      <c r="G137" s="619" t="s">
        <v>166</v>
      </c>
      <c r="H137" s="619" t="s">
        <v>174</v>
      </c>
      <c r="I137" s="116">
        <v>3</v>
      </c>
      <c r="J137" s="116">
        <v>2</v>
      </c>
      <c r="K137" s="116">
        <f t="shared" si="14"/>
        <v>6</v>
      </c>
      <c r="L137" s="619" t="s">
        <v>223</v>
      </c>
      <c r="M137" s="116" t="s">
        <v>168</v>
      </c>
      <c r="N137" s="675">
        <f>'Acoustic Comfort'!P91</f>
        <v>0</v>
      </c>
      <c r="O137" s="676">
        <f>'Acoustic Comfort'!P98</f>
        <v>0</v>
      </c>
      <c r="P137" s="117" t="str">
        <f t="shared" si="11"/>
        <v>n/a</v>
      </c>
      <c r="Q137" s="357" t="str">
        <f t="shared" si="12"/>
        <v>n/a</v>
      </c>
      <c r="R137" s="1144"/>
      <c r="S137" s="1144"/>
      <c r="T137" s="1173"/>
      <c r="U137" s="1083"/>
      <c r="V137" s="1083"/>
      <c r="W137" s="118"/>
    </row>
    <row r="138" spans="2:23" ht="72" x14ac:dyDescent="0.25">
      <c r="B138" s="1033"/>
      <c r="C138" s="1053"/>
      <c r="D138" s="138" t="s">
        <v>163</v>
      </c>
      <c r="E138" s="115" t="s">
        <v>335</v>
      </c>
      <c r="F138" s="707" t="s">
        <v>338</v>
      </c>
      <c r="G138" s="619" t="s">
        <v>166</v>
      </c>
      <c r="H138" s="619" t="s">
        <v>174</v>
      </c>
      <c r="I138" s="116">
        <v>4</v>
      </c>
      <c r="J138" s="116">
        <v>2</v>
      </c>
      <c r="K138" s="116">
        <f t="shared" si="14"/>
        <v>8</v>
      </c>
      <c r="L138" s="619" t="s">
        <v>223</v>
      </c>
      <c r="M138" s="116" t="s">
        <v>168</v>
      </c>
      <c r="N138" s="675">
        <f>'Acoustic Comfort'!P107</f>
        <v>0</v>
      </c>
      <c r="O138" s="676">
        <f>'Acoustic Comfort'!P114</f>
        <v>0</v>
      </c>
      <c r="P138" s="117" t="str">
        <f t="shared" si="11"/>
        <v>n/a</v>
      </c>
      <c r="Q138" s="357" t="str">
        <f t="shared" si="12"/>
        <v>n/a</v>
      </c>
      <c r="R138" s="1144"/>
      <c r="S138" s="1144"/>
      <c r="T138" s="1173"/>
      <c r="U138" s="1083"/>
      <c r="V138" s="1083"/>
      <c r="W138" s="118"/>
    </row>
    <row r="139" spans="2:23" ht="60" x14ac:dyDescent="0.25">
      <c r="B139" s="1033"/>
      <c r="C139" s="1053"/>
      <c r="D139" s="138" t="s">
        <v>163</v>
      </c>
      <c r="E139" s="115" t="s">
        <v>335</v>
      </c>
      <c r="F139" s="708" t="s">
        <v>339</v>
      </c>
      <c r="G139" s="619" t="s">
        <v>166</v>
      </c>
      <c r="H139" s="619" t="s">
        <v>174</v>
      </c>
      <c r="I139" s="116">
        <v>5</v>
      </c>
      <c r="J139" s="116">
        <v>2</v>
      </c>
      <c r="K139" s="116">
        <f t="shared" si="14"/>
        <v>10</v>
      </c>
      <c r="L139" s="619" t="s">
        <v>223</v>
      </c>
      <c r="M139" s="116" t="s">
        <v>168</v>
      </c>
      <c r="N139" s="675">
        <f>'Acoustic Comfort'!P123</f>
        <v>0</v>
      </c>
      <c r="O139" s="676">
        <f>'Acoustic Comfort'!P130</f>
        <v>0</v>
      </c>
      <c r="P139" s="117" t="str">
        <f t="shared" ref="P139:P201" si="17">IF(L139="Yes",N139,"n/a")</f>
        <v>n/a</v>
      </c>
      <c r="Q139" s="357" t="str">
        <f t="shared" ref="Q139:Q201" si="18">IF(L139="Yes",O139,"n/a")</f>
        <v>n/a</v>
      </c>
      <c r="R139" s="1144"/>
      <c r="S139" s="1144"/>
      <c r="T139" s="1173"/>
      <c r="U139" s="1083"/>
      <c r="V139" s="1083"/>
      <c r="W139" s="118"/>
    </row>
    <row r="140" spans="2:23" ht="24" x14ac:dyDescent="0.25">
      <c r="B140" s="1033"/>
      <c r="C140" s="1053"/>
      <c r="D140" s="138" t="s">
        <v>163</v>
      </c>
      <c r="E140" s="115" t="s">
        <v>340</v>
      </c>
      <c r="F140" s="115" t="s">
        <v>341</v>
      </c>
      <c r="G140" s="619" t="s">
        <v>166</v>
      </c>
      <c r="H140" s="619" t="s">
        <v>174</v>
      </c>
      <c r="I140" s="116">
        <v>2</v>
      </c>
      <c r="J140" s="116">
        <v>2</v>
      </c>
      <c r="K140" s="116">
        <f t="shared" si="14"/>
        <v>4</v>
      </c>
      <c r="L140" s="619" t="s">
        <v>223</v>
      </c>
      <c r="M140" s="116" t="s">
        <v>168</v>
      </c>
      <c r="N140" s="675">
        <f>'Acoustic Comfort'!P138</f>
        <v>0</v>
      </c>
      <c r="O140" s="676">
        <f>'Acoustic Comfort'!P145</f>
        <v>0</v>
      </c>
      <c r="P140" s="117" t="str">
        <f t="shared" si="17"/>
        <v>n/a</v>
      </c>
      <c r="Q140" s="357" t="str">
        <f t="shared" si="18"/>
        <v>n/a</v>
      </c>
      <c r="R140" s="1144"/>
      <c r="S140" s="1144"/>
      <c r="T140" s="1173"/>
      <c r="U140" s="1083"/>
      <c r="V140" s="1083"/>
      <c r="W140" s="118"/>
    </row>
    <row r="141" spans="2:23" ht="24" x14ac:dyDescent="0.25">
      <c r="B141" s="1033"/>
      <c r="C141" s="1053"/>
      <c r="D141" s="138" t="s">
        <v>163</v>
      </c>
      <c r="E141" s="115" t="s">
        <v>340</v>
      </c>
      <c r="F141" s="706" t="s">
        <v>342</v>
      </c>
      <c r="G141" s="619" t="s">
        <v>166</v>
      </c>
      <c r="H141" s="619" t="s">
        <v>174</v>
      </c>
      <c r="I141" s="116">
        <v>5</v>
      </c>
      <c r="J141" s="116">
        <v>2</v>
      </c>
      <c r="K141" s="116">
        <f t="shared" si="14"/>
        <v>10</v>
      </c>
      <c r="L141" s="619" t="s">
        <v>223</v>
      </c>
      <c r="M141" s="116" t="s">
        <v>168</v>
      </c>
      <c r="N141" s="675">
        <f>'Acoustic Comfort'!P154</f>
        <v>0</v>
      </c>
      <c r="O141" s="676">
        <f>'Acoustic Comfort'!P161</f>
        <v>0</v>
      </c>
      <c r="P141" s="117" t="str">
        <f t="shared" si="17"/>
        <v>n/a</v>
      </c>
      <c r="Q141" s="357" t="str">
        <f t="shared" si="18"/>
        <v>n/a</v>
      </c>
      <c r="R141" s="1144"/>
      <c r="S141" s="1144"/>
      <c r="T141" s="1173"/>
      <c r="U141" s="1083"/>
      <c r="V141" s="1083"/>
      <c r="W141" s="118"/>
    </row>
    <row r="142" spans="2:23" ht="36" x14ac:dyDescent="0.25">
      <c r="B142" s="1033"/>
      <c r="C142" s="1053"/>
      <c r="D142" s="138" t="s">
        <v>163</v>
      </c>
      <c r="E142" s="115" t="s">
        <v>343</v>
      </c>
      <c r="F142" s="115" t="s">
        <v>344</v>
      </c>
      <c r="G142" s="619" t="s">
        <v>166</v>
      </c>
      <c r="H142" s="619" t="s">
        <v>174</v>
      </c>
      <c r="I142" s="116">
        <v>2</v>
      </c>
      <c r="J142" s="116">
        <v>2</v>
      </c>
      <c r="K142" s="116">
        <f t="shared" si="14"/>
        <v>4</v>
      </c>
      <c r="L142" s="619" t="s">
        <v>223</v>
      </c>
      <c r="M142" s="116" t="s">
        <v>168</v>
      </c>
      <c r="N142" s="675">
        <f>'Acoustic Comfort'!P169</f>
        <v>0</v>
      </c>
      <c r="O142" s="676">
        <f>'Acoustic Comfort'!P176</f>
        <v>0</v>
      </c>
      <c r="P142" s="117" t="str">
        <f t="shared" si="17"/>
        <v>n/a</v>
      </c>
      <c r="Q142" s="357" t="str">
        <f t="shared" si="18"/>
        <v>n/a</v>
      </c>
      <c r="R142" s="1144"/>
      <c r="S142" s="1144"/>
      <c r="T142" s="1173"/>
      <c r="U142" s="1083"/>
      <c r="V142" s="1083"/>
      <c r="W142" s="118"/>
    </row>
    <row r="143" spans="2:23" ht="36" x14ac:dyDescent="0.25">
      <c r="B143" s="1033"/>
      <c r="C143" s="1053"/>
      <c r="D143" s="138" t="s">
        <v>163</v>
      </c>
      <c r="E143" s="115" t="s">
        <v>343</v>
      </c>
      <c r="F143" s="706" t="s">
        <v>345</v>
      </c>
      <c r="G143" s="619" t="s">
        <v>166</v>
      </c>
      <c r="H143" s="619" t="s">
        <v>174</v>
      </c>
      <c r="I143" s="116">
        <v>5</v>
      </c>
      <c r="J143" s="116">
        <v>2</v>
      </c>
      <c r="K143" s="116">
        <f t="shared" si="14"/>
        <v>10</v>
      </c>
      <c r="L143" s="619" t="s">
        <v>223</v>
      </c>
      <c r="M143" s="116" t="s">
        <v>168</v>
      </c>
      <c r="N143" s="675">
        <f>'Acoustic Comfort'!P185</f>
        <v>0</v>
      </c>
      <c r="O143" s="676">
        <f>'Acoustic Comfort'!P192</f>
        <v>0</v>
      </c>
      <c r="P143" s="117" t="str">
        <f t="shared" si="17"/>
        <v>n/a</v>
      </c>
      <c r="Q143" s="357" t="str">
        <f t="shared" si="18"/>
        <v>n/a</v>
      </c>
      <c r="R143" s="1144"/>
      <c r="S143" s="1144"/>
      <c r="T143" s="1173"/>
      <c r="U143" s="1083"/>
      <c r="V143" s="1083"/>
      <c r="W143" s="118"/>
    </row>
    <row r="144" spans="2:23" ht="7.5" customHeight="1" x14ac:dyDescent="0.25">
      <c r="B144" s="1033"/>
      <c r="C144" s="1053"/>
      <c r="D144" s="215"/>
      <c r="E144" s="216"/>
      <c r="F144" s="216"/>
      <c r="G144" s="621"/>
      <c r="H144" s="621"/>
      <c r="I144" s="217"/>
      <c r="J144" s="217"/>
      <c r="K144" s="217"/>
      <c r="L144" s="621"/>
      <c r="M144" s="217"/>
      <c r="N144" s="679"/>
      <c r="O144" s="680"/>
      <c r="P144" s="219" t="str">
        <f t="shared" si="17"/>
        <v>n/a</v>
      </c>
      <c r="Q144" s="359" t="str">
        <f t="shared" si="18"/>
        <v>n/a</v>
      </c>
      <c r="R144" s="1145"/>
      <c r="S144" s="1145"/>
      <c r="T144" s="1174"/>
      <c r="U144" s="1084"/>
      <c r="V144" s="1084"/>
      <c r="W144" s="220"/>
    </row>
    <row r="145" spans="2:23" ht="84" x14ac:dyDescent="0.25">
      <c r="B145" s="1033"/>
      <c r="C145" s="1072" t="s">
        <v>126</v>
      </c>
      <c r="D145" s="221" t="s">
        <v>163</v>
      </c>
      <c r="E145" s="205" t="s">
        <v>346</v>
      </c>
      <c r="F145" s="205" t="s">
        <v>347</v>
      </c>
      <c r="G145" s="622" t="s">
        <v>174</v>
      </c>
      <c r="H145" s="622" t="s">
        <v>174</v>
      </c>
      <c r="I145" s="206">
        <v>1</v>
      </c>
      <c r="J145" s="206">
        <v>2</v>
      </c>
      <c r="K145" s="206">
        <f t="shared" si="14"/>
        <v>2</v>
      </c>
      <c r="L145" s="622" t="s">
        <v>223</v>
      </c>
      <c r="M145" s="206" t="s">
        <v>168</v>
      </c>
      <c r="N145" s="695">
        <f>'Outdoor Microclimate'!P12</f>
        <v>0</v>
      </c>
      <c r="O145" s="696">
        <f>'Outdoor Microclimate'!P19</f>
        <v>0</v>
      </c>
      <c r="P145" s="207" t="str">
        <f t="shared" si="17"/>
        <v>n/a</v>
      </c>
      <c r="Q145" s="360" t="str">
        <f t="shared" si="18"/>
        <v>n/a</v>
      </c>
      <c r="R145" s="1143">
        <f>SUMIF(H145:H150,"Yes",K145:K150)</f>
        <v>48</v>
      </c>
      <c r="S145" s="1143">
        <f>SUMIF(L145:L150,"Yes",K145:K150)</f>
        <v>0</v>
      </c>
      <c r="T145" s="1172">
        <f>SUM(S145)/SUM(R145)</f>
        <v>0</v>
      </c>
      <c r="U145" s="1082">
        <f>SUM(P145:P150)</f>
        <v>0</v>
      </c>
      <c r="V145" s="1082">
        <f>SUM(Q145:Q150)</f>
        <v>0</v>
      </c>
      <c r="W145" s="208"/>
    </row>
    <row r="146" spans="2:23" ht="96" x14ac:dyDescent="0.25">
      <c r="B146" s="1033"/>
      <c r="C146" s="1053"/>
      <c r="D146" s="138" t="s">
        <v>163</v>
      </c>
      <c r="E146" s="115" t="s">
        <v>346</v>
      </c>
      <c r="F146" s="115" t="s">
        <v>348</v>
      </c>
      <c r="G146" s="619" t="s">
        <v>175</v>
      </c>
      <c r="H146" s="619" t="s">
        <v>174</v>
      </c>
      <c r="I146" s="116">
        <v>2</v>
      </c>
      <c r="J146" s="116">
        <v>2</v>
      </c>
      <c r="K146" s="116">
        <f t="shared" si="14"/>
        <v>4</v>
      </c>
      <c r="L146" s="619" t="s">
        <v>223</v>
      </c>
      <c r="M146" s="116" t="s">
        <v>168</v>
      </c>
      <c r="N146" s="675">
        <f>'Outdoor Microclimate'!P27</f>
        <v>0</v>
      </c>
      <c r="O146" s="676">
        <f>'Outdoor Microclimate'!P34</f>
        <v>0</v>
      </c>
      <c r="P146" s="117" t="str">
        <f>IF(L146="Yes",N146,"n/a")</f>
        <v>n/a</v>
      </c>
      <c r="Q146" s="357" t="str">
        <f>IF(L146="Yes",O146,"n/a")</f>
        <v>n/a</v>
      </c>
      <c r="R146" s="1144"/>
      <c r="S146" s="1144"/>
      <c r="T146" s="1173"/>
      <c r="U146" s="1083"/>
      <c r="V146" s="1083"/>
      <c r="W146" s="209"/>
    </row>
    <row r="147" spans="2:23" ht="144" x14ac:dyDescent="0.25">
      <c r="B147" s="1033"/>
      <c r="C147" s="1053"/>
      <c r="D147" s="138" t="s">
        <v>163</v>
      </c>
      <c r="E147" s="115" t="s">
        <v>346</v>
      </c>
      <c r="F147" s="115" t="s">
        <v>349</v>
      </c>
      <c r="G147" s="619" t="s">
        <v>175</v>
      </c>
      <c r="H147" s="619" t="s">
        <v>174</v>
      </c>
      <c r="I147" s="116">
        <v>3</v>
      </c>
      <c r="J147" s="116">
        <v>2</v>
      </c>
      <c r="K147" s="116">
        <f t="shared" si="14"/>
        <v>6</v>
      </c>
      <c r="L147" s="619" t="s">
        <v>223</v>
      </c>
      <c r="M147" s="116" t="s">
        <v>168</v>
      </c>
      <c r="N147" s="675">
        <f>'Outdoor Microclimate'!P42</f>
        <v>0</v>
      </c>
      <c r="O147" s="676">
        <f>'Outdoor Microclimate'!P49</f>
        <v>0</v>
      </c>
      <c r="P147" s="117" t="str">
        <f t="shared" si="17"/>
        <v>n/a</v>
      </c>
      <c r="Q147" s="357" t="str">
        <f t="shared" si="18"/>
        <v>n/a</v>
      </c>
      <c r="R147" s="1144"/>
      <c r="S147" s="1144"/>
      <c r="T147" s="1173"/>
      <c r="U147" s="1083"/>
      <c r="V147" s="1083"/>
      <c r="W147" s="209"/>
    </row>
    <row r="148" spans="2:23" ht="96" x14ac:dyDescent="0.25">
      <c r="B148" s="1033"/>
      <c r="C148" s="1053"/>
      <c r="D148" s="138" t="s">
        <v>163</v>
      </c>
      <c r="E148" s="115" t="s">
        <v>346</v>
      </c>
      <c r="F148" s="115" t="s">
        <v>350</v>
      </c>
      <c r="G148" s="619" t="s">
        <v>175</v>
      </c>
      <c r="H148" s="619" t="s">
        <v>174</v>
      </c>
      <c r="I148" s="116">
        <v>4</v>
      </c>
      <c r="J148" s="116">
        <v>4</v>
      </c>
      <c r="K148" s="116">
        <f t="shared" si="14"/>
        <v>16</v>
      </c>
      <c r="L148" s="619" t="s">
        <v>223</v>
      </c>
      <c r="M148" s="116" t="s">
        <v>168</v>
      </c>
      <c r="N148" s="675">
        <f>'Outdoor Microclimate'!P57</f>
        <v>0</v>
      </c>
      <c r="O148" s="676">
        <f>'Outdoor Microclimate'!P64</f>
        <v>0</v>
      </c>
      <c r="P148" s="117" t="str">
        <f t="shared" si="17"/>
        <v>n/a</v>
      </c>
      <c r="Q148" s="357" t="str">
        <f t="shared" si="18"/>
        <v>n/a</v>
      </c>
      <c r="R148" s="1144"/>
      <c r="S148" s="1144"/>
      <c r="T148" s="1173"/>
      <c r="U148" s="1083"/>
      <c r="V148" s="1083"/>
      <c r="W148" s="209"/>
    </row>
    <row r="149" spans="2:23" ht="117.75" customHeight="1" x14ac:dyDescent="0.25">
      <c r="B149" s="1033"/>
      <c r="C149" s="1053"/>
      <c r="D149" s="138" t="s">
        <v>163</v>
      </c>
      <c r="E149" s="115" t="s">
        <v>346</v>
      </c>
      <c r="F149" s="115" t="s">
        <v>351</v>
      </c>
      <c r="G149" s="619" t="s">
        <v>175</v>
      </c>
      <c r="H149" s="619" t="s">
        <v>174</v>
      </c>
      <c r="I149" s="116">
        <v>5</v>
      </c>
      <c r="J149" s="116">
        <v>4</v>
      </c>
      <c r="K149" s="116">
        <f t="shared" si="14"/>
        <v>20</v>
      </c>
      <c r="L149" s="619" t="s">
        <v>223</v>
      </c>
      <c r="M149" s="116" t="s">
        <v>168</v>
      </c>
      <c r="N149" s="675">
        <f>'Outdoor Microclimate'!P72</f>
        <v>0</v>
      </c>
      <c r="O149" s="676">
        <f>'Outdoor Microclimate'!P79</f>
        <v>0</v>
      </c>
      <c r="P149" s="117" t="str">
        <f t="shared" si="17"/>
        <v>n/a</v>
      </c>
      <c r="Q149" s="357" t="str">
        <f t="shared" si="18"/>
        <v>n/a</v>
      </c>
      <c r="R149" s="1144"/>
      <c r="S149" s="1144"/>
      <c r="T149" s="1173"/>
      <c r="U149" s="1083"/>
      <c r="V149" s="1083"/>
      <c r="W149" s="209"/>
    </row>
    <row r="150" spans="2:23" ht="12" customHeight="1" x14ac:dyDescent="0.25">
      <c r="B150" s="1033"/>
      <c r="C150" s="1073"/>
      <c r="D150" s="222"/>
      <c r="E150" s="211"/>
      <c r="F150" s="211"/>
      <c r="G150" s="620"/>
      <c r="H150" s="620"/>
      <c r="I150" s="212"/>
      <c r="J150" s="212"/>
      <c r="K150" s="212"/>
      <c r="L150" s="620"/>
      <c r="M150" s="212"/>
      <c r="N150" s="693"/>
      <c r="O150" s="694"/>
      <c r="P150" s="213" t="str">
        <f t="shared" si="17"/>
        <v>n/a</v>
      </c>
      <c r="Q150" s="358" t="str">
        <f t="shared" si="18"/>
        <v>n/a</v>
      </c>
      <c r="R150" s="1145"/>
      <c r="S150" s="1145"/>
      <c r="T150" s="1174"/>
      <c r="U150" s="1084"/>
      <c r="V150" s="1084"/>
      <c r="W150" s="214"/>
    </row>
    <row r="151" spans="2:23" ht="27.75" customHeight="1" x14ac:dyDescent="0.25">
      <c r="B151" s="1033"/>
      <c r="C151" s="1132" t="s">
        <v>127</v>
      </c>
      <c r="D151" s="199" t="s">
        <v>352</v>
      </c>
      <c r="E151" s="200" t="s">
        <v>353</v>
      </c>
      <c r="F151" s="200" t="s">
        <v>354</v>
      </c>
      <c r="G151" s="618" t="s">
        <v>166</v>
      </c>
      <c r="H151" s="618" t="s">
        <v>174</v>
      </c>
      <c r="I151" s="201">
        <v>2</v>
      </c>
      <c r="J151" s="201">
        <v>2</v>
      </c>
      <c r="K151" s="201">
        <f t="shared" si="14"/>
        <v>4</v>
      </c>
      <c r="L151" s="618" t="s">
        <v>223</v>
      </c>
      <c r="M151" s="201" t="s">
        <v>168</v>
      </c>
      <c r="N151" s="677">
        <f>'Personal Safety'!P12</f>
        <v>0</v>
      </c>
      <c r="O151" s="678">
        <f>'Personal Safety'!P19</f>
        <v>0</v>
      </c>
      <c r="P151" s="203" t="str">
        <f t="shared" si="17"/>
        <v>n/a</v>
      </c>
      <c r="Q151" s="356" t="str">
        <f t="shared" si="18"/>
        <v>n/a</v>
      </c>
      <c r="R151" s="1184">
        <f>SUMIF(H151:H164,"Yes",K151:K164)</f>
        <v>105</v>
      </c>
      <c r="S151" s="1143">
        <f>SUMIF(L151:L164,"Yes",K151:K164)</f>
        <v>0</v>
      </c>
      <c r="T151" s="1117">
        <f>SUM(S151)/SUM(R151)</f>
        <v>0</v>
      </c>
      <c r="U151" s="1034">
        <f>SUM(P151:P164)</f>
        <v>0</v>
      </c>
      <c r="V151" s="1034">
        <f>SUM(Q151:Q164)</f>
        <v>0</v>
      </c>
      <c r="W151" s="204"/>
    </row>
    <row r="152" spans="2:23" ht="62.25" customHeight="1" x14ac:dyDescent="0.25">
      <c r="B152" s="1033"/>
      <c r="C152" s="1133"/>
      <c r="D152" s="138" t="s">
        <v>355</v>
      </c>
      <c r="E152" s="115" t="s">
        <v>356</v>
      </c>
      <c r="F152" s="115" t="s">
        <v>357</v>
      </c>
      <c r="G152" s="619" t="s">
        <v>166</v>
      </c>
      <c r="H152" s="619" t="s">
        <v>174</v>
      </c>
      <c r="I152" s="116">
        <v>2</v>
      </c>
      <c r="J152" s="116">
        <v>2</v>
      </c>
      <c r="K152" s="116">
        <f t="shared" si="14"/>
        <v>4</v>
      </c>
      <c r="L152" s="619" t="s">
        <v>223</v>
      </c>
      <c r="M152" s="116" t="s">
        <v>168</v>
      </c>
      <c r="N152" s="675">
        <f>'Personal Safety'!P27</f>
        <v>0</v>
      </c>
      <c r="O152" s="676">
        <f>'Personal Safety'!P34</f>
        <v>0</v>
      </c>
      <c r="P152" s="117" t="str">
        <f t="shared" si="17"/>
        <v>n/a</v>
      </c>
      <c r="Q152" s="357" t="str">
        <f t="shared" si="18"/>
        <v>n/a</v>
      </c>
      <c r="R152" s="1038"/>
      <c r="S152" s="1144"/>
      <c r="T152" s="1040"/>
      <c r="U152" s="1035"/>
      <c r="V152" s="1035"/>
      <c r="W152" s="118"/>
    </row>
    <row r="153" spans="2:23" ht="27.75" customHeight="1" x14ac:dyDescent="0.25">
      <c r="B153" s="1033"/>
      <c r="C153" s="1133"/>
      <c r="D153" s="138" t="s">
        <v>163</v>
      </c>
      <c r="E153" s="115" t="s">
        <v>358</v>
      </c>
      <c r="F153" s="115" t="s">
        <v>359</v>
      </c>
      <c r="G153" s="619" t="s">
        <v>166</v>
      </c>
      <c r="H153" s="619" t="s">
        <v>174</v>
      </c>
      <c r="I153" s="116">
        <v>2</v>
      </c>
      <c r="J153" s="116">
        <v>2</v>
      </c>
      <c r="K153" s="116">
        <f t="shared" si="14"/>
        <v>4</v>
      </c>
      <c r="L153" s="619" t="s">
        <v>223</v>
      </c>
      <c r="M153" s="116" t="s">
        <v>168</v>
      </c>
      <c r="N153" s="675">
        <f>'Personal Safety'!P42</f>
        <v>0</v>
      </c>
      <c r="O153" s="676">
        <f>'Personal Safety'!P49</f>
        <v>0</v>
      </c>
      <c r="P153" s="117" t="str">
        <f t="shared" si="17"/>
        <v>n/a</v>
      </c>
      <c r="Q153" s="357" t="str">
        <f t="shared" si="18"/>
        <v>n/a</v>
      </c>
      <c r="R153" s="1038"/>
      <c r="S153" s="1144"/>
      <c r="T153" s="1040"/>
      <c r="U153" s="1035"/>
      <c r="V153" s="1035"/>
      <c r="W153" s="118"/>
    </row>
    <row r="154" spans="2:23" ht="27.75" customHeight="1" x14ac:dyDescent="0.25">
      <c r="B154" s="1033"/>
      <c r="C154" s="1133"/>
      <c r="D154" s="138" t="s">
        <v>360</v>
      </c>
      <c r="E154" s="115" t="s">
        <v>361</v>
      </c>
      <c r="F154" s="115" t="s">
        <v>236</v>
      </c>
      <c r="G154" s="619" t="s">
        <v>166</v>
      </c>
      <c r="H154" s="619" t="s">
        <v>174</v>
      </c>
      <c r="I154" s="116">
        <v>3</v>
      </c>
      <c r="J154" s="116">
        <v>2</v>
      </c>
      <c r="K154" s="116">
        <f t="shared" si="14"/>
        <v>6</v>
      </c>
      <c r="L154" s="619" t="s">
        <v>223</v>
      </c>
      <c r="M154" s="116" t="s">
        <v>168</v>
      </c>
      <c r="N154" s="675">
        <f>'Personal Safety'!P56</f>
        <v>0</v>
      </c>
      <c r="O154" s="676">
        <f>'Personal Safety'!P63</f>
        <v>0</v>
      </c>
      <c r="P154" s="117" t="str">
        <f t="shared" si="17"/>
        <v>n/a</v>
      </c>
      <c r="Q154" s="357" t="str">
        <f t="shared" si="18"/>
        <v>n/a</v>
      </c>
      <c r="R154" s="1038"/>
      <c r="S154" s="1144"/>
      <c r="T154" s="1040"/>
      <c r="U154" s="1035"/>
      <c r="V154" s="1035"/>
      <c r="W154" s="118"/>
    </row>
    <row r="155" spans="2:23" ht="27.75" customHeight="1" x14ac:dyDescent="0.25">
      <c r="B155" s="1033"/>
      <c r="C155" s="1133"/>
      <c r="D155" s="138" t="s">
        <v>362</v>
      </c>
      <c r="E155" s="115" t="s">
        <v>363</v>
      </c>
      <c r="F155" s="115" t="s">
        <v>364</v>
      </c>
      <c r="G155" s="619" t="s">
        <v>166</v>
      </c>
      <c r="H155" s="619" t="s">
        <v>174</v>
      </c>
      <c r="I155" s="116">
        <v>3</v>
      </c>
      <c r="J155" s="116">
        <v>2</v>
      </c>
      <c r="K155" s="116">
        <f t="shared" si="14"/>
        <v>6</v>
      </c>
      <c r="L155" s="619" t="s">
        <v>223</v>
      </c>
      <c r="M155" s="116" t="s">
        <v>168</v>
      </c>
      <c r="N155" s="675">
        <f>'Personal Safety'!P70</f>
        <v>0</v>
      </c>
      <c r="O155" s="676">
        <f>'Personal Safety'!P77</f>
        <v>0</v>
      </c>
      <c r="P155" s="117" t="str">
        <f t="shared" si="17"/>
        <v>n/a</v>
      </c>
      <c r="Q155" s="357" t="str">
        <f t="shared" si="18"/>
        <v>n/a</v>
      </c>
      <c r="R155" s="1038"/>
      <c r="S155" s="1144"/>
      <c r="T155" s="1040"/>
      <c r="U155" s="1035"/>
      <c r="V155" s="1035"/>
      <c r="W155" s="118"/>
    </row>
    <row r="156" spans="2:23" ht="91.5" customHeight="1" x14ac:dyDescent="0.25">
      <c r="B156" s="1033"/>
      <c r="C156" s="1133"/>
      <c r="D156" s="138" t="s">
        <v>163</v>
      </c>
      <c r="E156" s="115" t="s">
        <v>365</v>
      </c>
      <c r="F156" s="115" t="s">
        <v>366</v>
      </c>
      <c r="G156" s="619" t="s">
        <v>166</v>
      </c>
      <c r="H156" s="619" t="s">
        <v>174</v>
      </c>
      <c r="I156" s="116">
        <v>3</v>
      </c>
      <c r="J156" s="116">
        <v>2</v>
      </c>
      <c r="K156" s="116">
        <f t="shared" si="14"/>
        <v>6</v>
      </c>
      <c r="L156" s="619" t="s">
        <v>223</v>
      </c>
      <c r="M156" s="116" t="s">
        <v>168</v>
      </c>
      <c r="N156" s="675">
        <f>'Personal Safety'!P84</f>
        <v>0</v>
      </c>
      <c r="O156" s="676">
        <f>'Personal Safety'!P91</f>
        <v>0</v>
      </c>
      <c r="P156" s="117" t="str">
        <f t="shared" si="17"/>
        <v>n/a</v>
      </c>
      <c r="Q156" s="357" t="str">
        <f t="shared" si="18"/>
        <v>n/a</v>
      </c>
      <c r="R156" s="1038"/>
      <c r="S156" s="1144"/>
      <c r="T156" s="1040"/>
      <c r="U156" s="1035"/>
      <c r="V156" s="1035"/>
      <c r="W156" s="118"/>
    </row>
    <row r="157" spans="2:23" ht="27.75" customHeight="1" x14ac:dyDescent="0.25">
      <c r="B157" s="1033"/>
      <c r="C157" s="1133"/>
      <c r="D157" s="138" t="s">
        <v>163</v>
      </c>
      <c r="E157" s="115" t="s">
        <v>367</v>
      </c>
      <c r="F157" s="115" t="s">
        <v>367</v>
      </c>
      <c r="G157" s="619" t="s">
        <v>166</v>
      </c>
      <c r="H157" s="619" t="s">
        <v>174</v>
      </c>
      <c r="I157" s="116">
        <v>3</v>
      </c>
      <c r="J157" s="116">
        <v>2</v>
      </c>
      <c r="K157" s="116">
        <f t="shared" si="14"/>
        <v>6</v>
      </c>
      <c r="L157" s="619" t="s">
        <v>223</v>
      </c>
      <c r="M157" s="116" t="s">
        <v>168</v>
      </c>
      <c r="N157" s="675">
        <f>'Personal Safety'!P98</f>
        <v>0</v>
      </c>
      <c r="O157" s="676">
        <f>'Personal Safety'!P105</f>
        <v>0</v>
      </c>
      <c r="P157" s="117" t="str">
        <f t="shared" si="17"/>
        <v>n/a</v>
      </c>
      <c r="Q157" s="357" t="str">
        <f t="shared" si="18"/>
        <v>n/a</v>
      </c>
      <c r="R157" s="1038"/>
      <c r="S157" s="1144"/>
      <c r="T157" s="1040"/>
      <c r="U157" s="1035"/>
      <c r="V157" s="1035"/>
      <c r="W157" s="118"/>
    </row>
    <row r="158" spans="2:23" ht="58.5" customHeight="1" x14ac:dyDescent="0.25">
      <c r="B158" s="1033"/>
      <c r="C158" s="1133"/>
      <c r="D158" s="138" t="s">
        <v>163</v>
      </c>
      <c r="E158" s="115" t="s">
        <v>368</v>
      </c>
      <c r="F158" s="115" t="s">
        <v>369</v>
      </c>
      <c r="G158" s="619" t="s">
        <v>166</v>
      </c>
      <c r="H158" s="619" t="s">
        <v>174</v>
      </c>
      <c r="I158" s="116">
        <v>4</v>
      </c>
      <c r="J158" s="116">
        <v>2</v>
      </c>
      <c r="K158" s="116">
        <f t="shared" si="14"/>
        <v>8</v>
      </c>
      <c r="L158" s="619" t="s">
        <v>223</v>
      </c>
      <c r="M158" s="116" t="s">
        <v>168</v>
      </c>
      <c r="N158" s="675">
        <f>'Personal Safety'!P112</f>
        <v>0</v>
      </c>
      <c r="O158" s="676">
        <f>'Personal Safety'!P119</f>
        <v>0</v>
      </c>
      <c r="P158" s="117" t="str">
        <f t="shared" si="17"/>
        <v>n/a</v>
      </c>
      <c r="Q158" s="357" t="str">
        <f t="shared" si="18"/>
        <v>n/a</v>
      </c>
      <c r="R158" s="1038"/>
      <c r="S158" s="1144"/>
      <c r="T158" s="1040"/>
      <c r="U158" s="1035"/>
      <c r="V158" s="1035"/>
      <c r="W158" s="118"/>
    </row>
    <row r="159" spans="2:23" ht="42" customHeight="1" x14ac:dyDescent="0.25">
      <c r="B159" s="1033"/>
      <c r="C159" s="1133"/>
      <c r="D159" s="138" t="s">
        <v>163</v>
      </c>
      <c r="E159" s="115" t="s">
        <v>370</v>
      </c>
      <c r="F159" s="115" t="s">
        <v>371</v>
      </c>
      <c r="G159" s="619" t="s">
        <v>166</v>
      </c>
      <c r="H159" s="619" t="s">
        <v>174</v>
      </c>
      <c r="I159" s="116">
        <v>4</v>
      </c>
      <c r="J159" s="116">
        <v>2</v>
      </c>
      <c r="K159" s="116">
        <f t="shared" si="14"/>
        <v>8</v>
      </c>
      <c r="L159" s="619" t="s">
        <v>223</v>
      </c>
      <c r="M159" s="116" t="s">
        <v>168</v>
      </c>
      <c r="N159" s="675">
        <f>'Personal Safety'!P126</f>
        <v>0</v>
      </c>
      <c r="O159" s="676">
        <f>'Personal Safety'!P133</f>
        <v>0</v>
      </c>
      <c r="P159" s="117" t="str">
        <f t="shared" si="17"/>
        <v>n/a</v>
      </c>
      <c r="Q159" s="357" t="str">
        <f t="shared" si="18"/>
        <v>n/a</v>
      </c>
      <c r="R159" s="1038"/>
      <c r="S159" s="1144"/>
      <c r="T159" s="1040"/>
      <c r="U159" s="1035"/>
      <c r="V159" s="1035"/>
      <c r="W159" s="118"/>
    </row>
    <row r="160" spans="2:23" ht="27.75" customHeight="1" x14ac:dyDescent="0.25">
      <c r="B160" s="1033"/>
      <c r="C160" s="1133"/>
      <c r="D160" s="138" t="s">
        <v>163</v>
      </c>
      <c r="E160" s="115" t="s">
        <v>372</v>
      </c>
      <c r="F160" s="115" t="s">
        <v>372</v>
      </c>
      <c r="G160" s="619" t="s">
        <v>166</v>
      </c>
      <c r="H160" s="619" t="s">
        <v>174</v>
      </c>
      <c r="I160" s="116">
        <v>4</v>
      </c>
      <c r="J160" s="116">
        <v>2</v>
      </c>
      <c r="K160" s="116">
        <f t="shared" si="14"/>
        <v>8</v>
      </c>
      <c r="L160" s="619" t="s">
        <v>223</v>
      </c>
      <c r="M160" s="116" t="s">
        <v>168</v>
      </c>
      <c r="N160" s="675">
        <f>'Personal Safety'!P141</f>
        <v>0</v>
      </c>
      <c r="O160" s="676">
        <f>'Personal Safety'!P148</f>
        <v>0</v>
      </c>
      <c r="P160" s="117" t="str">
        <f t="shared" si="17"/>
        <v>n/a</v>
      </c>
      <c r="Q160" s="357" t="str">
        <f t="shared" si="18"/>
        <v>n/a</v>
      </c>
      <c r="R160" s="1038"/>
      <c r="S160" s="1144"/>
      <c r="T160" s="1040"/>
      <c r="U160" s="1035"/>
      <c r="V160" s="1035"/>
      <c r="W160" s="118"/>
    </row>
    <row r="161" spans="2:23" ht="58.5" customHeight="1" x14ac:dyDescent="0.25">
      <c r="B161" s="1033"/>
      <c r="C161" s="1133"/>
      <c r="D161" s="138" t="s">
        <v>355</v>
      </c>
      <c r="E161" s="115" t="s">
        <v>373</v>
      </c>
      <c r="F161" s="115" t="s">
        <v>374</v>
      </c>
      <c r="G161" s="619" t="s">
        <v>166</v>
      </c>
      <c r="H161" s="619" t="s">
        <v>174</v>
      </c>
      <c r="I161" s="116">
        <v>5</v>
      </c>
      <c r="J161" s="116">
        <v>2</v>
      </c>
      <c r="K161" s="116">
        <f t="shared" si="14"/>
        <v>10</v>
      </c>
      <c r="L161" s="619" t="s">
        <v>223</v>
      </c>
      <c r="M161" s="116" t="s">
        <v>168</v>
      </c>
      <c r="N161" s="675">
        <f>'Personal Safety'!P155</f>
        <v>0</v>
      </c>
      <c r="O161" s="676">
        <f>'Personal Safety'!P162</f>
        <v>0</v>
      </c>
      <c r="P161" s="117" t="str">
        <f t="shared" si="17"/>
        <v>n/a</v>
      </c>
      <c r="Q161" s="357" t="str">
        <f t="shared" si="18"/>
        <v>n/a</v>
      </c>
      <c r="R161" s="1038"/>
      <c r="S161" s="1144"/>
      <c r="T161" s="1040"/>
      <c r="U161" s="1035"/>
      <c r="V161" s="1035"/>
      <c r="W161" s="118"/>
    </row>
    <row r="162" spans="2:23" ht="57.75" customHeight="1" x14ac:dyDescent="0.25">
      <c r="B162" s="1033"/>
      <c r="C162" s="1133"/>
      <c r="D162" s="138" t="s">
        <v>362</v>
      </c>
      <c r="E162" s="115" t="s">
        <v>375</v>
      </c>
      <c r="F162" s="115" t="s">
        <v>376</v>
      </c>
      <c r="G162" s="619" t="s">
        <v>166</v>
      </c>
      <c r="H162" s="619" t="s">
        <v>174</v>
      </c>
      <c r="I162" s="116">
        <v>5</v>
      </c>
      <c r="J162" s="116">
        <v>2</v>
      </c>
      <c r="K162" s="116">
        <f t="shared" si="14"/>
        <v>10</v>
      </c>
      <c r="L162" s="619" t="s">
        <v>223</v>
      </c>
      <c r="M162" s="116" t="s">
        <v>168</v>
      </c>
      <c r="N162" s="675">
        <f>'Personal Safety'!P169</f>
        <v>0</v>
      </c>
      <c r="O162" s="676">
        <f>'Personal Safety'!P176</f>
        <v>0</v>
      </c>
      <c r="P162" s="117" t="str">
        <f t="shared" si="17"/>
        <v>n/a</v>
      </c>
      <c r="Q162" s="357" t="str">
        <f t="shared" si="18"/>
        <v>n/a</v>
      </c>
      <c r="R162" s="1038"/>
      <c r="S162" s="1144"/>
      <c r="T162" s="1040"/>
      <c r="U162" s="1035"/>
      <c r="V162" s="1035"/>
      <c r="W162" s="118"/>
    </row>
    <row r="163" spans="2:23" ht="69.75" customHeight="1" x14ac:dyDescent="0.25">
      <c r="B163" s="1033"/>
      <c r="C163" s="1133"/>
      <c r="D163" s="138" t="s">
        <v>163</v>
      </c>
      <c r="E163" s="115" t="s">
        <v>377</v>
      </c>
      <c r="F163" s="115" t="s">
        <v>378</v>
      </c>
      <c r="G163" s="619" t="s">
        <v>166</v>
      </c>
      <c r="H163" s="619" t="s">
        <v>174</v>
      </c>
      <c r="I163" s="116">
        <v>5</v>
      </c>
      <c r="J163" s="116">
        <v>5</v>
      </c>
      <c r="K163" s="116">
        <f t="shared" si="14"/>
        <v>25</v>
      </c>
      <c r="L163" s="619" t="s">
        <v>223</v>
      </c>
      <c r="M163" s="116" t="s">
        <v>168</v>
      </c>
      <c r="N163" s="675">
        <f>'Personal Safety'!P183</f>
        <v>0</v>
      </c>
      <c r="O163" s="676">
        <f>'Personal Safety'!P190</f>
        <v>0</v>
      </c>
      <c r="P163" s="117" t="str">
        <f t="shared" si="17"/>
        <v>n/a</v>
      </c>
      <c r="Q163" s="357" t="str">
        <f t="shared" si="18"/>
        <v>n/a</v>
      </c>
      <c r="R163" s="1038"/>
      <c r="S163" s="1144"/>
      <c r="T163" s="1040"/>
      <c r="U163" s="1035"/>
      <c r="V163" s="1035"/>
      <c r="W163" s="118"/>
    </row>
    <row r="164" spans="2:23" ht="7.5" customHeight="1" x14ac:dyDescent="0.25">
      <c r="B164" s="1033"/>
      <c r="C164" s="1134"/>
      <c r="D164" s="215"/>
      <c r="E164" s="223"/>
      <c r="F164" s="223"/>
      <c r="G164" s="623"/>
      <c r="H164" s="623"/>
      <c r="I164" s="217"/>
      <c r="J164" s="217"/>
      <c r="K164" s="217"/>
      <c r="L164" s="623"/>
      <c r="M164" s="217"/>
      <c r="N164" s="679"/>
      <c r="O164" s="680"/>
      <c r="P164" s="219" t="str">
        <f t="shared" si="17"/>
        <v>n/a</v>
      </c>
      <c r="Q164" s="359" t="str">
        <f t="shared" si="18"/>
        <v>n/a</v>
      </c>
      <c r="R164" s="1036"/>
      <c r="S164" s="1145"/>
      <c r="T164" s="1041"/>
      <c r="U164" s="1036"/>
      <c r="V164" s="1036"/>
      <c r="W164" s="220"/>
    </row>
    <row r="165" spans="2:23" ht="24.75" customHeight="1" x14ac:dyDescent="0.25">
      <c r="B165" s="1033"/>
      <c r="C165" s="1135" t="s">
        <v>128</v>
      </c>
      <c r="D165" s="221" t="s">
        <v>163</v>
      </c>
      <c r="E165" s="205" t="s">
        <v>379</v>
      </c>
      <c r="F165" s="205" t="s">
        <v>380</v>
      </c>
      <c r="G165" s="622" t="s">
        <v>174</v>
      </c>
      <c r="H165" s="622" t="s">
        <v>174</v>
      </c>
      <c r="I165" s="206">
        <v>2</v>
      </c>
      <c r="J165" s="206">
        <v>2</v>
      </c>
      <c r="K165" s="206">
        <f t="shared" si="14"/>
        <v>4</v>
      </c>
      <c r="L165" s="622" t="s">
        <v>223</v>
      </c>
      <c r="M165" s="206" t="s">
        <v>168</v>
      </c>
      <c r="N165" s="695">
        <f>'Physical Activity'!P12</f>
        <v>0</v>
      </c>
      <c r="O165" s="696">
        <f>'Physical Activity'!P19</f>
        <v>0</v>
      </c>
      <c r="P165" s="207" t="str">
        <f t="shared" si="17"/>
        <v>n/a</v>
      </c>
      <c r="Q165" s="360" t="str">
        <f t="shared" si="18"/>
        <v>n/a</v>
      </c>
      <c r="R165" s="1114">
        <f>SUMIF(H165:H172,"Yes",K165:K172)</f>
        <v>32</v>
      </c>
      <c r="S165" s="1143">
        <f>SUMIF(L165:L172,"Yes",K165:K172)</f>
        <v>8</v>
      </c>
      <c r="T165" s="1039">
        <f>SUM(S165)/SUM(R165)</f>
        <v>0.25</v>
      </c>
      <c r="U165" s="1037">
        <f>SUM(P165:P172)</f>
        <v>57000</v>
      </c>
      <c r="V165" s="1037">
        <f>SUM(Q165:Q172)</f>
        <v>190000</v>
      </c>
      <c r="W165" s="208"/>
    </row>
    <row r="166" spans="2:23" ht="29.25" customHeight="1" x14ac:dyDescent="0.25">
      <c r="B166" s="1033"/>
      <c r="C166" s="1133"/>
      <c r="D166" s="138" t="s">
        <v>163</v>
      </c>
      <c r="E166" s="115" t="s">
        <v>381</v>
      </c>
      <c r="F166" s="115" t="s">
        <v>382</v>
      </c>
      <c r="G166" s="619" t="s">
        <v>174</v>
      </c>
      <c r="H166" s="619" t="s">
        <v>174</v>
      </c>
      <c r="I166" s="116">
        <v>2</v>
      </c>
      <c r="J166" s="116">
        <v>2</v>
      </c>
      <c r="K166" s="116">
        <f t="shared" si="14"/>
        <v>4</v>
      </c>
      <c r="L166" s="619" t="s">
        <v>223</v>
      </c>
      <c r="M166" s="116" t="s">
        <v>168</v>
      </c>
      <c r="N166" s="675">
        <f>'Physical Activity'!P27</f>
        <v>0</v>
      </c>
      <c r="O166" s="676">
        <f>'Physical Activity'!P34</f>
        <v>0</v>
      </c>
      <c r="P166" s="117" t="str">
        <f t="shared" si="17"/>
        <v>n/a</v>
      </c>
      <c r="Q166" s="357" t="str">
        <f t="shared" si="18"/>
        <v>n/a</v>
      </c>
      <c r="R166" s="1038"/>
      <c r="S166" s="1144"/>
      <c r="T166" s="1040"/>
      <c r="U166" s="1038"/>
      <c r="V166" s="1038"/>
      <c r="W166" s="209"/>
    </row>
    <row r="167" spans="2:23" x14ac:dyDescent="0.25">
      <c r="B167" s="1033"/>
      <c r="C167" s="1133"/>
      <c r="D167" s="138" t="s">
        <v>163</v>
      </c>
      <c r="E167" s="115" t="s">
        <v>383</v>
      </c>
      <c r="F167" s="115" t="s">
        <v>384</v>
      </c>
      <c r="G167" s="619" t="s">
        <v>166</v>
      </c>
      <c r="H167" s="619" t="s">
        <v>174</v>
      </c>
      <c r="I167" s="116">
        <v>3</v>
      </c>
      <c r="J167" s="116">
        <v>2</v>
      </c>
      <c r="K167" s="116">
        <f t="shared" si="14"/>
        <v>6</v>
      </c>
      <c r="L167" s="619" t="s">
        <v>223</v>
      </c>
      <c r="M167" s="116" t="s">
        <v>168</v>
      </c>
      <c r="N167" s="675">
        <f>'Physical Activity'!P42</f>
        <v>0</v>
      </c>
      <c r="O167" s="676">
        <f>'Physical Activity'!P49</f>
        <v>0</v>
      </c>
      <c r="P167" s="117" t="str">
        <f t="shared" si="17"/>
        <v>n/a</v>
      </c>
      <c r="Q167" s="357" t="str">
        <f t="shared" si="18"/>
        <v>n/a</v>
      </c>
      <c r="R167" s="1038"/>
      <c r="S167" s="1144"/>
      <c r="T167" s="1040"/>
      <c r="U167" s="1038"/>
      <c r="V167" s="1038"/>
      <c r="W167" s="209"/>
    </row>
    <row r="168" spans="2:23" x14ac:dyDescent="0.25">
      <c r="B168" s="1033"/>
      <c r="C168" s="1133"/>
      <c r="D168" s="138" t="s">
        <v>385</v>
      </c>
      <c r="E168" s="115" t="s">
        <v>386</v>
      </c>
      <c r="F168" s="115" t="s">
        <v>387</v>
      </c>
      <c r="G168" s="619" t="s">
        <v>166</v>
      </c>
      <c r="H168" s="619" t="s">
        <v>175</v>
      </c>
      <c r="I168" s="116">
        <v>4</v>
      </c>
      <c r="J168" s="116">
        <v>2</v>
      </c>
      <c r="K168" s="116">
        <f t="shared" si="14"/>
        <v>8</v>
      </c>
      <c r="L168" s="619" t="s">
        <v>223</v>
      </c>
      <c r="M168" s="116" t="s">
        <v>168</v>
      </c>
      <c r="N168" s="675">
        <f>'Physical Activity'!P57</f>
        <v>0</v>
      </c>
      <c r="O168" s="676">
        <f>'Physical Activity'!P64</f>
        <v>0</v>
      </c>
      <c r="P168" s="117" t="str">
        <f t="shared" si="17"/>
        <v>n/a</v>
      </c>
      <c r="Q168" s="357" t="str">
        <f t="shared" si="18"/>
        <v>n/a</v>
      </c>
      <c r="R168" s="1038"/>
      <c r="S168" s="1144"/>
      <c r="T168" s="1040"/>
      <c r="U168" s="1038"/>
      <c r="V168" s="1038"/>
      <c r="W168" s="209"/>
    </row>
    <row r="169" spans="2:23" ht="24" x14ac:dyDescent="0.25">
      <c r="B169" s="1033"/>
      <c r="C169" s="1133"/>
      <c r="D169" s="138" t="s">
        <v>163</v>
      </c>
      <c r="E169" s="115" t="s">
        <v>386</v>
      </c>
      <c r="F169" s="115" t="s">
        <v>388</v>
      </c>
      <c r="G169" s="619" t="s">
        <v>166</v>
      </c>
      <c r="H169" s="619" t="s">
        <v>174</v>
      </c>
      <c r="I169" s="116">
        <v>4</v>
      </c>
      <c r="J169" s="116">
        <v>2</v>
      </c>
      <c r="K169" s="116">
        <f t="shared" si="14"/>
        <v>8</v>
      </c>
      <c r="L169" s="619" t="s">
        <v>174</v>
      </c>
      <c r="M169" s="116" t="s">
        <v>168</v>
      </c>
      <c r="N169" s="101">
        <f>'Physical Activity'!P68</f>
        <v>57000</v>
      </c>
      <c r="O169" s="345">
        <f>'Physical Activity'!P71</f>
        <v>190000</v>
      </c>
      <c r="P169" s="117">
        <f t="shared" si="17"/>
        <v>57000</v>
      </c>
      <c r="Q169" s="357">
        <f t="shared" si="18"/>
        <v>190000</v>
      </c>
      <c r="R169" s="1038"/>
      <c r="S169" s="1144"/>
      <c r="T169" s="1040"/>
      <c r="U169" s="1038"/>
      <c r="V169" s="1038"/>
      <c r="W169" s="209"/>
    </row>
    <row r="170" spans="2:23" x14ac:dyDescent="0.25">
      <c r="B170" s="1033"/>
      <c r="C170" s="1133"/>
      <c r="D170" s="138" t="s">
        <v>385</v>
      </c>
      <c r="E170" s="115" t="s">
        <v>386</v>
      </c>
      <c r="F170" s="115" t="s">
        <v>389</v>
      </c>
      <c r="G170" s="619" t="s">
        <v>166</v>
      </c>
      <c r="H170" s="619" t="s">
        <v>175</v>
      </c>
      <c r="I170" s="116">
        <v>4</v>
      </c>
      <c r="J170" s="116">
        <v>2</v>
      </c>
      <c r="K170" s="116">
        <f t="shared" si="14"/>
        <v>8</v>
      </c>
      <c r="L170" s="619" t="s">
        <v>223</v>
      </c>
      <c r="M170" s="116" t="s">
        <v>168</v>
      </c>
      <c r="N170" s="675">
        <f>'Physical Activity'!P80</f>
        <v>0</v>
      </c>
      <c r="O170" s="676">
        <f>'Physical Activity'!P87</f>
        <v>0</v>
      </c>
      <c r="P170" s="117" t="str">
        <f t="shared" si="17"/>
        <v>n/a</v>
      </c>
      <c r="Q170" s="357" t="str">
        <f t="shared" si="18"/>
        <v>n/a</v>
      </c>
      <c r="R170" s="1038"/>
      <c r="S170" s="1144"/>
      <c r="T170" s="1040"/>
      <c r="U170" s="1038"/>
      <c r="V170" s="1038"/>
      <c r="W170" s="209"/>
    </row>
    <row r="171" spans="2:23" x14ac:dyDescent="0.25">
      <c r="B171" s="1033"/>
      <c r="C171" s="1133"/>
      <c r="D171" s="138" t="s">
        <v>163</v>
      </c>
      <c r="E171" s="115" t="s">
        <v>390</v>
      </c>
      <c r="F171" s="115" t="s">
        <v>391</v>
      </c>
      <c r="G171" s="619" t="s">
        <v>174</v>
      </c>
      <c r="H171" s="619" t="s">
        <v>174</v>
      </c>
      <c r="I171" s="116">
        <v>5</v>
      </c>
      <c r="J171" s="116">
        <v>2</v>
      </c>
      <c r="K171" s="116">
        <f t="shared" ref="K171:K233" si="19">(I171*J171)</f>
        <v>10</v>
      </c>
      <c r="L171" s="619" t="s">
        <v>223</v>
      </c>
      <c r="M171" s="116" t="s">
        <v>168</v>
      </c>
      <c r="N171" s="675">
        <f>'Physical Activity'!P95</f>
        <v>174000</v>
      </c>
      <c r="O171" s="676">
        <f>'Physical Activity'!P102</f>
        <v>697000</v>
      </c>
      <c r="P171" s="117" t="str">
        <f t="shared" si="17"/>
        <v>n/a</v>
      </c>
      <c r="Q171" s="357" t="str">
        <f t="shared" si="18"/>
        <v>n/a</v>
      </c>
      <c r="R171" s="1038"/>
      <c r="S171" s="1144"/>
      <c r="T171" s="1040"/>
      <c r="U171" s="1038"/>
      <c r="V171" s="1038"/>
      <c r="W171" s="209"/>
    </row>
    <row r="172" spans="2:23" ht="4.5" customHeight="1" x14ac:dyDescent="0.25">
      <c r="B172" s="1033"/>
      <c r="C172" s="1134"/>
      <c r="D172" s="215"/>
      <c r="E172" s="223"/>
      <c r="F172" s="223"/>
      <c r="G172" s="623"/>
      <c r="H172" s="623"/>
      <c r="I172" s="217"/>
      <c r="J172" s="217"/>
      <c r="K172" s="217"/>
      <c r="L172" s="623"/>
      <c r="M172" s="217"/>
      <c r="N172" s="679"/>
      <c r="O172" s="680"/>
      <c r="P172" s="219" t="str">
        <f t="shared" si="17"/>
        <v>n/a</v>
      </c>
      <c r="Q172" s="359" t="str">
        <f t="shared" si="18"/>
        <v>n/a</v>
      </c>
      <c r="R172" s="1036"/>
      <c r="S172" s="1216"/>
      <c r="T172" s="1041"/>
      <c r="U172" s="1036"/>
      <c r="V172" s="1036"/>
      <c r="W172" s="319"/>
    </row>
    <row r="173" spans="2:23" x14ac:dyDescent="0.25">
      <c r="B173" s="1054" t="s">
        <v>392</v>
      </c>
      <c r="C173" s="1071" t="s">
        <v>393</v>
      </c>
      <c r="D173" s="726" t="s">
        <v>163</v>
      </c>
      <c r="E173" s="727" t="s">
        <v>394</v>
      </c>
      <c r="F173" s="727" t="s">
        <v>395</v>
      </c>
      <c r="G173" s="728" t="s">
        <v>174</v>
      </c>
      <c r="H173" s="728" t="s">
        <v>174</v>
      </c>
      <c r="I173" s="321">
        <v>5</v>
      </c>
      <c r="J173" s="321">
        <v>2</v>
      </c>
      <c r="K173" s="321">
        <f t="shared" si="19"/>
        <v>10</v>
      </c>
      <c r="L173" s="728" t="s">
        <v>174</v>
      </c>
      <c r="M173" s="321" t="s">
        <v>168</v>
      </c>
      <c r="N173" s="322">
        <f>'Water Efficiency'!$P$13</f>
        <v>114000</v>
      </c>
      <c r="O173" s="361">
        <f>'Water Efficiency'!P21</f>
        <v>227000</v>
      </c>
      <c r="P173" s="322">
        <f t="shared" si="17"/>
        <v>114000</v>
      </c>
      <c r="Q173" s="361">
        <f t="shared" si="18"/>
        <v>227000</v>
      </c>
      <c r="R173" s="1146">
        <f>SUMIF(H173:H177,"Yes",K173:K177)</f>
        <v>40</v>
      </c>
      <c r="S173" s="1146">
        <f>SUMIF(L173:L177,"Yes",K173:K177)</f>
        <v>30</v>
      </c>
      <c r="T173" s="1147">
        <f>SUM(S173)/SUM(R173)</f>
        <v>0.75</v>
      </c>
      <c r="U173" s="1148">
        <f>SUM(P173:P177)</f>
        <v>199000</v>
      </c>
      <c r="V173" s="1148">
        <f>SUM(Q173:Q177)</f>
        <v>398000</v>
      </c>
      <c r="W173" s="323"/>
    </row>
    <row r="174" spans="2:23" x14ac:dyDescent="0.25">
      <c r="B174" s="1055"/>
      <c r="C174" s="1069"/>
      <c r="D174" s="656" t="s">
        <v>163</v>
      </c>
      <c r="E174" s="119" t="s">
        <v>396</v>
      </c>
      <c r="F174" s="119" t="s">
        <v>397</v>
      </c>
      <c r="G174" s="624" t="s">
        <v>174</v>
      </c>
      <c r="H174" s="624" t="s">
        <v>174</v>
      </c>
      <c r="I174" s="120">
        <v>5</v>
      </c>
      <c r="J174" s="120">
        <v>2</v>
      </c>
      <c r="K174" s="120">
        <f t="shared" si="19"/>
        <v>10</v>
      </c>
      <c r="L174" s="624" t="s">
        <v>174</v>
      </c>
      <c r="M174" s="120" t="s">
        <v>168</v>
      </c>
      <c r="N174" s="289">
        <f>'Water Efficiency'!$P$27</f>
        <v>38000</v>
      </c>
      <c r="O174" s="362">
        <f>'Water Efficiency'!P32</f>
        <v>76000</v>
      </c>
      <c r="P174" s="289">
        <f t="shared" si="17"/>
        <v>38000</v>
      </c>
      <c r="Q174" s="362">
        <f t="shared" si="18"/>
        <v>76000</v>
      </c>
      <c r="R174" s="1076"/>
      <c r="S174" s="1076"/>
      <c r="T174" s="1048"/>
      <c r="U174" s="1127"/>
      <c r="V174" s="1127"/>
      <c r="W174" s="121"/>
    </row>
    <row r="175" spans="2:23" x14ac:dyDescent="0.25">
      <c r="B175" s="1055"/>
      <c r="C175" s="1069"/>
      <c r="D175" s="656" t="s">
        <v>163</v>
      </c>
      <c r="E175" s="119" t="s">
        <v>398</v>
      </c>
      <c r="F175" s="119" t="s">
        <v>399</v>
      </c>
      <c r="G175" s="624" t="s">
        <v>174</v>
      </c>
      <c r="H175" s="624" t="s">
        <v>174</v>
      </c>
      <c r="I175" s="120">
        <v>5</v>
      </c>
      <c r="J175" s="120">
        <v>2</v>
      </c>
      <c r="K175" s="120">
        <f t="shared" si="19"/>
        <v>10</v>
      </c>
      <c r="L175" s="624" t="s">
        <v>174</v>
      </c>
      <c r="M175" s="120" t="s">
        <v>168</v>
      </c>
      <c r="N175" s="289">
        <f>'Water Efficiency'!$P$37</f>
        <v>47000</v>
      </c>
      <c r="O175" s="362">
        <f>'Water Efficiency'!P40</f>
        <v>95000</v>
      </c>
      <c r="P175" s="289">
        <f t="shared" si="17"/>
        <v>47000</v>
      </c>
      <c r="Q175" s="362">
        <f t="shared" si="18"/>
        <v>95000</v>
      </c>
      <c r="R175" s="1076"/>
      <c r="S175" s="1076"/>
      <c r="T175" s="1048"/>
      <c r="U175" s="1127"/>
      <c r="V175" s="1127"/>
      <c r="W175" s="121"/>
    </row>
    <row r="176" spans="2:23" x14ac:dyDescent="0.25">
      <c r="B176" s="1055"/>
      <c r="C176" s="1069"/>
      <c r="D176" s="283" t="s">
        <v>385</v>
      </c>
      <c r="E176" s="119" t="s">
        <v>400</v>
      </c>
      <c r="F176" s="119" t="s">
        <v>401</v>
      </c>
      <c r="G176" s="624" t="s">
        <v>166</v>
      </c>
      <c r="H176" s="624" t="s">
        <v>174</v>
      </c>
      <c r="I176" s="120">
        <v>5</v>
      </c>
      <c r="J176" s="120">
        <v>2</v>
      </c>
      <c r="K176" s="120">
        <f t="shared" si="19"/>
        <v>10</v>
      </c>
      <c r="L176" s="624" t="s">
        <v>223</v>
      </c>
      <c r="M176" s="120" t="s">
        <v>168</v>
      </c>
      <c r="N176" s="675">
        <f>'Water Efficiency'!P48</f>
        <v>0</v>
      </c>
      <c r="O176" s="676">
        <f>'Water Efficiency'!P55</f>
        <v>0</v>
      </c>
      <c r="P176" s="289" t="str">
        <f t="shared" si="17"/>
        <v>n/a</v>
      </c>
      <c r="Q176" s="362" t="str">
        <f t="shared" si="18"/>
        <v>n/a</v>
      </c>
      <c r="R176" s="1076"/>
      <c r="S176" s="1076"/>
      <c r="T176" s="1048"/>
      <c r="U176" s="1127"/>
      <c r="V176" s="1127"/>
      <c r="W176" s="121"/>
    </row>
    <row r="177" spans="2:23" ht="9" customHeight="1" x14ac:dyDescent="0.25">
      <c r="B177" s="1055"/>
      <c r="C177" s="1069"/>
      <c r="D177" s="284"/>
      <c r="E177" s="227"/>
      <c r="F177" s="227"/>
      <c r="G177" s="625"/>
      <c r="H177" s="625"/>
      <c r="I177" s="228"/>
      <c r="J177" s="228"/>
      <c r="K177" s="228"/>
      <c r="L177" s="625"/>
      <c r="M177" s="228"/>
      <c r="N177" s="290"/>
      <c r="O177" s="363"/>
      <c r="P177" s="290" t="str">
        <f t="shared" si="17"/>
        <v>n/a</v>
      </c>
      <c r="Q177" s="363" t="str">
        <f t="shared" si="18"/>
        <v>n/a</v>
      </c>
      <c r="R177" s="1077"/>
      <c r="S177" s="1077"/>
      <c r="T177" s="1078"/>
      <c r="U177" s="1128"/>
      <c r="V177" s="1128"/>
      <c r="W177" s="229"/>
    </row>
    <row r="178" spans="2:23" x14ac:dyDescent="0.25">
      <c r="B178" s="1055"/>
      <c r="C178" s="1068" t="s">
        <v>402</v>
      </c>
      <c r="D178" s="285" t="s">
        <v>163</v>
      </c>
      <c r="E178" s="230" t="s">
        <v>403</v>
      </c>
      <c r="F178" s="230" t="s">
        <v>404</v>
      </c>
      <c r="G178" s="626" t="s">
        <v>166</v>
      </c>
      <c r="H178" s="626" t="s">
        <v>174</v>
      </c>
      <c r="I178" s="231">
        <v>2</v>
      </c>
      <c r="J178" s="231">
        <v>2</v>
      </c>
      <c r="K178" s="231">
        <f t="shared" si="19"/>
        <v>4</v>
      </c>
      <c r="L178" s="626" t="s">
        <v>223</v>
      </c>
      <c r="M178" s="231" t="s">
        <v>168</v>
      </c>
      <c r="N178" s="695">
        <f>'Water Recycling'!P12</f>
        <v>0</v>
      </c>
      <c r="O178" s="696">
        <f>'Water Recycling'!P19</f>
        <v>0</v>
      </c>
      <c r="P178" s="291" t="str">
        <f t="shared" si="17"/>
        <v>n/a</v>
      </c>
      <c r="Q178" s="364" t="str">
        <f t="shared" si="18"/>
        <v>n/a</v>
      </c>
      <c r="R178" s="1075">
        <f>SUMIF(H178:H188,"Yes",K178:K188)</f>
        <v>48</v>
      </c>
      <c r="S178" s="1075">
        <f>SUMIF(L178:L188,"Yes",K178:K188)</f>
        <v>10</v>
      </c>
      <c r="T178" s="1047">
        <f>SUM(S178)/SUM(R178)</f>
        <v>0.20833333333333334</v>
      </c>
      <c r="U178" s="1126">
        <f>SUM(P178:P188)</f>
        <v>73000</v>
      </c>
      <c r="V178" s="1126">
        <f>SUM(Q178:Q188)</f>
        <v>726000</v>
      </c>
      <c r="W178" s="232"/>
    </row>
    <row r="179" spans="2:23" x14ac:dyDescent="0.25">
      <c r="B179" s="1055"/>
      <c r="C179" s="1069"/>
      <c r="D179" s="283" t="s">
        <v>163</v>
      </c>
      <c r="E179" s="119" t="s">
        <v>403</v>
      </c>
      <c r="F179" s="734" t="s">
        <v>405</v>
      </c>
      <c r="G179" s="624" t="s">
        <v>166</v>
      </c>
      <c r="H179" s="624" t="s">
        <v>174</v>
      </c>
      <c r="I179" s="120">
        <v>2</v>
      </c>
      <c r="J179" s="120">
        <v>2</v>
      </c>
      <c r="K179" s="120">
        <f t="shared" si="19"/>
        <v>4</v>
      </c>
      <c r="L179" s="624" t="s">
        <v>223</v>
      </c>
      <c r="M179" s="120" t="s">
        <v>168</v>
      </c>
      <c r="N179" s="675">
        <f>'Water Recycling'!P27</f>
        <v>0</v>
      </c>
      <c r="O179" s="676">
        <f>'Water Recycling'!P34</f>
        <v>0</v>
      </c>
      <c r="P179" s="289" t="str">
        <f t="shared" si="17"/>
        <v>n/a</v>
      </c>
      <c r="Q179" s="362" t="str">
        <f t="shared" si="18"/>
        <v>n/a</v>
      </c>
      <c r="R179" s="1076"/>
      <c r="S179" s="1076"/>
      <c r="T179" s="1048"/>
      <c r="U179" s="1127"/>
      <c r="V179" s="1127"/>
      <c r="W179" s="233"/>
    </row>
    <row r="180" spans="2:23" x14ac:dyDescent="0.25">
      <c r="B180" s="1055"/>
      <c r="C180" s="1069"/>
      <c r="D180" s="283" t="s">
        <v>163</v>
      </c>
      <c r="E180" s="119" t="s">
        <v>403</v>
      </c>
      <c r="F180" s="735" t="s">
        <v>406</v>
      </c>
      <c r="G180" s="624" t="s">
        <v>166</v>
      </c>
      <c r="H180" s="624" t="s">
        <v>174</v>
      </c>
      <c r="I180" s="120">
        <v>2</v>
      </c>
      <c r="J180" s="120">
        <v>2</v>
      </c>
      <c r="K180" s="120">
        <f t="shared" si="19"/>
        <v>4</v>
      </c>
      <c r="L180" s="624" t="s">
        <v>223</v>
      </c>
      <c r="M180" s="120" t="s">
        <v>168</v>
      </c>
      <c r="N180" s="675">
        <f>'Water Recycling'!P42</f>
        <v>0</v>
      </c>
      <c r="O180" s="676">
        <f>'Water Recycling'!P49</f>
        <v>0</v>
      </c>
      <c r="P180" s="289" t="str">
        <f t="shared" si="17"/>
        <v>n/a</v>
      </c>
      <c r="Q180" s="362" t="str">
        <f t="shared" si="18"/>
        <v>n/a</v>
      </c>
      <c r="R180" s="1076"/>
      <c r="S180" s="1076"/>
      <c r="T180" s="1048"/>
      <c r="U180" s="1127"/>
      <c r="V180" s="1127"/>
      <c r="W180" s="233"/>
    </row>
    <row r="181" spans="2:23" x14ac:dyDescent="0.25">
      <c r="B181" s="1055"/>
      <c r="C181" s="1069"/>
      <c r="D181" s="283" t="s">
        <v>163</v>
      </c>
      <c r="E181" s="119" t="s">
        <v>403</v>
      </c>
      <c r="F181" s="736" t="s">
        <v>407</v>
      </c>
      <c r="G181" s="624" t="s">
        <v>166</v>
      </c>
      <c r="H181" s="624" t="s">
        <v>174</v>
      </c>
      <c r="I181" s="120">
        <v>3</v>
      </c>
      <c r="J181" s="120">
        <v>2</v>
      </c>
      <c r="K181" s="120">
        <f t="shared" si="19"/>
        <v>6</v>
      </c>
      <c r="L181" s="624" t="s">
        <v>223</v>
      </c>
      <c r="M181" s="120" t="s">
        <v>168</v>
      </c>
      <c r="N181" s="675">
        <f>'Water Recycling'!P57</f>
        <v>0</v>
      </c>
      <c r="O181" s="676">
        <f>'Water Recycling'!P64</f>
        <v>0</v>
      </c>
      <c r="P181" s="289" t="str">
        <f t="shared" si="17"/>
        <v>n/a</v>
      </c>
      <c r="Q181" s="362" t="str">
        <f t="shared" si="18"/>
        <v>n/a</v>
      </c>
      <c r="R181" s="1076"/>
      <c r="S181" s="1076"/>
      <c r="T181" s="1048"/>
      <c r="U181" s="1127"/>
      <c r="V181" s="1127"/>
      <c r="W181" s="233"/>
    </row>
    <row r="182" spans="2:23" x14ac:dyDescent="0.25">
      <c r="B182" s="1055"/>
      <c r="C182" s="1069"/>
      <c r="D182" s="283" t="s">
        <v>163</v>
      </c>
      <c r="E182" s="119" t="s">
        <v>408</v>
      </c>
      <c r="F182" s="119" t="s">
        <v>409</v>
      </c>
      <c r="G182" s="624" t="s">
        <v>166</v>
      </c>
      <c r="H182" s="624" t="s">
        <v>174</v>
      </c>
      <c r="I182" s="120">
        <v>2</v>
      </c>
      <c r="J182" s="120">
        <v>2</v>
      </c>
      <c r="K182" s="120">
        <f t="shared" si="19"/>
        <v>4</v>
      </c>
      <c r="L182" s="624" t="s">
        <v>223</v>
      </c>
      <c r="M182" s="120" t="s">
        <v>168</v>
      </c>
      <c r="N182" s="675">
        <f>'Water Recycling'!P72</f>
        <v>0</v>
      </c>
      <c r="O182" s="676">
        <f>'Water Recycling'!P79</f>
        <v>0</v>
      </c>
      <c r="P182" s="289" t="str">
        <f t="shared" si="17"/>
        <v>n/a</v>
      </c>
      <c r="Q182" s="362" t="str">
        <f t="shared" si="18"/>
        <v>n/a</v>
      </c>
      <c r="R182" s="1076"/>
      <c r="S182" s="1076"/>
      <c r="T182" s="1048"/>
      <c r="U182" s="1127"/>
      <c r="V182" s="1127"/>
      <c r="W182" s="233"/>
    </row>
    <row r="183" spans="2:23" x14ac:dyDescent="0.25">
      <c r="B183" s="1055"/>
      <c r="C183" s="1069"/>
      <c r="D183" s="283" t="s">
        <v>163</v>
      </c>
      <c r="E183" s="119" t="s">
        <v>408</v>
      </c>
      <c r="F183" s="734" t="s">
        <v>410</v>
      </c>
      <c r="G183" s="624" t="s">
        <v>166</v>
      </c>
      <c r="H183" s="624" t="s">
        <v>174</v>
      </c>
      <c r="I183" s="120">
        <v>3</v>
      </c>
      <c r="J183" s="120">
        <v>2</v>
      </c>
      <c r="K183" s="120">
        <f t="shared" si="19"/>
        <v>6</v>
      </c>
      <c r="L183" s="624" t="s">
        <v>223</v>
      </c>
      <c r="M183" s="120" t="s">
        <v>168</v>
      </c>
      <c r="N183" s="675">
        <f>'Water Recycling'!P87</f>
        <v>0</v>
      </c>
      <c r="O183" s="676">
        <f>'Water Recycling'!P94</f>
        <v>0</v>
      </c>
      <c r="P183" s="289" t="str">
        <f t="shared" si="17"/>
        <v>n/a</v>
      </c>
      <c r="Q183" s="362" t="str">
        <f t="shared" si="18"/>
        <v>n/a</v>
      </c>
      <c r="R183" s="1076"/>
      <c r="S183" s="1076"/>
      <c r="T183" s="1048"/>
      <c r="U183" s="1127"/>
      <c r="V183" s="1127"/>
      <c r="W183" s="233"/>
    </row>
    <row r="184" spans="2:23" x14ac:dyDescent="0.25">
      <c r="B184" s="1055"/>
      <c r="C184" s="1069"/>
      <c r="D184" s="283" t="s">
        <v>163</v>
      </c>
      <c r="E184" s="119" t="s">
        <v>408</v>
      </c>
      <c r="F184" s="735" t="s">
        <v>411</v>
      </c>
      <c r="G184" s="624" t="s">
        <v>166</v>
      </c>
      <c r="H184" s="624" t="s">
        <v>175</v>
      </c>
      <c r="I184" s="120">
        <v>3</v>
      </c>
      <c r="J184" s="120">
        <v>2</v>
      </c>
      <c r="K184" s="120">
        <f t="shared" si="19"/>
        <v>6</v>
      </c>
      <c r="L184" s="624" t="s">
        <v>223</v>
      </c>
      <c r="M184" s="120" t="s">
        <v>168</v>
      </c>
      <c r="N184" s="675">
        <f>'Water Recycling'!P102</f>
        <v>0</v>
      </c>
      <c r="O184" s="676">
        <f>'Water Recycling'!P109</f>
        <v>0</v>
      </c>
      <c r="P184" s="289" t="str">
        <f t="shared" si="17"/>
        <v>n/a</v>
      </c>
      <c r="Q184" s="362" t="str">
        <f t="shared" si="18"/>
        <v>n/a</v>
      </c>
      <c r="R184" s="1076"/>
      <c r="S184" s="1076"/>
      <c r="T184" s="1048"/>
      <c r="U184" s="1127"/>
      <c r="V184" s="1127"/>
      <c r="W184" s="233"/>
    </row>
    <row r="185" spans="2:23" x14ac:dyDescent="0.25">
      <c r="B185" s="1055"/>
      <c r="C185" s="1069"/>
      <c r="D185" s="283" t="s">
        <v>163</v>
      </c>
      <c r="E185" s="119" t="s">
        <v>408</v>
      </c>
      <c r="F185" s="736" t="s">
        <v>412</v>
      </c>
      <c r="G185" s="624" t="s">
        <v>166</v>
      </c>
      <c r="H185" s="624" t="s">
        <v>175</v>
      </c>
      <c r="I185" s="120">
        <v>5</v>
      </c>
      <c r="J185" s="120">
        <v>2</v>
      </c>
      <c r="K185" s="120">
        <f t="shared" si="19"/>
        <v>10</v>
      </c>
      <c r="L185" s="624" t="s">
        <v>223</v>
      </c>
      <c r="M185" s="120" t="s">
        <v>168</v>
      </c>
      <c r="N185" s="675">
        <f>'Water Recycling'!P117</f>
        <v>0</v>
      </c>
      <c r="O185" s="676">
        <f>'Water Recycling'!P124</f>
        <v>0</v>
      </c>
      <c r="P185" s="289" t="str">
        <f t="shared" si="17"/>
        <v>n/a</v>
      </c>
      <c r="Q185" s="362" t="str">
        <f t="shared" si="18"/>
        <v>n/a</v>
      </c>
      <c r="R185" s="1076"/>
      <c r="S185" s="1076"/>
      <c r="T185" s="1048"/>
      <c r="U185" s="1127"/>
      <c r="V185" s="1127"/>
      <c r="W185" s="233"/>
    </row>
    <row r="186" spans="2:23" x14ac:dyDescent="0.25">
      <c r="B186" s="1055"/>
      <c r="C186" s="1069"/>
      <c r="D186" s="283" t="s">
        <v>163</v>
      </c>
      <c r="E186" s="119" t="s">
        <v>413</v>
      </c>
      <c r="F186" s="119" t="s">
        <v>414</v>
      </c>
      <c r="G186" s="624" t="s">
        <v>174</v>
      </c>
      <c r="H186" s="624" t="s">
        <v>174</v>
      </c>
      <c r="I186" s="120">
        <v>5</v>
      </c>
      <c r="J186" s="120">
        <v>2</v>
      </c>
      <c r="K186" s="120">
        <f t="shared" si="19"/>
        <v>10</v>
      </c>
      <c r="L186" s="624" t="s">
        <v>174</v>
      </c>
      <c r="M186" s="120" t="s">
        <v>168</v>
      </c>
      <c r="N186" s="289">
        <f>'Water Recycling'!P127</f>
        <v>73000</v>
      </c>
      <c r="O186" s="362">
        <f>'Water Recycling'!P133</f>
        <v>726000</v>
      </c>
      <c r="P186" s="289">
        <f t="shared" si="17"/>
        <v>73000</v>
      </c>
      <c r="Q186" s="362">
        <f t="shared" si="18"/>
        <v>726000</v>
      </c>
      <c r="R186" s="1076"/>
      <c r="S186" s="1076"/>
      <c r="T186" s="1048"/>
      <c r="U186" s="1127"/>
      <c r="V186" s="1127"/>
      <c r="W186" s="233"/>
    </row>
    <row r="187" spans="2:23" x14ac:dyDescent="0.25">
      <c r="B187" s="1055"/>
      <c r="C187" s="1069"/>
      <c r="D187" s="283" t="s">
        <v>163</v>
      </c>
      <c r="E187" s="119" t="s">
        <v>413</v>
      </c>
      <c r="F187" s="119" t="s">
        <v>415</v>
      </c>
      <c r="G187" s="624" t="s">
        <v>166</v>
      </c>
      <c r="H187" s="624" t="s">
        <v>174</v>
      </c>
      <c r="I187" s="120">
        <v>5</v>
      </c>
      <c r="J187" s="120">
        <v>2</v>
      </c>
      <c r="K187" s="120">
        <f t="shared" si="19"/>
        <v>10</v>
      </c>
      <c r="L187" s="624" t="s">
        <v>223</v>
      </c>
      <c r="M187" s="120" t="s">
        <v>168</v>
      </c>
      <c r="N187" s="675">
        <f>'Water Recycling'!P144</f>
        <v>0</v>
      </c>
      <c r="O187" s="676">
        <f>'Water Recycling'!P151</f>
        <v>0</v>
      </c>
      <c r="P187" s="289" t="str">
        <f t="shared" si="17"/>
        <v>n/a</v>
      </c>
      <c r="Q187" s="362" t="str">
        <f t="shared" si="18"/>
        <v>n/a</v>
      </c>
      <c r="R187" s="1076"/>
      <c r="S187" s="1076"/>
      <c r="T187" s="1048"/>
      <c r="U187" s="1127"/>
      <c r="V187" s="1127"/>
      <c r="W187" s="233"/>
    </row>
    <row r="188" spans="2:23" ht="6.75" customHeight="1" x14ac:dyDescent="0.25">
      <c r="B188" s="1055"/>
      <c r="C188" s="1180"/>
      <c r="D188" s="286"/>
      <c r="E188" s="234"/>
      <c r="F188" s="234"/>
      <c r="G188" s="627"/>
      <c r="H188" s="627"/>
      <c r="I188" s="235"/>
      <c r="J188" s="235"/>
      <c r="K188" s="235"/>
      <c r="L188" s="627"/>
      <c r="M188" s="235"/>
      <c r="N188" s="693"/>
      <c r="O188" s="694"/>
      <c r="P188" s="292" t="str">
        <f t="shared" si="17"/>
        <v>n/a</v>
      </c>
      <c r="Q188" s="365" t="str">
        <f t="shared" si="18"/>
        <v>n/a</v>
      </c>
      <c r="R188" s="1077"/>
      <c r="S188" s="1077"/>
      <c r="T188" s="1078"/>
      <c r="U188" s="1128"/>
      <c r="V188" s="1128"/>
      <c r="W188" s="236"/>
    </row>
    <row r="189" spans="2:23" ht="24" x14ac:dyDescent="0.25">
      <c r="B189" s="1055"/>
      <c r="C189" s="1069" t="s">
        <v>416</v>
      </c>
      <c r="D189" s="287" t="s">
        <v>163</v>
      </c>
      <c r="E189" s="224" t="s">
        <v>417</v>
      </c>
      <c r="F189" s="224" t="s">
        <v>418</v>
      </c>
      <c r="G189" s="628" t="s">
        <v>174</v>
      </c>
      <c r="H189" s="628" t="s">
        <v>174</v>
      </c>
      <c r="I189" s="225">
        <v>2</v>
      </c>
      <c r="J189" s="225">
        <v>2</v>
      </c>
      <c r="K189" s="225">
        <f t="shared" si="19"/>
        <v>4</v>
      </c>
      <c r="L189" s="628" t="s">
        <v>174</v>
      </c>
      <c r="M189" s="225" t="s">
        <v>168</v>
      </c>
      <c r="N189" s="288">
        <f>Monitoring!P8</f>
        <v>51000</v>
      </c>
      <c r="O189" s="366">
        <f>Monitoring!P11</f>
        <v>127000</v>
      </c>
      <c r="P189" s="288">
        <f t="shared" si="17"/>
        <v>51000</v>
      </c>
      <c r="Q189" s="366">
        <f t="shared" si="18"/>
        <v>127000</v>
      </c>
      <c r="R189" s="1075">
        <f>SUMIF(H189:H193,"Yes",K189:K193)</f>
        <v>28</v>
      </c>
      <c r="S189" s="1075">
        <f>SUMIF(L189:L193,"Yes",K189:K193)</f>
        <v>18</v>
      </c>
      <c r="T189" s="1047">
        <f>SUM(S189)/SUM(R189)</f>
        <v>0.6428571428571429</v>
      </c>
      <c r="U189" s="1126">
        <f>SUM(P189:P193)</f>
        <v>160000</v>
      </c>
      <c r="V189" s="1126">
        <f>SUM(Q189:Q193)</f>
        <v>400000</v>
      </c>
      <c r="W189" s="226"/>
    </row>
    <row r="190" spans="2:23" ht="36" x14ac:dyDescent="0.25">
      <c r="B190" s="1055"/>
      <c r="C190" s="1069"/>
      <c r="D190" s="283" t="s">
        <v>163</v>
      </c>
      <c r="E190" s="119" t="s">
        <v>419</v>
      </c>
      <c r="F190" s="119" t="s">
        <v>420</v>
      </c>
      <c r="G190" s="624" t="s">
        <v>174</v>
      </c>
      <c r="H190" s="624" t="s">
        <v>174</v>
      </c>
      <c r="I190" s="120">
        <v>3</v>
      </c>
      <c r="J190" s="120">
        <v>2</v>
      </c>
      <c r="K190" s="120">
        <f t="shared" si="19"/>
        <v>6</v>
      </c>
      <c r="L190" s="624" t="s">
        <v>174</v>
      </c>
      <c r="M190" s="120" t="s">
        <v>168</v>
      </c>
      <c r="N190" s="289">
        <f>Monitoring!P15</f>
        <v>73000</v>
      </c>
      <c r="O190" s="362">
        <f>Monitoring!P18</f>
        <v>182000</v>
      </c>
      <c r="P190" s="289">
        <f t="shared" si="17"/>
        <v>73000</v>
      </c>
      <c r="Q190" s="362">
        <f t="shared" si="18"/>
        <v>182000</v>
      </c>
      <c r="R190" s="1076"/>
      <c r="S190" s="1076"/>
      <c r="T190" s="1048"/>
      <c r="U190" s="1127"/>
      <c r="V190" s="1127"/>
      <c r="W190" s="121"/>
    </row>
    <row r="191" spans="2:23" ht="36" x14ac:dyDescent="0.25">
      <c r="B191" s="1055"/>
      <c r="C191" s="1069"/>
      <c r="D191" s="283" t="s">
        <v>163</v>
      </c>
      <c r="E191" s="119" t="s">
        <v>419</v>
      </c>
      <c r="F191" s="734" t="s">
        <v>421</v>
      </c>
      <c r="G191" s="624" t="s">
        <v>174</v>
      </c>
      <c r="H191" s="624" t="s">
        <v>174</v>
      </c>
      <c r="I191" s="120">
        <v>4</v>
      </c>
      <c r="J191" s="120">
        <v>2</v>
      </c>
      <c r="K191" s="120">
        <f t="shared" si="19"/>
        <v>8</v>
      </c>
      <c r="L191" s="624" t="s">
        <v>174</v>
      </c>
      <c r="M191" s="120" t="s">
        <v>168</v>
      </c>
      <c r="N191" s="289">
        <f>Monitoring!P23</f>
        <v>36000</v>
      </c>
      <c r="O191" s="362">
        <f>Monitoring!P27</f>
        <v>91000</v>
      </c>
      <c r="P191" s="289">
        <f t="shared" si="17"/>
        <v>36000</v>
      </c>
      <c r="Q191" s="362">
        <f t="shared" si="18"/>
        <v>91000</v>
      </c>
      <c r="R191" s="1076"/>
      <c r="S191" s="1076"/>
      <c r="T191" s="1048"/>
      <c r="U191" s="1127"/>
      <c r="V191" s="1127"/>
      <c r="W191" s="121" t="s">
        <v>422</v>
      </c>
    </row>
    <row r="192" spans="2:23" ht="24" x14ac:dyDescent="0.25">
      <c r="B192" s="1055"/>
      <c r="C192" s="1069"/>
      <c r="D192" s="283" t="s">
        <v>163</v>
      </c>
      <c r="E192" s="119" t="s">
        <v>419</v>
      </c>
      <c r="F192" s="735" t="s">
        <v>423</v>
      </c>
      <c r="G192" s="624" t="s">
        <v>174</v>
      </c>
      <c r="H192" s="624" t="s">
        <v>174</v>
      </c>
      <c r="I192" s="120">
        <v>5</v>
      </c>
      <c r="J192" s="120">
        <v>2</v>
      </c>
      <c r="K192" s="120">
        <f t="shared" si="19"/>
        <v>10</v>
      </c>
      <c r="L192" s="624" t="s">
        <v>223</v>
      </c>
      <c r="M192" s="120" t="s">
        <v>168</v>
      </c>
      <c r="N192" s="675">
        <f>Monitoring!P36</f>
        <v>109000</v>
      </c>
      <c r="O192" s="676">
        <f>Monitoring!P43</f>
        <v>272000</v>
      </c>
      <c r="P192" s="289" t="str">
        <f t="shared" si="17"/>
        <v>n/a</v>
      </c>
      <c r="Q192" s="362" t="str">
        <f t="shared" si="18"/>
        <v>n/a</v>
      </c>
      <c r="R192" s="1076"/>
      <c r="S192" s="1076"/>
      <c r="T192" s="1048"/>
      <c r="U192" s="1127"/>
      <c r="V192" s="1127"/>
      <c r="W192" s="121"/>
    </row>
    <row r="193" spans="2:23" ht="6.75" customHeight="1" x14ac:dyDescent="0.25">
      <c r="B193" s="1055"/>
      <c r="C193" s="1069"/>
      <c r="D193" s="284"/>
      <c r="E193" s="227"/>
      <c r="F193" s="227"/>
      <c r="G193" s="625"/>
      <c r="H193" s="625"/>
      <c r="I193" s="228"/>
      <c r="J193" s="228"/>
      <c r="K193" s="228"/>
      <c r="L193" s="625"/>
      <c r="M193" s="228"/>
      <c r="N193" s="679"/>
      <c r="O193" s="680"/>
      <c r="P193" s="290" t="str">
        <f t="shared" si="17"/>
        <v>n/a</v>
      </c>
      <c r="Q193" s="363" t="str">
        <f t="shared" si="18"/>
        <v>n/a</v>
      </c>
      <c r="R193" s="1077"/>
      <c r="S193" s="1077"/>
      <c r="T193" s="1078"/>
      <c r="U193" s="1128"/>
      <c r="V193" s="1128"/>
      <c r="W193" s="229"/>
    </row>
    <row r="194" spans="2:23" ht="15" customHeight="1" x14ac:dyDescent="0.25">
      <c r="B194" s="1055"/>
      <c r="C194" s="1068" t="s">
        <v>424</v>
      </c>
      <c r="D194" s="285" t="s">
        <v>163</v>
      </c>
      <c r="E194" s="230" t="s">
        <v>425</v>
      </c>
      <c r="F194" s="230" t="s">
        <v>426</v>
      </c>
      <c r="G194" s="626" t="s">
        <v>174</v>
      </c>
      <c r="H194" s="626" t="s">
        <v>174</v>
      </c>
      <c r="I194" s="231">
        <v>2</v>
      </c>
      <c r="J194" s="231">
        <v>4</v>
      </c>
      <c r="K194" s="231">
        <f t="shared" si="19"/>
        <v>8</v>
      </c>
      <c r="L194" s="626" t="s">
        <v>223</v>
      </c>
      <c r="M194" s="231" t="s">
        <v>168</v>
      </c>
      <c r="N194" s="950">
        <f>'Outdoor Water Use'!P12</f>
        <v>0</v>
      </c>
      <c r="O194" s="951">
        <f>'Outdoor Water Use'!P19</f>
        <v>726000</v>
      </c>
      <c r="P194" s="291" t="str">
        <f t="shared" si="17"/>
        <v>n/a</v>
      </c>
      <c r="Q194" s="364" t="str">
        <f t="shared" si="18"/>
        <v>n/a</v>
      </c>
      <c r="R194" s="1075">
        <f>SUMIF(H194:H198,"Yes",K194:K198)</f>
        <v>23</v>
      </c>
      <c r="S194" s="1075">
        <f>SUMIF(L194:L198,"Yes",K194:K198)</f>
        <v>0</v>
      </c>
      <c r="T194" s="1047">
        <f>SUM(S194)/SUM(R194)</f>
        <v>0</v>
      </c>
      <c r="U194" s="1126">
        <f>SUM(P194:P198)</f>
        <v>0</v>
      </c>
      <c r="V194" s="1126">
        <f>SUM(Q194:Q198)</f>
        <v>0</v>
      </c>
      <c r="W194" s="232" t="s">
        <v>427</v>
      </c>
    </row>
    <row r="195" spans="2:23" ht="46.5" customHeight="1" x14ac:dyDescent="0.25">
      <c r="B195" s="1055"/>
      <c r="C195" s="1069"/>
      <c r="D195" s="283" t="s">
        <v>163</v>
      </c>
      <c r="E195" s="119" t="s">
        <v>428</v>
      </c>
      <c r="F195" s="119" t="s">
        <v>429</v>
      </c>
      <c r="G195" s="624" t="s">
        <v>174</v>
      </c>
      <c r="H195" s="624" t="s">
        <v>174</v>
      </c>
      <c r="I195" s="120">
        <v>3</v>
      </c>
      <c r="J195" s="120">
        <v>5</v>
      </c>
      <c r="K195" s="120">
        <f t="shared" si="19"/>
        <v>15</v>
      </c>
      <c r="L195" s="624" t="s">
        <v>223</v>
      </c>
      <c r="M195" s="120" t="s">
        <v>168</v>
      </c>
      <c r="N195" s="952">
        <f>'Outdoor Water Use'!P42</f>
        <v>15000</v>
      </c>
      <c r="O195" s="953">
        <f>'Outdoor Water Use'!P49</f>
        <v>145000</v>
      </c>
      <c r="P195" s="289" t="str">
        <f t="shared" si="17"/>
        <v>n/a</v>
      </c>
      <c r="Q195" s="362" t="str">
        <f t="shared" si="18"/>
        <v>n/a</v>
      </c>
      <c r="R195" s="1076"/>
      <c r="S195" s="1076"/>
      <c r="T195" s="1048"/>
      <c r="U195" s="1127"/>
      <c r="V195" s="1127"/>
      <c r="W195" s="233"/>
    </row>
    <row r="196" spans="2:23" ht="42.75" customHeight="1" x14ac:dyDescent="0.25">
      <c r="B196" s="1055"/>
      <c r="C196" s="1069"/>
      <c r="D196" s="283" t="s">
        <v>163</v>
      </c>
      <c r="E196" s="119" t="s">
        <v>430</v>
      </c>
      <c r="F196" s="119" t="s">
        <v>431</v>
      </c>
      <c r="G196" s="624" t="s">
        <v>166</v>
      </c>
      <c r="H196" s="624" t="s">
        <v>175</v>
      </c>
      <c r="I196" s="120">
        <v>4</v>
      </c>
      <c r="J196" s="120">
        <v>4</v>
      </c>
      <c r="K196" s="120">
        <f t="shared" si="19"/>
        <v>16</v>
      </c>
      <c r="L196" s="624" t="s">
        <v>223</v>
      </c>
      <c r="M196" s="120" t="s">
        <v>168</v>
      </c>
      <c r="N196" s="675">
        <f>'Outdoor Water Use'!P57</f>
        <v>0</v>
      </c>
      <c r="O196" s="676">
        <f>'Outdoor Water Use'!P64</f>
        <v>0</v>
      </c>
      <c r="P196" s="289" t="str">
        <f t="shared" si="17"/>
        <v>n/a</v>
      </c>
      <c r="Q196" s="362" t="str">
        <f t="shared" si="18"/>
        <v>n/a</v>
      </c>
      <c r="R196" s="1076"/>
      <c r="S196" s="1076"/>
      <c r="T196" s="1048"/>
      <c r="U196" s="1127"/>
      <c r="V196" s="1127"/>
      <c r="W196" s="233"/>
    </row>
    <row r="197" spans="2:23" ht="51" customHeight="1" x14ac:dyDescent="0.25">
      <c r="B197" s="1055"/>
      <c r="C197" s="1069"/>
      <c r="D197" s="283" t="s">
        <v>163</v>
      </c>
      <c r="E197" s="119" t="s">
        <v>432</v>
      </c>
      <c r="F197" s="119" t="s">
        <v>433</v>
      </c>
      <c r="G197" s="624" t="s">
        <v>166</v>
      </c>
      <c r="H197" s="624" t="s">
        <v>175</v>
      </c>
      <c r="I197" s="120">
        <v>5</v>
      </c>
      <c r="J197" s="120">
        <v>5</v>
      </c>
      <c r="K197" s="120">
        <f t="shared" si="19"/>
        <v>25</v>
      </c>
      <c r="L197" s="624" t="s">
        <v>223</v>
      </c>
      <c r="M197" s="120" t="s">
        <v>168</v>
      </c>
      <c r="N197" s="675">
        <f>'Outdoor Water Use'!P72</f>
        <v>0</v>
      </c>
      <c r="O197" s="676">
        <f>'Outdoor Water Use'!P79</f>
        <v>0</v>
      </c>
      <c r="P197" s="289" t="str">
        <f t="shared" si="17"/>
        <v>n/a</v>
      </c>
      <c r="Q197" s="362" t="str">
        <f t="shared" si="18"/>
        <v>n/a</v>
      </c>
      <c r="R197" s="1076"/>
      <c r="S197" s="1076"/>
      <c r="T197" s="1048"/>
      <c r="U197" s="1127"/>
      <c r="V197" s="1127"/>
      <c r="W197" s="233"/>
    </row>
    <row r="198" spans="2:23" ht="6.75" customHeight="1" x14ac:dyDescent="0.25">
      <c r="B198" s="1056"/>
      <c r="C198" s="1070"/>
      <c r="D198" s="324"/>
      <c r="E198" s="325"/>
      <c r="F198" s="325"/>
      <c r="G198" s="629"/>
      <c r="H198" s="629"/>
      <c r="I198" s="326"/>
      <c r="J198" s="326"/>
      <c r="K198" s="326"/>
      <c r="L198" s="629"/>
      <c r="M198" s="326"/>
      <c r="N198" s="697"/>
      <c r="O198" s="698"/>
      <c r="P198" s="327" t="str">
        <f t="shared" si="17"/>
        <v>n/a</v>
      </c>
      <c r="Q198" s="367" t="str">
        <f t="shared" si="18"/>
        <v>n/a</v>
      </c>
      <c r="R198" s="1149"/>
      <c r="S198" s="1149"/>
      <c r="T198" s="1049"/>
      <c r="U198" s="1150"/>
      <c r="V198" s="1150"/>
      <c r="W198" s="328"/>
    </row>
    <row r="199" spans="2:23" ht="48" x14ac:dyDescent="0.25">
      <c r="B199" s="1057" t="s">
        <v>434</v>
      </c>
      <c r="C199" s="1168" t="s">
        <v>130</v>
      </c>
      <c r="D199" s="309" t="s">
        <v>360</v>
      </c>
      <c r="E199" s="310" t="s">
        <v>435</v>
      </c>
      <c r="F199" s="310" t="s">
        <v>436</v>
      </c>
      <c r="G199" s="630" t="s">
        <v>174</v>
      </c>
      <c r="H199" s="630" t="s">
        <v>174</v>
      </c>
      <c r="I199" s="311">
        <v>2</v>
      </c>
      <c r="J199" s="311">
        <v>2</v>
      </c>
      <c r="K199" s="311">
        <f t="shared" si="19"/>
        <v>4</v>
      </c>
      <c r="L199" s="630" t="s">
        <v>174</v>
      </c>
      <c r="M199" s="311" t="s">
        <v>168</v>
      </c>
      <c r="N199" s="954">
        <f>'Circular Potentials'!P12</f>
        <v>4000</v>
      </c>
      <c r="O199" s="955">
        <f>'Circular Potentials'!P19</f>
        <v>7000</v>
      </c>
      <c r="P199" s="312">
        <f t="shared" si="17"/>
        <v>4000</v>
      </c>
      <c r="Q199" s="368">
        <f t="shared" si="18"/>
        <v>7000</v>
      </c>
      <c r="R199" s="1185">
        <f>SUMIF(H199:H206,"Yes",K199:K206)</f>
        <v>54</v>
      </c>
      <c r="S199" s="1220">
        <f>SUMIF(L199:L206,"Yes",K199:K206)</f>
        <v>4</v>
      </c>
      <c r="T199" s="1042">
        <f>SUM(S199)/SUM(R199)</f>
        <v>7.407407407407407E-2</v>
      </c>
      <c r="U199" s="1118">
        <f>SUM(P199:P206)</f>
        <v>4000</v>
      </c>
      <c r="V199" s="1118">
        <f>SUM(Q199:Q206)</f>
        <v>7000</v>
      </c>
      <c r="W199" s="313"/>
    </row>
    <row r="200" spans="2:23" ht="48" x14ac:dyDescent="0.25">
      <c r="B200" s="1058"/>
      <c r="C200" s="1061"/>
      <c r="D200" s="139" t="s">
        <v>360</v>
      </c>
      <c r="E200" s="122" t="s">
        <v>435</v>
      </c>
      <c r="F200" s="737" t="s">
        <v>437</v>
      </c>
      <c r="G200" s="631" t="s">
        <v>174</v>
      </c>
      <c r="H200" s="631" t="s">
        <v>174</v>
      </c>
      <c r="I200" s="123">
        <v>3</v>
      </c>
      <c r="J200" s="123">
        <v>2</v>
      </c>
      <c r="K200" s="123">
        <f t="shared" si="19"/>
        <v>6</v>
      </c>
      <c r="L200" s="631" t="s">
        <v>223</v>
      </c>
      <c r="M200" s="123" t="s">
        <v>168</v>
      </c>
      <c r="N200" s="956">
        <f>'Circular Potentials'!P27</f>
        <v>0</v>
      </c>
      <c r="O200" s="956">
        <f>'Circular Potentials'!P34</f>
        <v>-4000</v>
      </c>
      <c r="P200" s="124" t="str">
        <f t="shared" si="17"/>
        <v>n/a</v>
      </c>
      <c r="Q200" s="369" t="str">
        <f t="shared" si="18"/>
        <v>n/a</v>
      </c>
      <c r="R200" s="1110"/>
      <c r="S200" s="1221"/>
      <c r="T200" s="1043"/>
      <c r="U200" s="1110"/>
      <c r="V200" s="1110"/>
      <c r="W200" s="245"/>
    </row>
    <row r="201" spans="2:23" ht="36" x14ac:dyDescent="0.25">
      <c r="B201" s="1058"/>
      <c r="C201" s="1061"/>
      <c r="D201" s="139" t="s">
        <v>360</v>
      </c>
      <c r="E201" s="122" t="s">
        <v>435</v>
      </c>
      <c r="F201" s="738" t="s">
        <v>438</v>
      </c>
      <c r="G201" s="631" t="s">
        <v>174</v>
      </c>
      <c r="H201" s="631" t="s">
        <v>174</v>
      </c>
      <c r="I201" s="123">
        <v>4</v>
      </c>
      <c r="J201" s="123">
        <v>2</v>
      </c>
      <c r="K201" s="123">
        <f t="shared" si="19"/>
        <v>8</v>
      </c>
      <c r="L201" s="631" t="s">
        <v>223</v>
      </c>
      <c r="M201" s="123" t="s">
        <v>168</v>
      </c>
      <c r="N201" s="956">
        <f>'Circular Potentials'!P42</f>
        <v>4000</v>
      </c>
      <c r="O201" s="957">
        <f>'Circular Potentials'!P49</f>
        <v>7000</v>
      </c>
      <c r="P201" s="124" t="str">
        <f t="shared" si="17"/>
        <v>n/a</v>
      </c>
      <c r="Q201" s="369" t="str">
        <f t="shared" si="18"/>
        <v>n/a</v>
      </c>
      <c r="R201" s="1110"/>
      <c r="S201" s="1221"/>
      <c r="T201" s="1043"/>
      <c r="U201" s="1110"/>
      <c r="V201" s="1110"/>
      <c r="W201" s="245"/>
    </row>
    <row r="202" spans="2:23" ht="36" x14ac:dyDescent="0.25">
      <c r="B202" s="1058"/>
      <c r="C202" s="1061"/>
      <c r="D202" s="139" t="s">
        <v>360</v>
      </c>
      <c r="E202" s="122" t="s">
        <v>435</v>
      </c>
      <c r="F202" s="739" t="s">
        <v>439</v>
      </c>
      <c r="G202" s="631" t="s">
        <v>174</v>
      </c>
      <c r="H202" s="631" t="s">
        <v>174</v>
      </c>
      <c r="I202" s="123">
        <v>5</v>
      </c>
      <c r="J202" s="123">
        <v>2</v>
      </c>
      <c r="K202" s="123">
        <f t="shared" si="19"/>
        <v>10</v>
      </c>
      <c r="L202" s="631" t="s">
        <v>223</v>
      </c>
      <c r="M202" s="123" t="s">
        <v>168</v>
      </c>
      <c r="N202" s="956">
        <f>'Circular Potentials'!P57</f>
        <v>0</v>
      </c>
      <c r="O202" s="956">
        <f>'Circular Potentials'!P64</f>
        <v>4000</v>
      </c>
      <c r="P202" s="124" t="str">
        <f t="shared" ref="P202:P241" si="20">IF(L202="Yes",N202,"n/a")</f>
        <v>n/a</v>
      </c>
      <c r="Q202" s="369" t="str">
        <f t="shared" ref="Q202:Q241" si="21">IF(L202="Yes",O202,"n/a")</f>
        <v>n/a</v>
      </c>
      <c r="R202" s="1110"/>
      <c r="S202" s="1221"/>
      <c r="T202" s="1043"/>
      <c r="U202" s="1110"/>
      <c r="V202" s="1110"/>
      <c r="W202" s="245"/>
    </row>
    <row r="203" spans="2:23" ht="31.35" customHeight="1" x14ac:dyDescent="0.25">
      <c r="B203" s="1058"/>
      <c r="C203" s="1061"/>
      <c r="D203" s="139" t="s">
        <v>360</v>
      </c>
      <c r="E203" s="122" t="s">
        <v>440</v>
      </c>
      <c r="F203" s="122" t="s">
        <v>441</v>
      </c>
      <c r="G203" s="631" t="s">
        <v>174</v>
      </c>
      <c r="H203" s="631" t="s">
        <v>174</v>
      </c>
      <c r="I203" s="123">
        <v>4</v>
      </c>
      <c r="J203" s="123">
        <v>2</v>
      </c>
      <c r="K203" s="123">
        <f t="shared" si="19"/>
        <v>8</v>
      </c>
      <c r="L203" s="631" t="s">
        <v>223</v>
      </c>
      <c r="M203" s="123" t="s">
        <v>168</v>
      </c>
      <c r="N203" s="675">
        <f>'Circular Potentials'!P72</f>
        <v>15000</v>
      </c>
      <c r="O203" s="676">
        <f>'Circular Potentials'!P79</f>
        <v>36000</v>
      </c>
      <c r="P203" s="124" t="str">
        <f t="shared" si="20"/>
        <v>n/a</v>
      </c>
      <c r="Q203" s="369" t="str">
        <f t="shared" si="21"/>
        <v>n/a</v>
      </c>
      <c r="R203" s="1110"/>
      <c r="S203" s="1221"/>
      <c r="T203" s="1043"/>
      <c r="U203" s="1110"/>
      <c r="V203" s="1110"/>
      <c r="W203" s="245"/>
    </row>
    <row r="204" spans="2:23" x14ac:dyDescent="0.25">
      <c r="B204" s="1058"/>
      <c r="C204" s="1061"/>
      <c r="D204" s="139" t="s">
        <v>163</v>
      </c>
      <c r="E204" s="122" t="s">
        <v>442</v>
      </c>
      <c r="F204" s="122" t="s">
        <v>443</v>
      </c>
      <c r="G204" s="631" t="s">
        <v>175</v>
      </c>
      <c r="H204" s="631" t="s">
        <v>174</v>
      </c>
      <c r="I204" s="123">
        <v>4</v>
      </c>
      <c r="J204" s="123">
        <v>2</v>
      </c>
      <c r="K204" s="123">
        <f t="shared" si="19"/>
        <v>8</v>
      </c>
      <c r="L204" s="631" t="s">
        <v>223</v>
      </c>
      <c r="M204" s="123" t="s">
        <v>168</v>
      </c>
      <c r="N204" s="675">
        <f>'Circular Potentials'!P87</f>
        <v>0</v>
      </c>
      <c r="O204" s="676">
        <f>'Circular Potentials'!P94</f>
        <v>0</v>
      </c>
      <c r="P204" s="124" t="str">
        <f t="shared" si="20"/>
        <v>n/a</v>
      </c>
      <c r="Q204" s="369" t="str">
        <f t="shared" si="21"/>
        <v>n/a</v>
      </c>
      <c r="R204" s="1110"/>
      <c r="S204" s="1221"/>
      <c r="T204" s="1043"/>
      <c r="U204" s="1110"/>
      <c r="V204" s="1110"/>
      <c r="W204" s="245"/>
    </row>
    <row r="205" spans="2:23" ht="24" x14ac:dyDescent="0.25">
      <c r="B205" s="1058"/>
      <c r="C205" s="1061"/>
      <c r="D205" s="139" t="s">
        <v>163</v>
      </c>
      <c r="E205" s="122" t="s">
        <v>444</v>
      </c>
      <c r="F205" s="122" t="s">
        <v>445</v>
      </c>
      <c r="G205" s="631" t="s">
        <v>175</v>
      </c>
      <c r="H205" s="631" t="s">
        <v>174</v>
      </c>
      <c r="I205" s="123">
        <v>5</v>
      </c>
      <c r="J205" s="123">
        <v>2</v>
      </c>
      <c r="K205" s="123">
        <f t="shared" si="19"/>
        <v>10</v>
      </c>
      <c r="L205" s="631" t="s">
        <v>223</v>
      </c>
      <c r="M205" s="123" t="s">
        <v>168</v>
      </c>
      <c r="N205" s="675">
        <f>'Circular Potentials'!P102</f>
        <v>0</v>
      </c>
      <c r="O205" s="676">
        <f>'Circular Potentials'!P109</f>
        <v>0</v>
      </c>
      <c r="P205" s="124" t="str">
        <f t="shared" si="20"/>
        <v>n/a</v>
      </c>
      <c r="Q205" s="369" t="str">
        <f t="shared" si="21"/>
        <v>n/a</v>
      </c>
      <c r="R205" s="1110"/>
      <c r="S205" s="1221"/>
      <c r="T205" s="1043"/>
      <c r="U205" s="1110"/>
      <c r="V205" s="1110"/>
      <c r="W205" s="245"/>
    </row>
    <row r="206" spans="2:23" ht="6.75" customHeight="1" x14ac:dyDescent="0.25">
      <c r="B206" s="1058"/>
      <c r="C206" s="1169"/>
      <c r="D206" s="246"/>
      <c r="E206" s="280"/>
      <c r="F206" s="247"/>
      <c r="G206" s="632"/>
      <c r="H206" s="632"/>
      <c r="I206" s="248"/>
      <c r="J206" s="248"/>
      <c r="K206" s="248"/>
      <c r="L206" s="632"/>
      <c r="M206" s="248"/>
      <c r="N206" s="693"/>
      <c r="O206" s="694"/>
      <c r="P206" s="249"/>
      <c r="Q206" s="370"/>
      <c r="R206" s="1119"/>
      <c r="S206" s="1222"/>
      <c r="T206" s="1044"/>
      <c r="U206" s="1119"/>
      <c r="V206" s="1119"/>
      <c r="W206" s="250"/>
    </row>
    <row r="207" spans="2:23" ht="24" x14ac:dyDescent="0.25">
      <c r="B207" s="1058"/>
      <c r="C207" s="1170" t="s">
        <v>131</v>
      </c>
      <c r="D207" s="240" t="s">
        <v>446</v>
      </c>
      <c r="E207" s="278" t="s">
        <v>447</v>
      </c>
      <c r="F207" s="278" t="s">
        <v>448</v>
      </c>
      <c r="G207" s="633" t="s">
        <v>174</v>
      </c>
      <c r="H207" s="633" t="s">
        <v>174</v>
      </c>
      <c r="I207" s="237">
        <v>1</v>
      </c>
      <c r="J207" s="237">
        <v>2</v>
      </c>
      <c r="K207" s="237">
        <f t="shared" si="19"/>
        <v>2</v>
      </c>
      <c r="L207" s="633" t="s">
        <v>174</v>
      </c>
      <c r="M207" s="237" t="s">
        <v>168</v>
      </c>
      <c r="N207" s="677">
        <f>'Smart Demo'!P12</f>
        <v>0</v>
      </c>
      <c r="O207" s="678">
        <f>'Smart Demo'!P19</f>
        <v>7000</v>
      </c>
      <c r="P207" s="238">
        <f t="shared" si="20"/>
        <v>0</v>
      </c>
      <c r="Q207" s="371">
        <f t="shared" si="21"/>
        <v>7000</v>
      </c>
      <c r="R207" s="1109">
        <f>SUMIF(H207:H214,"Yes",K207:K214)</f>
        <v>2</v>
      </c>
      <c r="S207" s="1223">
        <f>SUMIF(L207:L214,"Yes",K207:K214)</f>
        <v>2</v>
      </c>
      <c r="T207" s="1045">
        <f>SUM(S207)/SUM(R207)</f>
        <v>1</v>
      </c>
      <c r="U207" s="1120">
        <f>SUM(P207:P214)</f>
        <v>0</v>
      </c>
      <c r="V207" s="1120">
        <f>SUM(Q207:Q214)</f>
        <v>7000</v>
      </c>
      <c r="W207" s="239"/>
    </row>
    <row r="208" spans="2:23" x14ac:dyDescent="0.25">
      <c r="B208" s="1058"/>
      <c r="C208" s="1061"/>
      <c r="D208" s="139" t="s">
        <v>360</v>
      </c>
      <c r="E208" s="122" t="s">
        <v>449</v>
      </c>
      <c r="F208" s="122" t="s">
        <v>450</v>
      </c>
      <c r="G208" s="631" t="s">
        <v>174</v>
      </c>
      <c r="H208" s="631" t="s">
        <v>175</v>
      </c>
      <c r="I208" s="123">
        <v>1</v>
      </c>
      <c r="J208" s="123">
        <v>2</v>
      </c>
      <c r="K208" s="123">
        <f t="shared" si="19"/>
        <v>2</v>
      </c>
      <c r="L208" s="631" t="s">
        <v>167</v>
      </c>
      <c r="M208" s="123" t="s">
        <v>168</v>
      </c>
      <c r="N208" s="965">
        <f>'Smart Demo'!P27</f>
        <v>4000</v>
      </c>
      <c r="O208" s="966">
        <f>'Smart Demo'!P34</f>
        <v>15000</v>
      </c>
      <c r="P208" s="124" t="str">
        <f t="shared" si="20"/>
        <v>n/a</v>
      </c>
      <c r="Q208" s="369" t="str">
        <f t="shared" si="21"/>
        <v>n/a</v>
      </c>
      <c r="R208" s="1110"/>
      <c r="S208" s="1221"/>
      <c r="T208" s="1043"/>
      <c r="U208" s="1110"/>
      <c r="V208" s="1110"/>
      <c r="W208" s="125"/>
    </row>
    <row r="209" spans="2:23" ht="24" x14ac:dyDescent="0.25">
      <c r="B209" s="1058"/>
      <c r="C209" s="1061"/>
      <c r="D209" s="139" t="s">
        <v>360</v>
      </c>
      <c r="E209" s="122" t="s">
        <v>451</v>
      </c>
      <c r="F209" s="122" t="s">
        <v>452</v>
      </c>
      <c r="G209" s="631" t="s">
        <v>174</v>
      </c>
      <c r="H209" s="631" t="s">
        <v>175</v>
      </c>
      <c r="I209" s="123">
        <v>2</v>
      </c>
      <c r="J209" s="123">
        <v>2</v>
      </c>
      <c r="K209" s="123">
        <f t="shared" si="19"/>
        <v>4</v>
      </c>
      <c r="L209" s="631" t="s">
        <v>167</v>
      </c>
      <c r="M209" s="123" t="s">
        <v>168</v>
      </c>
      <c r="N209" s="965">
        <f>'Smart Demo'!P44</f>
        <v>7000</v>
      </c>
      <c r="O209" s="966">
        <f>'Smart Demo'!P51</f>
        <v>15000</v>
      </c>
      <c r="P209" s="124" t="str">
        <f t="shared" si="20"/>
        <v>n/a</v>
      </c>
      <c r="Q209" s="369" t="str">
        <f t="shared" si="21"/>
        <v>n/a</v>
      </c>
      <c r="R209" s="1110"/>
      <c r="S209" s="1221"/>
      <c r="T209" s="1043"/>
      <c r="U209" s="1110"/>
      <c r="V209" s="1110"/>
      <c r="W209" s="125"/>
    </row>
    <row r="210" spans="2:23" ht="24" x14ac:dyDescent="0.25">
      <c r="B210" s="1058"/>
      <c r="C210" s="1061"/>
      <c r="D210" s="139" t="s">
        <v>360</v>
      </c>
      <c r="E210" s="122" t="s">
        <v>451</v>
      </c>
      <c r="F210" s="737" t="s">
        <v>453</v>
      </c>
      <c r="G210" s="631" t="s">
        <v>174</v>
      </c>
      <c r="H210" s="631" t="s">
        <v>175</v>
      </c>
      <c r="I210" s="123">
        <v>3</v>
      </c>
      <c r="J210" s="123">
        <v>2</v>
      </c>
      <c r="K210" s="123">
        <f t="shared" si="19"/>
        <v>6</v>
      </c>
      <c r="L210" s="631" t="s">
        <v>167</v>
      </c>
      <c r="M210" s="123" t="s">
        <v>168</v>
      </c>
      <c r="N210" s="965">
        <f>'Smart Demo'!P61</f>
        <v>4000</v>
      </c>
      <c r="O210" s="966">
        <f>'Smart Demo'!P68</f>
        <v>-7000</v>
      </c>
      <c r="P210" s="124" t="str">
        <f t="shared" si="20"/>
        <v>n/a</v>
      </c>
      <c r="Q210" s="369" t="str">
        <f t="shared" si="21"/>
        <v>n/a</v>
      </c>
      <c r="R210" s="1110"/>
      <c r="S210" s="1221"/>
      <c r="T210" s="1043"/>
      <c r="U210" s="1110"/>
      <c r="V210" s="1110"/>
      <c r="W210" s="125"/>
    </row>
    <row r="211" spans="2:23" ht="36" x14ac:dyDescent="0.25">
      <c r="B211" s="1058"/>
      <c r="C211" s="1061"/>
      <c r="D211" s="139" t="s">
        <v>360</v>
      </c>
      <c r="E211" s="122" t="s">
        <v>451</v>
      </c>
      <c r="F211" s="738" t="s">
        <v>454</v>
      </c>
      <c r="G211" s="631" t="s">
        <v>174</v>
      </c>
      <c r="H211" s="631" t="s">
        <v>175</v>
      </c>
      <c r="I211" s="123">
        <v>4</v>
      </c>
      <c r="J211" s="123">
        <v>2</v>
      </c>
      <c r="K211" s="123">
        <f t="shared" si="19"/>
        <v>8</v>
      </c>
      <c r="L211" s="631" t="s">
        <v>167</v>
      </c>
      <c r="M211" s="123" t="s">
        <v>168</v>
      </c>
      <c r="N211" s="965">
        <f>'Smart Demo'!P76</f>
        <v>-4000</v>
      </c>
      <c r="O211" s="965">
        <f>'Smart Demo'!P83</f>
        <v>0</v>
      </c>
      <c r="P211" s="124" t="str">
        <f t="shared" si="20"/>
        <v>n/a</v>
      </c>
      <c r="Q211" s="369" t="str">
        <f t="shared" si="21"/>
        <v>n/a</v>
      </c>
      <c r="R211" s="1110"/>
      <c r="S211" s="1221"/>
      <c r="T211" s="1043"/>
      <c r="U211" s="1110"/>
      <c r="V211" s="1110"/>
      <c r="W211" s="125"/>
    </row>
    <row r="212" spans="2:23" ht="60" x14ac:dyDescent="0.25">
      <c r="B212" s="1058"/>
      <c r="C212" s="1061"/>
      <c r="D212" s="139" t="s">
        <v>360</v>
      </c>
      <c r="E212" s="122" t="s">
        <v>451</v>
      </c>
      <c r="F212" s="739" t="s">
        <v>455</v>
      </c>
      <c r="G212" s="631" t="s">
        <v>174</v>
      </c>
      <c r="H212" s="631" t="s">
        <v>175</v>
      </c>
      <c r="I212" s="123">
        <v>5</v>
      </c>
      <c r="J212" s="123">
        <v>5</v>
      </c>
      <c r="K212" s="123">
        <f t="shared" si="19"/>
        <v>25</v>
      </c>
      <c r="L212" s="631" t="s">
        <v>167</v>
      </c>
      <c r="M212" s="123" t="s">
        <v>168</v>
      </c>
      <c r="N212" s="965">
        <f>'Smart Demo'!P91</f>
        <v>0</v>
      </c>
      <c r="O212" s="965">
        <f>'Smart Demo'!P98</f>
        <v>0</v>
      </c>
      <c r="P212" s="124" t="str">
        <f t="shared" si="20"/>
        <v>n/a</v>
      </c>
      <c r="Q212" s="369" t="str">
        <f t="shared" si="21"/>
        <v>n/a</v>
      </c>
      <c r="R212" s="1110"/>
      <c r="S212" s="1221"/>
      <c r="T212" s="1043"/>
      <c r="U212" s="1110"/>
      <c r="V212" s="1110"/>
      <c r="W212" s="125"/>
    </row>
    <row r="213" spans="2:23" ht="121.5" customHeight="1" x14ac:dyDescent="0.25">
      <c r="B213" s="1058"/>
      <c r="C213" s="1061"/>
      <c r="D213" s="139" t="s">
        <v>456</v>
      </c>
      <c r="E213" s="122" t="s">
        <v>457</v>
      </c>
      <c r="F213" s="122" t="s">
        <v>458</v>
      </c>
      <c r="G213" s="631" t="s">
        <v>174</v>
      </c>
      <c r="H213" s="631" t="s">
        <v>175</v>
      </c>
      <c r="I213" s="123">
        <v>5</v>
      </c>
      <c r="J213" s="123">
        <v>4</v>
      </c>
      <c r="K213" s="123">
        <f t="shared" si="19"/>
        <v>20</v>
      </c>
      <c r="L213" s="631" t="s">
        <v>167</v>
      </c>
      <c r="M213" s="123" t="s">
        <v>168</v>
      </c>
      <c r="N213" s="965">
        <f>'Smart Demo'!P121</f>
        <v>7000</v>
      </c>
      <c r="O213" s="966">
        <f>'Smart Demo'!P128</f>
        <v>36000</v>
      </c>
      <c r="P213" s="124" t="str">
        <f t="shared" si="20"/>
        <v>n/a</v>
      </c>
      <c r="Q213" s="369" t="str">
        <f t="shared" si="21"/>
        <v>n/a</v>
      </c>
      <c r="R213" s="1110"/>
      <c r="S213" s="1221"/>
      <c r="T213" s="1043"/>
      <c r="U213" s="1110"/>
      <c r="V213" s="1110"/>
      <c r="W213" s="125"/>
    </row>
    <row r="214" spans="2:23" ht="6.75" customHeight="1" x14ac:dyDescent="0.25">
      <c r="B214" s="1058"/>
      <c r="C214" s="1171"/>
      <c r="D214" s="251"/>
      <c r="E214" s="279"/>
      <c r="F214" s="279"/>
      <c r="G214" s="634"/>
      <c r="H214" s="634"/>
      <c r="I214" s="252"/>
      <c r="J214" s="252"/>
      <c r="K214" s="252"/>
      <c r="L214" s="634"/>
      <c r="M214" s="252"/>
      <c r="N214" s="153"/>
      <c r="O214" s="346"/>
      <c r="P214" s="253" t="str">
        <f t="shared" si="20"/>
        <v>n/a</v>
      </c>
      <c r="Q214" s="372" t="str">
        <f t="shared" si="21"/>
        <v>n/a</v>
      </c>
      <c r="R214" s="1111"/>
      <c r="S214" s="1222"/>
      <c r="T214" s="1046"/>
      <c r="U214" s="1111"/>
      <c r="V214" s="1111"/>
      <c r="W214" s="254"/>
    </row>
    <row r="215" spans="2:23" ht="24" x14ac:dyDescent="0.25">
      <c r="B215" s="1058"/>
      <c r="C215" s="1060" t="s">
        <v>132</v>
      </c>
      <c r="D215" s="258" t="s">
        <v>352</v>
      </c>
      <c r="E215" s="241" t="s">
        <v>459</v>
      </c>
      <c r="F215" s="241" t="s">
        <v>460</v>
      </c>
      <c r="G215" s="635" t="s">
        <v>174</v>
      </c>
      <c r="H215" s="635" t="s">
        <v>174</v>
      </c>
      <c r="I215" s="242">
        <v>2</v>
      </c>
      <c r="J215" s="242">
        <v>2</v>
      </c>
      <c r="K215" s="242">
        <f t="shared" si="19"/>
        <v>4</v>
      </c>
      <c r="L215" s="635" t="s">
        <v>174</v>
      </c>
      <c r="M215" s="242" t="s">
        <v>168</v>
      </c>
      <c r="N215" s="969">
        <f>'Hazardous Materials'!P12</f>
        <v>4000</v>
      </c>
      <c r="O215" s="970">
        <f>'Hazardous Materials'!P19</f>
        <v>15000</v>
      </c>
      <c r="P215" s="243">
        <f t="shared" si="20"/>
        <v>4000</v>
      </c>
      <c r="Q215" s="373">
        <f t="shared" si="21"/>
        <v>15000</v>
      </c>
      <c r="R215" s="1112">
        <f>SUMIF(H215:H219,"Yes",K215:K219)</f>
        <v>28</v>
      </c>
      <c r="S215" s="1223">
        <f>SUMIF(L215:L219,"Yes",K215:K219)</f>
        <v>4</v>
      </c>
      <c r="T215" s="1115">
        <f>SUM(S215)/SUM(R215)</f>
        <v>0.14285714285714285</v>
      </c>
      <c r="U215" s="1121">
        <f>SUM(P215:P219)</f>
        <v>4000</v>
      </c>
      <c r="V215" s="1121">
        <f>SUM(Q215:Q219)</f>
        <v>15000</v>
      </c>
      <c r="W215" s="244"/>
    </row>
    <row r="216" spans="2:23" ht="29.25" customHeight="1" x14ac:dyDescent="0.25">
      <c r="B216" s="1058"/>
      <c r="C216" s="1061"/>
      <c r="D216" s="139" t="s">
        <v>352</v>
      </c>
      <c r="E216" s="122" t="s">
        <v>461</v>
      </c>
      <c r="F216" s="122" t="s">
        <v>462</v>
      </c>
      <c r="G216" s="631" t="s">
        <v>174</v>
      </c>
      <c r="H216" s="631" t="s">
        <v>174</v>
      </c>
      <c r="I216" s="123">
        <v>3</v>
      </c>
      <c r="J216" s="123">
        <v>2</v>
      </c>
      <c r="K216" s="123">
        <f t="shared" si="19"/>
        <v>6</v>
      </c>
      <c r="L216" s="631" t="s">
        <v>223</v>
      </c>
      <c r="M216" s="123" t="s">
        <v>168</v>
      </c>
      <c r="N216" s="117">
        <f>'Hazardous Materials'!P27</f>
        <v>15000</v>
      </c>
      <c r="O216" s="357">
        <f>'Hazardous Materials'!P34</f>
        <v>885000</v>
      </c>
      <c r="P216" s="124" t="str">
        <f t="shared" si="20"/>
        <v>n/a</v>
      </c>
      <c r="Q216" s="369" t="str">
        <f t="shared" si="21"/>
        <v>n/a</v>
      </c>
      <c r="R216" s="1110"/>
      <c r="S216" s="1221"/>
      <c r="T216" s="1043"/>
      <c r="U216" s="1110"/>
      <c r="V216" s="1110"/>
      <c r="W216" s="245"/>
    </row>
    <row r="217" spans="2:23" ht="24" x14ac:dyDescent="0.25">
      <c r="B217" s="1058"/>
      <c r="C217" s="1061"/>
      <c r="D217" s="139" t="s">
        <v>352</v>
      </c>
      <c r="E217" s="122" t="s">
        <v>461</v>
      </c>
      <c r="F217" s="737" t="s">
        <v>463</v>
      </c>
      <c r="G217" s="631" t="s">
        <v>174</v>
      </c>
      <c r="H217" s="631" t="s">
        <v>174</v>
      </c>
      <c r="I217" s="123">
        <v>4</v>
      </c>
      <c r="J217" s="123">
        <v>2</v>
      </c>
      <c r="K217" s="123">
        <f t="shared" si="19"/>
        <v>8</v>
      </c>
      <c r="L217" s="631" t="s">
        <v>223</v>
      </c>
      <c r="M217" s="123" t="s">
        <v>168</v>
      </c>
      <c r="N217" s="117">
        <f>'Hazardous Materials'!P42</f>
        <v>22000</v>
      </c>
      <c r="O217" s="357">
        <f>'Hazardous Materials'!P49</f>
        <v>1734000</v>
      </c>
      <c r="P217" s="124" t="str">
        <f t="shared" si="20"/>
        <v>n/a</v>
      </c>
      <c r="Q217" s="369" t="str">
        <f t="shared" si="21"/>
        <v>n/a</v>
      </c>
      <c r="R217" s="1110"/>
      <c r="S217" s="1221"/>
      <c r="T217" s="1043"/>
      <c r="U217" s="1110"/>
      <c r="V217" s="1110"/>
      <c r="W217" s="245"/>
    </row>
    <row r="218" spans="2:23" ht="48" x14ac:dyDescent="0.25">
      <c r="B218" s="1058"/>
      <c r="C218" s="1061"/>
      <c r="D218" s="139" t="s">
        <v>352</v>
      </c>
      <c r="E218" s="122" t="s">
        <v>464</v>
      </c>
      <c r="F218" s="122" t="s">
        <v>465</v>
      </c>
      <c r="G218" s="631" t="s">
        <v>174</v>
      </c>
      <c r="H218" s="631" t="s">
        <v>174</v>
      </c>
      <c r="I218" s="123">
        <v>5</v>
      </c>
      <c r="J218" s="123">
        <v>2</v>
      </c>
      <c r="K218" s="123">
        <f t="shared" si="19"/>
        <v>10</v>
      </c>
      <c r="L218" s="631" t="s">
        <v>223</v>
      </c>
      <c r="M218" s="123" t="s">
        <v>168</v>
      </c>
      <c r="N218" s="675">
        <f>'Hazardous Materials'!P57</f>
        <v>0</v>
      </c>
      <c r="O218" s="676">
        <f>'Hazardous Materials'!P64</f>
        <v>0</v>
      </c>
      <c r="P218" s="124" t="str">
        <f t="shared" si="20"/>
        <v>n/a</v>
      </c>
      <c r="Q218" s="369" t="str">
        <f t="shared" si="21"/>
        <v>n/a</v>
      </c>
      <c r="R218" s="1110"/>
      <c r="S218" s="1221"/>
      <c r="T218" s="1043"/>
      <c r="U218" s="1110"/>
      <c r="V218" s="1110"/>
      <c r="W218" s="245"/>
    </row>
    <row r="219" spans="2:23" ht="6.75" customHeight="1" x14ac:dyDescent="0.25">
      <c r="B219" s="1059"/>
      <c r="C219" s="1062"/>
      <c r="D219" s="314"/>
      <c r="E219" s="315"/>
      <c r="F219" s="315"/>
      <c r="G219" s="636"/>
      <c r="H219" s="636"/>
      <c r="I219" s="316"/>
      <c r="J219" s="316"/>
      <c r="K219" s="316"/>
      <c r="L219" s="636"/>
      <c r="M219" s="316"/>
      <c r="N219" s="740"/>
      <c r="O219" s="741"/>
      <c r="P219" s="317" t="str">
        <f t="shared" si="20"/>
        <v>n/a</v>
      </c>
      <c r="Q219" s="374" t="str">
        <f t="shared" si="21"/>
        <v>n/a</v>
      </c>
      <c r="R219" s="1113"/>
      <c r="S219" s="1224"/>
      <c r="T219" s="1116"/>
      <c r="U219" s="1113"/>
      <c r="V219" s="1113"/>
      <c r="W219" s="318"/>
    </row>
    <row r="220" spans="2:23" ht="24" x14ac:dyDescent="0.25">
      <c r="B220" s="1074" t="s">
        <v>466</v>
      </c>
      <c r="C220" s="1063" t="s">
        <v>467</v>
      </c>
      <c r="D220" s="255" t="s">
        <v>360</v>
      </c>
      <c r="E220" s="273" t="s">
        <v>468</v>
      </c>
      <c r="F220" s="273" t="s">
        <v>469</v>
      </c>
      <c r="G220" s="637" t="s">
        <v>174</v>
      </c>
      <c r="H220" s="637" t="s">
        <v>174</v>
      </c>
      <c r="I220" s="256">
        <v>2</v>
      </c>
      <c r="J220" s="256">
        <v>2</v>
      </c>
      <c r="K220" s="256">
        <f t="shared" si="19"/>
        <v>4</v>
      </c>
      <c r="L220" s="637" t="s">
        <v>174</v>
      </c>
      <c r="M220" s="157" t="s">
        <v>168</v>
      </c>
      <c r="N220" s="967">
        <f>'Climate Change'!P7</f>
        <v>4000</v>
      </c>
      <c r="O220" s="968">
        <f>'Climate Change'!P10</f>
        <v>7000</v>
      </c>
      <c r="P220" s="158">
        <f t="shared" si="20"/>
        <v>4000</v>
      </c>
      <c r="Q220" s="349">
        <f t="shared" si="21"/>
        <v>7000</v>
      </c>
      <c r="R220" s="1106">
        <f>SUMIF(H220:H223,"Yes",K220:K223)</f>
        <v>10</v>
      </c>
      <c r="S220" s="1225">
        <f>SUMIF(L220:L223,"Yes",K220:K223)</f>
        <v>18</v>
      </c>
      <c r="T220" s="1123">
        <f>SUM(S220)/SUM(R220)</f>
        <v>1.8</v>
      </c>
      <c r="U220" s="1122">
        <f>SUM(P220:P223)</f>
        <v>15000</v>
      </c>
      <c r="V220" s="1122">
        <f>SUM(Q220:Q223)</f>
        <v>22000</v>
      </c>
      <c r="W220" s="257"/>
    </row>
    <row r="221" spans="2:23" ht="36" x14ac:dyDescent="0.25">
      <c r="B221" s="1074"/>
      <c r="C221" s="1064"/>
      <c r="D221" s="140" t="s">
        <v>360</v>
      </c>
      <c r="E221" s="274" t="s">
        <v>468</v>
      </c>
      <c r="F221" s="729" t="s">
        <v>470</v>
      </c>
      <c r="G221" s="638" t="s">
        <v>174</v>
      </c>
      <c r="H221" s="638" t="s">
        <v>174</v>
      </c>
      <c r="I221" s="127">
        <v>3</v>
      </c>
      <c r="J221" s="127">
        <v>2</v>
      </c>
      <c r="K221" s="127">
        <f t="shared" si="19"/>
        <v>6</v>
      </c>
      <c r="L221" s="638" t="s">
        <v>174</v>
      </c>
      <c r="M221" s="100" t="s">
        <v>168</v>
      </c>
      <c r="N221" s="965">
        <f>'Climate Change'!P14</f>
        <v>0</v>
      </c>
      <c r="O221" s="966">
        <f>'Climate Change'!P18</f>
        <v>0</v>
      </c>
      <c r="P221" s="101">
        <f t="shared" si="20"/>
        <v>0</v>
      </c>
      <c r="Q221" s="345">
        <f t="shared" si="21"/>
        <v>0</v>
      </c>
      <c r="R221" s="1107"/>
      <c r="S221" s="1159"/>
      <c r="T221" s="1124"/>
      <c r="U221" s="1107"/>
      <c r="V221" s="1107"/>
      <c r="W221" s="128"/>
    </row>
    <row r="222" spans="2:23" ht="72" x14ac:dyDescent="0.25">
      <c r="B222" s="1074"/>
      <c r="C222" s="1064"/>
      <c r="D222" s="140" t="s">
        <v>360</v>
      </c>
      <c r="E222" s="274" t="s">
        <v>468</v>
      </c>
      <c r="F222" s="730" t="s">
        <v>471</v>
      </c>
      <c r="G222" s="638" t="s">
        <v>174</v>
      </c>
      <c r="H222" s="638" t="s">
        <v>175</v>
      </c>
      <c r="I222" s="127">
        <v>4</v>
      </c>
      <c r="J222" s="127">
        <v>2</v>
      </c>
      <c r="K222" s="127">
        <f t="shared" si="19"/>
        <v>8</v>
      </c>
      <c r="L222" s="638" t="s">
        <v>174</v>
      </c>
      <c r="M222" s="100" t="s">
        <v>168</v>
      </c>
      <c r="N222" s="965">
        <f>'Climate Change'!P22</f>
        <v>11000</v>
      </c>
      <c r="O222" s="966">
        <f>'Climate Change'!P26</f>
        <v>15000</v>
      </c>
      <c r="P222" s="101">
        <f t="shared" si="20"/>
        <v>11000</v>
      </c>
      <c r="Q222" s="345">
        <f t="shared" si="21"/>
        <v>15000</v>
      </c>
      <c r="R222" s="1107"/>
      <c r="S222" s="1159"/>
      <c r="T222" s="1124"/>
      <c r="U222" s="1107"/>
      <c r="V222" s="1107"/>
      <c r="W222" s="128"/>
    </row>
    <row r="223" spans="2:23" ht="6.75" customHeight="1" x14ac:dyDescent="0.25">
      <c r="B223" s="1074"/>
      <c r="C223" s="1065"/>
      <c r="D223" s="259"/>
      <c r="E223" s="275"/>
      <c r="F223" s="276"/>
      <c r="G223" s="639"/>
      <c r="H223" s="639"/>
      <c r="I223" s="260"/>
      <c r="J223" s="260"/>
      <c r="K223" s="260"/>
      <c r="L223" s="639"/>
      <c r="M223" s="152"/>
      <c r="N223" s="153"/>
      <c r="O223" s="346"/>
      <c r="P223" s="153"/>
      <c r="Q223" s="346" t="str">
        <f t="shared" si="21"/>
        <v>n/a</v>
      </c>
      <c r="R223" s="1108"/>
      <c r="S223" s="1226"/>
      <c r="T223" s="1125"/>
      <c r="U223" s="1108"/>
      <c r="V223" s="1108"/>
      <c r="W223" s="261"/>
    </row>
    <row r="224" spans="2:23" ht="24" x14ac:dyDescent="0.25">
      <c r="B224" s="1074"/>
      <c r="C224" s="1066" t="s">
        <v>135</v>
      </c>
      <c r="D224" s="281" t="s">
        <v>360</v>
      </c>
      <c r="E224" s="277" t="s">
        <v>472</v>
      </c>
      <c r="F224" s="277" t="s">
        <v>473</v>
      </c>
      <c r="G224" s="640" t="s">
        <v>174</v>
      </c>
      <c r="H224" s="640" t="s">
        <v>174</v>
      </c>
      <c r="I224" s="262">
        <v>2</v>
      </c>
      <c r="J224" s="262">
        <v>4</v>
      </c>
      <c r="K224" s="262">
        <f t="shared" si="19"/>
        <v>8</v>
      </c>
      <c r="L224" s="640" t="s">
        <v>174</v>
      </c>
      <c r="M224" s="161" t="s">
        <v>168</v>
      </c>
      <c r="N224" s="969">
        <f>'Physical Security'!P7</f>
        <v>11000</v>
      </c>
      <c r="O224" s="970">
        <f>'Physical Security'!P10</f>
        <v>18000</v>
      </c>
      <c r="P224" s="163">
        <f t="shared" si="20"/>
        <v>11000</v>
      </c>
      <c r="Q224" s="347">
        <f t="shared" si="21"/>
        <v>18000</v>
      </c>
      <c r="R224" s="1158">
        <f>SUMIF(H224:H231,"Yes",K224:K231)</f>
        <v>87</v>
      </c>
      <c r="S224" s="1158">
        <f>SUMIF(L224:L231,"Yes",K224:K231)</f>
        <v>50</v>
      </c>
      <c r="T224" s="1139">
        <f>SUM(S224)/SUM(R224)</f>
        <v>0.57471264367816088</v>
      </c>
      <c r="U224" s="1160">
        <f>SUM(P224:P231)</f>
        <v>29000</v>
      </c>
      <c r="V224" s="1160">
        <f>SUM(Q224:Q231)</f>
        <v>55000</v>
      </c>
      <c r="W224" s="263"/>
    </row>
    <row r="225" spans="2:23" ht="24" x14ac:dyDescent="0.25">
      <c r="B225" s="1074"/>
      <c r="C225" s="1067"/>
      <c r="D225" s="255" t="s">
        <v>360</v>
      </c>
      <c r="E225" s="273" t="s">
        <v>472</v>
      </c>
      <c r="F225" s="731" t="s">
        <v>474</v>
      </c>
      <c r="G225" s="637" t="s">
        <v>174</v>
      </c>
      <c r="H225" s="637" t="s">
        <v>174</v>
      </c>
      <c r="I225" s="256">
        <v>4</v>
      </c>
      <c r="J225" s="256">
        <v>4</v>
      </c>
      <c r="K225" s="256">
        <f t="shared" si="19"/>
        <v>16</v>
      </c>
      <c r="L225" s="637" t="s">
        <v>174</v>
      </c>
      <c r="M225" s="157" t="s">
        <v>168</v>
      </c>
      <c r="N225" s="967">
        <f>'Physical Security'!P15</f>
        <v>-4000</v>
      </c>
      <c r="O225" s="968">
        <f>'Physical Security'!P19</f>
        <v>-7000</v>
      </c>
      <c r="P225" s="158">
        <f t="shared" si="20"/>
        <v>-4000</v>
      </c>
      <c r="Q225" s="349">
        <f t="shared" si="21"/>
        <v>-7000</v>
      </c>
      <c r="R225" s="1159"/>
      <c r="S225" s="1159"/>
      <c r="T225" s="1140"/>
      <c r="U225" s="1161"/>
      <c r="V225" s="1161"/>
      <c r="W225" s="265"/>
    </row>
    <row r="226" spans="2:23" ht="43.7" customHeight="1" x14ac:dyDescent="0.25">
      <c r="B226" s="1074"/>
      <c r="C226" s="1067"/>
      <c r="D226" s="255" t="s">
        <v>360</v>
      </c>
      <c r="E226" s="273" t="s">
        <v>472</v>
      </c>
      <c r="F226" s="732" t="s">
        <v>475</v>
      </c>
      <c r="G226" s="637" t="s">
        <v>174</v>
      </c>
      <c r="H226" s="637" t="s">
        <v>174</v>
      </c>
      <c r="I226" s="256">
        <v>5</v>
      </c>
      <c r="J226" s="256">
        <v>4</v>
      </c>
      <c r="K226" s="256">
        <f t="shared" si="19"/>
        <v>20</v>
      </c>
      <c r="L226" s="637" t="s">
        <v>174</v>
      </c>
      <c r="M226" s="157" t="s">
        <v>168</v>
      </c>
      <c r="N226" s="967">
        <f>'Physical Security'!P24</f>
        <v>0</v>
      </c>
      <c r="O226" s="967">
        <f>'Physical Security'!P28</f>
        <v>0</v>
      </c>
      <c r="P226" s="158">
        <f t="shared" si="20"/>
        <v>0</v>
      </c>
      <c r="Q226" s="349">
        <f t="shared" si="21"/>
        <v>0</v>
      </c>
      <c r="R226" s="1159"/>
      <c r="S226" s="1159"/>
      <c r="T226" s="1140"/>
      <c r="U226" s="1161"/>
      <c r="V226" s="1161"/>
      <c r="W226" s="265"/>
    </row>
    <row r="227" spans="2:23" ht="26.25" customHeight="1" x14ac:dyDescent="0.25">
      <c r="B227" s="1074"/>
      <c r="C227" s="1067"/>
      <c r="D227" s="140" t="s">
        <v>163</v>
      </c>
      <c r="E227" s="274" t="s">
        <v>476</v>
      </c>
      <c r="F227" s="273" t="s">
        <v>477</v>
      </c>
      <c r="G227" s="637" t="s">
        <v>174</v>
      </c>
      <c r="H227" s="637" t="s">
        <v>174</v>
      </c>
      <c r="I227" s="127">
        <v>2</v>
      </c>
      <c r="J227" s="127">
        <v>5</v>
      </c>
      <c r="K227" s="127">
        <f t="shared" si="19"/>
        <v>10</v>
      </c>
      <c r="L227" s="637" t="s">
        <v>223</v>
      </c>
      <c r="M227" s="127" t="s">
        <v>168</v>
      </c>
      <c r="N227" s="101" t="str">
        <f>'Physical Security'!P31</f>
        <v>n/a</v>
      </c>
      <c r="O227" s="345" t="str">
        <f>'Physical Security'!P34</f>
        <v>n/a</v>
      </c>
      <c r="P227" s="129" t="str">
        <f t="shared" si="20"/>
        <v>n/a</v>
      </c>
      <c r="Q227" s="375" t="str">
        <f t="shared" si="21"/>
        <v>n/a</v>
      </c>
      <c r="R227" s="1159"/>
      <c r="S227" s="1159"/>
      <c r="T227" s="1140"/>
      <c r="U227" s="1161"/>
      <c r="V227" s="1161"/>
      <c r="W227" s="264"/>
    </row>
    <row r="228" spans="2:23" ht="24" x14ac:dyDescent="0.25">
      <c r="B228" s="1074"/>
      <c r="C228" s="1067"/>
      <c r="D228" s="140" t="s">
        <v>163</v>
      </c>
      <c r="E228" s="274" t="s">
        <v>476</v>
      </c>
      <c r="F228" s="731" t="s">
        <v>478</v>
      </c>
      <c r="G228" s="637" t="s">
        <v>174</v>
      </c>
      <c r="H228" s="637" t="s">
        <v>174</v>
      </c>
      <c r="I228" s="127">
        <v>3</v>
      </c>
      <c r="J228" s="127">
        <v>4</v>
      </c>
      <c r="K228" s="127">
        <f t="shared" si="19"/>
        <v>12</v>
      </c>
      <c r="L228" s="637" t="s">
        <v>223</v>
      </c>
      <c r="M228" s="127" t="s">
        <v>168</v>
      </c>
      <c r="N228" s="101" t="str">
        <f>'Physical Security'!P38</f>
        <v>n/a</v>
      </c>
      <c r="O228" s="345" t="str">
        <f>'Physical Security'!P42</f>
        <v>n/a</v>
      </c>
      <c r="P228" s="129" t="str">
        <f t="shared" si="20"/>
        <v>n/a</v>
      </c>
      <c r="Q228" s="375" t="str">
        <f t="shared" si="21"/>
        <v>n/a</v>
      </c>
      <c r="R228" s="1159"/>
      <c r="S228" s="1159"/>
      <c r="T228" s="1140"/>
      <c r="U228" s="1161"/>
      <c r="V228" s="1161"/>
      <c r="W228" s="264"/>
    </row>
    <row r="229" spans="2:23" x14ac:dyDescent="0.25">
      <c r="B229" s="1074"/>
      <c r="C229" s="1067"/>
      <c r="D229" s="140" t="s">
        <v>163</v>
      </c>
      <c r="E229" s="274" t="s">
        <v>479</v>
      </c>
      <c r="F229" s="273" t="s">
        <v>480</v>
      </c>
      <c r="G229" s="637" t="s">
        <v>174</v>
      </c>
      <c r="H229" s="637" t="s">
        <v>174</v>
      </c>
      <c r="I229" s="127">
        <v>2</v>
      </c>
      <c r="J229" s="127">
        <v>3</v>
      </c>
      <c r="K229" s="127">
        <f t="shared" si="19"/>
        <v>6</v>
      </c>
      <c r="L229" s="637" t="s">
        <v>174</v>
      </c>
      <c r="M229" s="100" t="s">
        <v>168</v>
      </c>
      <c r="N229" s="965">
        <f>'Physical Security'!P45</f>
        <v>22000</v>
      </c>
      <c r="O229" s="966">
        <f>'Physical Security'!P48</f>
        <v>44000</v>
      </c>
      <c r="P229" s="101">
        <f t="shared" si="20"/>
        <v>22000</v>
      </c>
      <c r="Q229" s="345">
        <f t="shared" si="21"/>
        <v>44000</v>
      </c>
      <c r="R229" s="1159"/>
      <c r="S229" s="1159"/>
      <c r="T229" s="1140"/>
      <c r="U229" s="1161"/>
      <c r="V229" s="1161"/>
      <c r="W229" s="264"/>
    </row>
    <row r="230" spans="2:23" ht="24" x14ac:dyDescent="0.25">
      <c r="B230" s="1074"/>
      <c r="C230" s="1067"/>
      <c r="D230" s="140" t="s">
        <v>163</v>
      </c>
      <c r="E230" s="274" t="s">
        <v>479</v>
      </c>
      <c r="F230" s="729" t="s">
        <v>481</v>
      </c>
      <c r="G230" s="638" t="s">
        <v>174</v>
      </c>
      <c r="H230" s="638" t="s">
        <v>174</v>
      </c>
      <c r="I230" s="127">
        <v>3</v>
      </c>
      <c r="J230" s="127">
        <v>5</v>
      </c>
      <c r="K230" s="127">
        <f t="shared" si="19"/>
        <v>15</v>
      </c>
      <c r="L230" s="638" t="s">
        <v>223</v>
      </c>
      <c r="M230" s="100" t="s">
        <v>168</v>
      </c>
      <c r="N230" s="965">
        <f>'Physical Security'!P53</f>
        <v>29000</v>
      </c>
      <c r="O230" s="966"/>
      <c r="P230" s="101" t="str">
        <f t="shared" si="20"/>
        <v>n/a</v>
      </c>
      <c r="Q230" s="345" t="str">
        <f t="shared" si="21"/>
        <v>n/a</v>
      </c>
      <c r="R230" s="1159"/>
      <c r="S230" s="1159"/>
      <c r="T230" s="1140"/>
      <c r="U230" s="1161"/>
      <c r="V230" s="1161"/>
      <c r="W230" s="264"/>
    </row>
    <row r="231" spans="2:23" ht="6.75" customHeight="1" x14ac:dyDescent="0.25">
      <c r="B231" s="1074"/>
      <c r="C231" s="1067"/>
      <c r="D231" s="293"/>
      <c r="E231" s="276"/>
      <c r="F231" s="276"/>
      <c r="G231" s="639"/>
      <c r="H231" s="639"/>
      <c r="I231" s="260"/>
      <c r="J231" s="260"/>
      <c r="K231" s="260"/>
      <c r="L231" s="639"/>
      <c r="M231" s="152"/>
      <c r="N231" s="153"/>
      <c r="O231" s="346"/>
      <c r="P231" s="153" t="str">
        <f t="shared" si="20"/>
        <v>n/a</v>
      </c>
      <c r="Q231" s="346" t="str">
        <f t="shared" si="21"/>
        <v>n/a</v>
      </c>
      <c r="R231" s="1159"/>
      <c r="S231" s="1227"/>
      <c r="T231" s="1140"/>
      <c r="U231" s="1161"/>
      <c r="V231" s="1161"/>
      <c r="W231" s="294"/>
    </row>
    <row r="232" spans="2:23" ht="36" x14ac:dyDescent="0.25">
      <c r="B232" s="1031" t="s">
        <v>482</v>
      </c>
      <c r="C232" s="1050" t="s">
        <v>483</v>
      </c>
      <c r="D232" s="300" t="s">
        <v>484</v>
      </c>
      <c r="E232" s="301" t="s">
        <v>485</v>
      </c>
      <c r="F232" s="301" t="s">
        <v>486</v>
      </c>
      <c r="G232" s="641" t="s">
        <v>174</v>
      </c>
      <c r="H232" s="641" t="s">
        <v>174</v>
      </c>
      <c r="I232" s="302">
        <v>2</v>
      </c>
      <c r="J232" s="302">
        <v>2</v>
      </c>
      <c r="K232" s="302">
        <f t="shared" si="19"/>
        <v>4</v>
      </c>
      <c r="L232" s="641" t="s">
        <v>174</v>
      </c>
      <c r="M232" s="302" t="s">
        <v>168</v>
      </c>
      <c r="N232" s="928">
        <f>'Value &amp; Cost'!P12</f>
        <v>0</v>
      </c>
      <c r="O232" s="929">
        <f>'Value &amp; Cost'!P19</f>
        <v>0</v>
      </c>
      <c r="P232" s="376">
        <f t="shared" si="20"/>
        <v>0</v>
      </c>
      <c r="Q232" s="377">
        <f t="shared" si="21"/>
        <v>0</v>
      </c>
      <c r="R232" s="1136">
        <f>SUMIF(H232:H236,"Yes",K232:K236)</f>
        <v>28</v>
      </c>
      <c r="S232" s="1136">
        <f>SUMIF(L232:L236,"Yes",K232:K236)</f>
        <v>12</v>
      </c>
      <c r="T232" s="1079">
        <f>SUM(S232)/SUM(R232)</f>
        <v>0.42857142857142855</v>
      </c>
      <c r="U232" s="1162">
        <f>SUM(P232:P236)</f>
        <v>15000</v>
      </c>
      <c r="V232" s="1162">
        <f>SUM(Q232:Q236)</f>
        <v>36000</v>
      </c>
      <c r="W232" s="303"/>
    </row>
    <row r="233" spans="2:23" ht="54.6" customHeight="1" x14ac:dyDescent="0.25">
      <c r="B233" s="1032"/>
      <c r="C233" s="1051"/>
      <c r="D233" s="141" t="s">
        <v>487</v>
      </c>
      <c r="E233" s="126" t="s">
        <v>488</v>
      </c>
      <c r="F233" s="126" t="s">
        <v>489</v>
      </c>
      <c r="G233" s="642" t="s">
        <v>174</v>
      </c>
      <c r="H233" s="642" t="s">
        <v>174</v>
      </c>
      <c r="I233" s="130">
        <v>3</v>
      </c>
      <c r="J233" s="130">
        <v>2</v>
      </c>
      <c r="K233" s="130">
        <f t="shared" si="19"/>
        <v>6</v>
      </c>
      <c r="L233" s="642" t="s">
        <v>223</v>
      </c>
      <c r="M233" s="130" t="s">
        <v>168</v>
      </c>
      <c r="N233" s="972">
        <f>'Value &amp; Cost'!P27</f>
        <v>0</v>
      </c>
      <c r="O233" s="973">
        <f>'Value &amp; Cost'!P34</f>
        <v>1453000</v>
      </c>
      <c r="P233" s="378" t="str">
        <f t="shared" si="20"/>
        <v>n/a</v>
      </c>
      <c r="Q233" s="379" t="str">
        <f t="shared" si="21"/>
        <v>n/a</v>
      </c>
      <c r="R233" s="1137"/>
      <c r="S233" s="1137"/>
      <c r="T233" s="1080"/>
      <c r="U233" s="1163"/>
      <c r="V233" s="1163"/>
      <c r="W233" s="131"/>
    </row>
    <row r="234" spans="2:23" ht="48" x14ac:dyDescent="0.25">
      <c r="B234" s="1032"/>
      <c r="C234" s="1051"/>
      <c r="D234" s="141" t="s">
        <v>355</v>
      </c>
      <c r="E234" s="126" t="s">
        <v>490</v>
      </c>
      <c r="F234" s="126" t="s">
        <v>491</v>
      </c>
      <c r="G234" s="642" t="s">
        <v>174</v>
      </c>
      <c r="H234" s="642" t="s">
        <v>174</v>
      </c>
      <c r="I234" s="130">
        <v>4</v>
      </c>
      <c r="J234" s="130">
        <v>2</v>
      </c>
      <c r="K234" s="130">
        <f t="shared" ref="K234:K241" si="22">(I234*J234)</f>
        <v>8</v>
      </c>
      <c r="L234" s="642" t="s">
        <v>174</v>
      </c>
      <c r="M234" s="130" t="s">
        <v>168</v>
      </c>
      <c r="N234" s="972">
        <f>'Value &amp; Cost'!P37</f>
        <v>15000</v>
      </c>
      <c r="O234" s="973">
        <f>'Value &amp; Cost'!P40</f>
        <v>36000</v>
      </c>
      <c r="P234" s="378">
        <f t="shared" si="20"/>
        <v>15000</v>
      </c>
      <c r="Q234" s="379">
        <f t="shared" si="21"/>
        <v>36000</v>
      </c>
      <c r="R234" s="1137"/>
      <c r="S234" s="1137"/>
      <c r="T234" s="1080"/>
      <c r="U234" s="1163"/>
      <c r="V234" s="1163"/>
      <c r="W234" s="131" t="s">
        <v>492</v>
      </c>
    </row>
    <row r="235" spans="2:23" ht="48" x14ac:dyDescent="0.25">
      <c r="B235" s="1032"/>
      <c r="C235" s="1051"/>
      <c r="D235" s="141" t="s">
        <v>355</v>
      </c>
      <c r="E235" s="126" t="s">
        <v>490</v>
      </c>
      <c r="F235" s="971" t="s">
        <v>493</v>
      </c>
      <c r="G235" s="642" t="s">
        <v>174</v>
      </c>
      <c r="H235" s="642" t="s">
        <v>174</v>
      </c>
      <c r="I235" s="130">
        <v>5</v>
      </c>
      <c r="J235" s="130">
        <v>2</v>
      </c>
      <c r="K235" s="130">
        <f t="shared" si="22"/>
        <v>10</v>
      </c>
      <c r="L235" s="642" t="s">
        <v>223</v>
      </c>
      <c r="M235" s="130" t="s">
        <v>168</v>
      </c>
      <c r="N235" s="972">
        <f>'Value &amp; Cost'!P46</f>
        <v>44000</v>
      </c>
      <c r="O235" s="973">
        <f>'Value &amp; Cost'!P51</f>
        <v>65000</v>
      </c>
      <c r="P235" s="378" t="str">
        <f t="shared" si="20"/>
        <v>n/a</v>
      </c>
      <c r="Q235" s="379" t="str">
        <f t="shared" si="21"/>
        <v>n/a</v>
      </c>
      <c r="R235" s="1137"/>
      <c r="S235" s="1137"/>
      <c r="T235" s="1080"/>
      <c r="U235" s="1163"/>
      <c r="V235" s="1163"/>
      <c r="W235" s="131" t="s">
        <v>494</v>
      </c>
    </row>
    <row r="236" spans="2:23" ht="6.75" customHeight="1" x14ac:dyDescent="0.25">
      <c r="B236" s="304"/>
      <c r="C236" s="1052"/>
      <c r="D236" s="305"/>
      <c r="E236" s="306"/>
      <c r="F236" s="306"/>
      <c r="G236" s="643"/>
      <c r="H236" s="643"/>
      <c r="I236" s="307"/>
      <c r="J236" s="307"/>
      <c r="K236" s="307"/>
      <c r="L236" s="643"/>
      <c r="M236" s="307"/>
      <c r="N236" s="380"/>
      <c r="O236" s="381"/>
      <c r="P236" s="380" t="str">
        <f t="shared" si="20"/>
        <v>n/a</v>
      </c>
      <c r="Q236" s="381" t="str">
        <f t="shared" si="21"/>
        <v>n/a</v>
      </c>
      <c r="R236" s="1138"/>
      <c r="S236" s="1138"/>
      <c r="T236" s="1081"/>
      <c r="U236" s="1164"/>
      <c r="V236" s="1164"/>
      <c r="W236" s="308"/>
    </row>
    <row r="237" spans="2:23" x14ac:dyDescent="0.25">
      <c r="B237" s="95" t="s">
        <v>495</v>
      </c>
      <c r="C237" s="1129" t="s">
        <v>138</v>
      </c>
      <c r="D237" s="295" t="s">
        <v>360</v>
      </c>
      <c r="E237" s="296" t="s">
        <v>496</v>
      </c>
      <c r="F237" s="296" t="s">
        <v>497</v>
      </c>
      <c r="G237" s="644" t="s">
        <v>174</v>
      </c>
      <c r="H237" s="644" t="s">
        <v>174</v>
      </c>
      <c r="I237" s="297">
        <v>2</v>
      </c>
      <c r="J237" s="297">
        <v>2</v>
      </c>
      <c r="K237" s="297">
        <f t="shared" si="22"/>
        <v>4</v>
      </c>
      <c r="L237" s="644" t="s">
        <v>174</v>
      </c>
      <c r="M237" s="297" t="s">
        <v>168</v>
      </c>
      <c r="N237" s="974">
        <f>Biodiversity!P7</f>
        <v>7000</v>
      </c>
      <c r="O237" s="975">
        <f>Biodiversity!P10</f>
        <v>36000</v>
      </c>
      <c r="P237" s="298">
        <f t="shared" si="20"/>
        <v>7000</v>
      </c>
      <c r="Q237" s="382">
        <f t="shared" si="21"/>
        <v>36000</v>
      </c>
      <c r="R237" s="1154">
        <f>SUMIF(H237:H242,"Yes",K237:K242)</f>
        <v>20</v>
      </c>
      <c r="S237" s="1217">
        <f>SUMIF(L237:L242,"Yes",K237:K242)</f>
        <v>20</v>
      </c>
      <c r="T237" s="1155">
        <f>SUM(S237)/SUM(R237)</f>
        <v>1</v>
      </c>
      <c r="U237" s="1151">
        <f>SUM(P237:P242)</f>
        <v>13000</v>
      </c>
      <c r="V237" s="1151">
        <f>SUM(Q237:Q242)</f>
        <v>47000</v>
      </c>
      <c r="W237" s="299"/>
    </row>
    <row r="238" spans="2:23" ht="24" x14ac:dyDescent="0.25">
      <c r="B238" s="95"/>
      <c r="C238" s="1130"/>
      <c r="D238" s="142" t="s">
        <v>163</v>
      </c>
      <c r="E238" s="132" t="s">
        <v>498</v>
      </c>
      <c r="F238" s="132" t="s">
        <v>499</v>
      </c>
      <c r="G238" s="645" t="s">
        <v>174</v>
      </c>
      <c r="H238" s="645" t="s">
        <v>174</v>
      </c>
      <c r="I238" s="133">
        <v>2</v>
      </c>
      <c r="J238" s="133">
        <v>2</v>
      </c>
      <c r="K238" s="133">
        <f t="shared" si="22"/>
        <v>4</v>
      </c>
      <c r="L238" s="645" t="s">
        <v>174</v>
      </c>
      <c r="M238" s="133" t="s">
        <v>168</v>
      </c>
      <c r="N238" s="976">
        <f>Biodiversity!P13</f>
        <v>4000</v>
      </c>
      <c r="O238" s="977">
        <f>Biodiversity!P17</f>
        <v>7000</v>
      </c>
      <c r="P238" s="134">
        <f t="shared" si="20"/>
        <v>4000</v>
      </c>
      <c r="Q238" s="383">
        <f t="shared" si="21"/>
        <v>7000</v>
      </c>
      <c r="R238" s="1152"/>
      <c r="S238" s="1218"/>
      <c r="T238" s="1156"/>
      <c r="U238" s="1152"/>
      <c r="V238" s="1152"/>
      <c r="W238" s="144"/>
    </row>
    <row r="239" spans="2:23" ht="24" x14ac:dyDescent="0.25">
      <c r="B239" s="95"/>
      <c r="C239" s="1130"/>
      <c r="D239" s="142" t="s">
        <v>163</v>
      </c>
      <c r="E239" s="132" t="s">
        <v>498</v>
      </c>
      <c r="F239" s="733" t="s">
        <v>500</v>
      </c>
      <c r="G239" s="645" t="s">
        <v>174</v>
      </c>
      <c r="H239" s="645" t="s">
        <v>174</v>
      </c>
      <c r="I239" s="133">
        <v>3</v>
      </c>
      <c r="J239" s="133">
        <v>4</v>
      </c>
      <c r="K239" s="133">
        <f t="shared" si="22"/>
        <v>12</v>
      </c>
      <c r="L239" s="645" t="s">
        <v>174</v>
      </c>
      <c r="M239" s="133" t="s">
        <v>168</v>
      </c>
      <c r="N239" s="976">
        <f>Biodiversity!P21</f>
        <v>2000</v>
      </c>
      <c r="O239" s="977">
        <f>Biodiversity!P25</f>
        <v>4000</v>
      </c>
      <c r="P239" s="134">
        <f t="shared" si="20"/>
        <v>2000</v>
      </c>
      <c r="Q239" s="383">
        <f t="shared" si="21"/>
        <v>4000</v>
      </c>
      <c r="R239" s="1152"/>
      <c r="S239" s="1218"/>
      <c r="T239" s="1156"/>
      <c r="U239" s="1152"/>
      <c r="V239" s="1152"/>
      <c r="W239" s="144"/>
    </row>
    <row r="240" spans="2:23" ht="24" x14ac:dyDescent="0.25">
      <c r="B240" s="95"/>
      <c r="C240" s="1130"/>
      <c r="D240" s="142" t="s">
        <v>163</v>
      </c>
      <c r="E240" s="132" t="s">
        <v>501</v>
      </c>
      <c r="F240" s="132" t="s">
        <v>502</v>
      </c>
      <c r="G240" s="645" t="s">
        <v>174</v>
      </c>
      <c r="H240" s="645" t="s">
        <v>175</v>
      </c>
      <c r="I240" s="133">
        <v>4</v>
      </c>
      <c r="J240" s="133">
        <v>4</v>
      </c>
      <c r="K240" s="133">
        <f t="shared" si="22"/>
        <v>16</v>
      </c>
      <c r="L240" s="645" t="s">
        <v>223</v>
      </c>
      <c r="M240" s="133" t="s">
        <v>168</v>
      </c>
      <c r="N240" s="976">
        <f>Biodiversity!P28</f>
        <v>15000</v>
      </c>
      <c r="O240" s="977">
        <f>Biodiversity!P32</f>
        <v>726000</v>
      </c>
      <c r="P240" s="134" t="str">
        <f t="shared" si="20"/>
        <v>n/a</v>
      </c>
      <c r="Q240" s="383" t="str">
        <f t="shared" si="21"/>
        <v>n/a</v>
      </c>
      <c r="R240" s="1152"/>
      <c r="S240" s="1218"/>
      <c r="T240" s="1156"/>
      <c r="U240" s="1152"/>
      <c r="V240" s="1152"/>
      <c r="W240" s="144"/>
    </row>
    <row r="241" spans="2:23" ht="36" x14ac:dyDescent="0.25">
      <c r="B241" s="95"/>
      <c r="C241" s="1130"/>
      <c r="D241" s="142" t="s">
        <v>163</v>
      </c>
      <c r="E241" s="132" t="s">
        <v>503</v>
      </c>
      <c r="F241" s="132" t="s">
        <v>504</v>
      </c>
      <c r="G241" s="645" t="s">
        <v>174</v>
      </c>
      <c r="H241" s="645" t="s">
        <v>175</v>
      </c>
      <c r="I241" s="133">
        <v>5</v>
      </c>
      <c r="J241" s="133">
        <v>5</v>
      </c>
      <c r="K241" s="133">
        <f t="shared" si="22"/>
        <v>25</v>
      </c>
      <c r="L241" s="645" t="s">
        <v>223</v>
      </c>
      <c r="M241" s="133" t="s">
        <v>168</v>
      </c>
      <c r="N241" s="976">
        <f>Biodiversity!P35</f>
        <v>7000</v>
      </c>
      <c r="O241" s="977">
        <f>Biodiversity!P39</f>
        <v>1453000</v>
      </c>
      <c r="P241" s="134" t="str">
        <f t="shared" si="20"/>
        <v>n/a</v>
      </c>
      <c r="Q241" s="383" t="str">
        <f t="shared" si="21"/>
        <v>n/a</v>
      </c>
      <c r="R241" s="1152"/>
      <c r="S241" s="1218"/>
      <c r="T241" s="1156"/>
      <c r="U241" s="1152"/>
      <c r="V241" s="1152"/>
      <c r="W241" s="144"/>
    </row>
    <row r="242" spans="2:23" ht="6.75" customHeight="1" x14ac:dyDescent="0.25">
      <c r="B242" s="95"/>
      <c r="C242" s="1131"/>
      <c r="D242" s="145"/>
      <c r="E242" s="146"/>
      <c r="F242" s="146"/>
      <c r="G242" s="646"/>
      <c r="H242" s="147"/>
      <c r="I242" s="147"/>
      <c r="J242" s="147"/>
      <c r="K242" s="147"/>
      <c r="L242" s="646"/>
      <c r="M242" s="147"/>
      <c r="N242" s="148"/>
      <c r="O242" s="384"/>
      <c r="P242" s="148"/>
      <c r="Q242" s="384"/>
      <c r="R242" s="1153"/>
      <c r="S242" s="1219"/>
      <c r="T242" s="1157"/>
      <c r="U242" s="1153"/>
      <c r="V242" s="1153"/>
      <c r="W242" s="149"/>
    </row>
  </sheetData>
  <autoFilter ref="B3:W242" xr:uid="{24733215-CF43-44DC-8C50-E6B48AB66749}"/>
  <mergeCells count="152">
    <mergeCell ref="S237:S242"/>
    <mergeCell ref="S178:S188"/>
    <mergeCell ref="S189:S193"/>
    <mergeCell ref="S194:S198"/>
    <mergeCell ref="S199:S206"/>
    <mergeCell ref="S207:S214"/>
    <mergeCell ref="S215:S219"/>
    <mergeCell ref="S220:S223"/>
    <mergeCell ref="S224:S231"/>
    <mergeCell ref="S232:S236"/>
    <mergeCell ref="S106:S115"/>
    <mergeCell ref="S116:S122"/>
    <mergeCell ref="S123:S131"/>
    <mergeCell ref="S132:S144"/>
    <mergeCell ref="S145:S150"/>
    <mergeCell ref="S151:S164"/>
    <mergeCell ref="S165:S172"/>
    <mergeCell ref="S173:S177"/>
    <mergeCell ref="V215:V219"/>
    <mergeCell ref="V220:V223"/>
    <mergeCell ref="V224:V231"/>
    <mergeCell ref="V232:V236"/>
    <mergeCell ref="V237:V242"/>
    <mergeCell ref="U2:V2"/>
    <mergeCell ref="V145:V150"/>
    <mergeCell ref="V151:V164"/>
    <mergeCell ref="V165:V172"/>
    <mergeCell ref="V173:V177"/>
    <mergeCell ref="V178:V188"/>
    <mergeCell ref="V189:V193"/>
    <mergeCell ref="V194:V198"/>
    <mergeCell ref="V199:V206"/>
    <mergeCell ref="V207:V214"/>
    <mergeCell ref="U132:U144"/>
    <mergeCell ref="V102:V105"/>
    <mergeCell ref="V106:V115"/>
    <mergeCell ref="V116:V122"/>
    <mergeCell ref="V123:V131"/>
    <mergeCell ref="V132:V144"/>
    <mergeCell ref="U102:U105"/>
    <mergeCell ref="N2:Q2"/>
    <mergeCell ref="V4:V15"/>
    <mergeCell ref="V16:V84"/>
    <mergeCell ref="V85:V88"/>
    <mergeCell ref="V89:V92"/>
    <mergeCell ref="V93:V101"/>
    <mergeCell ref="U93:U101"/>
    <mergeCell ref="R4:R15"/>
    <mergeCell ref="T4:T15"/>
    <mergeCell ref="U4:U15"/>
    <mergeCell ref="T93:T101"/>
    <mergeCell ref="R93:R101"/>
    <mergeCell ref="S85:S88"/>
    <mergeCell ref="S89:S92"/>
    <mergeCell ref="S93:S101"/>
    <mergeCell ref="S4:S15"/>
    <mergeCell ref="B4:B105"/>
    <mergeCell ref="C199:C206"/>
    <mergeCell ref="C207:C214"/>
    <mergeCell ref="T123:T131"/>
    <mergeCell ref="R123:R131"/>
    <mergeCell ref="R132:R144"/>
    <mergeCell ref="T132:T144"/>
    <mergeCell ref="T145:T150"/>
    <mergeCell ref="C102:C105"/>
    <mergeCell ref="C93:C101"/>
    <mergeCell ref="C178:C188"/>
    <mergeCell ref="C106:C115"/>
    <mergeCell ref="C116:C122"/>
    <mergeCell ref="R85:R88"/>
    <mergeCell ref="R89:R92"/>
    <mergeCell ref="R102:R105"/>
    <mergeCell ref="R151:R164"/>
    <mergeCell ref="R199:R206"/>
    <mergeCell ref="R106:R115"/>
    <mergeCell ref="R116:R122"/>
    <mergeCell ref="T102:T105"/>
    <mergeCell ref="T106:T115"/>
    <mergeCell ref="S102:S105"/>
    <mergeCell ref="C4:C15"/>
    <mergeCell ref="C237:C242"/>
    <mergeCell ref="C123:C131"/>
    <mergeCell ref="C151:C164"/>
    <mergeCell ref="C165:C172"/>
    <mergeCell ref="R232:R236"/>
    <mergeCell ref="T224:T231"/>
    <mergeCell ref="U106:U115"/>
    <mergeCell ref="U116:U122"/>
    <mergeCell ref="U145:U150"/>
    <mergeCell ref="R145:R150"/>
    <mergeCell ref="R173:R177"/>
    <mergeCell ref="T173:T177"/>
    <mergeCell ref="U173:U177"/>
    <mergeCell ref="R178:R188"/>
    <mergeCell ref="T178:T188"/>
    <mergeCell ref="U189:U193"/>
    <mergeCell ref="R194:R198"/>
    <mergeCell ref="U194:U198"/>
    <mergeCell ref="U237:U242"/>
    <mergeCell ref="R237:R242"/>
    <mergeCell ref="T237:T242"/>
    <mergeCell ref="R224:R231"/>
    <mergeCell ref="U224:U231"/>
    <mergeCell ref="U232:U236"/>
    <mergeCell ref="R220:R223"/>
    <mergeCell ref="R207:R214"/>
    <mergeCell ref="R215:R219"/>
    <mergeCell ref="R165:R172"/>
    <mergeCell ref="T215:T219"/>
    <mergeCell ref="T116:T122"/>
    <mergeCell ref="T151:T164"/>
    <mergeCell ref="U199:U206"/>
    <mergeCell ref="U207:U214"/>
    <mergeCell ref="U215:U219"/>
    <mergeCell ref="U220:U223"/>
    <mergeCell ref="T220:T223"/>
    <mergeCell ref="U178:U188"/>
    <mergeCell ref="C89:C92"/>
    <mergeCell ref="R16:R84"/>
    <mergeCell ref="U16:U84"/>
    <mergeCell ref="U85:U88"/>
    <mergeCell ref="U89:U92"/>
    <mergeCell ref="C16:C84"/>
    <mergeCell ref="T16:T84"/>
    <mergeCell ref="T85:T88"/>
    <mergeCell ref="T89:T92"/>
    <mergeCell ref="C85:C88"/>
    <mergeCell ref="S16:S84"/>
    <mergeCell ref="B232:B235"/>
    <mergeCell ref="B106:B172"/>
    <mergeCell ref="U151:U164"/>
    <mergeCell ref="U165:U172"/>
    <mergeCell ref="T165:T172"/>
    <mergeCell ref="T199:T206"/>
    <mergeCell ref="T207:T214"/>
    <mergeCell ref="T194:T198"/>
    <mergeCell ref="C232:C236"/>
    <mergeCell ref="C132:C144"/>
    <mergeCell ref="B173:B198"/>
    <mergeCell ref="B199:B219"/>
    <mergeCell ref="C215:C219"/>
    <mergeCell ref="C220:C223"/>
    <mergeCell ref="C224:C231"/>
    <mergeCell ref="C194:C198"/>
    <mergeCell ref="C189:C193"/>
    <mergeCell ref="C173:C177"/>
    <mergeCell ref="C145:C150"/>
    <mergeCell ref="B220:B231"/>
    <mergeCell ref="R189:R193"/>
    <mergeCell ref="T189:T193"/>
    <mergeCell ref="T232:T236"/>
    <mergeCell ref="U123:U131"/>
  </mergeCells>
  <pageMargins left="0.23622047244094491" right="0.23622047244094491" top="0.74803149606299213" bottom="0.74803149606299213" header="0.31496062992125984" footer="0.31496062992125984"/>
  <pageSetup paperSize="8" scale="48" fitToHeight="0" orientation="landscape" r:id="rId1"/>
  <extLst>
    <ext xmlns:x14="http://schemas.microsoft.com/office/spreadsheetml/2009/9/main" uri="{78C0D931-6437-407d-A8EE-F0AAD7539E65}">
      <x14:conditionalFormattings>
        <x14:conditionalFormatting xmlns:xm="http://schemas.microsoft.com/office/excel/2006/main">
          <x14:cfRule type="cellIs" priority="13" operator="equal" id="{BCA0EA98-F232-49B5-B485-0B8D7C8FE35E}">
            <xm:f>'Dropdown Selection'!$E$9</xm:f>
            <x14:dxf>
              <fill>
                <patternFill>
                  <bgColor theme="7" tint="0.39994506668294322"/>
                </patternFill>
              </fill>
            </x14:dxf>
          </x14:cfRule>
          <x14:cfRule type="cellIs" priority="14" operator="equal" id="{72A9BF3B-8A13-4451-A77F-EC5604A14292}">
            <xm:f>'Dropdown Selection'!$D$9</xm:f>
            <x14:dxf>
              <fill>
                <patternFill>
                  <bgColor theme="5" tint="0.39994506668294322"/>
                </patternFill>
              </fill>
            </x14:dxf>
          </x14:cfRule>
          <x14:cfRule type="cellIs" priority="15" operator="equal" id="{10528F8E-AB29-4E0D-9C57-2B89E8F736A7}">
            <xm:f>'Dropdown Selection'!$C$9</xm:f>
            <x14:dxf>
              <fill>
                <patternFill>
                  <bgColor theme="9" tint="0.39994506668294322"/>
                </patternFill>
              </fill>
            </x14:dxf>
          </x14:cfRule>
          <xm:sqref>G4:G242</xm:sqref>
        </x14:conditionalFormatting>
        <x14:conditionalFormatting xmlns:xm="http://schemas.microsoft.com/office/excel/2006/main">
          <x14:cfRule type="cellIs" priority="5" operator="equal" id="{44BE31BF-A3E0-4500-BB2D-B5AFBA0EDF6B}">
            <xm:f>'Dropdown Selection'!$E$3</xm:f>
            <x14:dxf>
              <fill>
                <patternFill>
                  <bgColor theme="5" tint="0.39994506668294322"/>
                </patternFill>
              </fill>
            </x14:dxf>
          </x14:cfRule>
          <x14:cfRule type="cellIs" priority="7" operator="equal" id="{0278C4EF-53BE-451C-9A04-0CEF919A5CFC}">
            <xm:f>'Dropdown Selection'!$F$3</xm:f>
            <x14:dxf>
              <fill>
                <patternFill>
                  <bgColor theme="7" tint="0.39994506668294322"/>
                </patternFill>
              </fill>
            </x14:dxf>
          </x14:cfRule>
          <x14:cfRule type="cellIs" priority="8" operator="equal" id="{18A51DCE-2ED5-4B92-B31F-549459CAE0D9}">
            <xm:f>'Dropdown Selection'!$D$3</xm:f>
            <x14:dxf>
              <fill>
                <patternFill>
                  <bgColor theme="5" tint="0.39994506668294322"/>
                </patternFill>
              </fill>
            </x14:dxf>
          </x14:cfRule>
          <x14:cfRule type="cellIs" priority="9" operator="equal" id="{8C10B514-5562-4E93-A5F9-2DABB71FF81E}">
            <xm:f>'Dropdown Selection'!$C$3</xm:f>
            <x14:dxf>
              <fill>
                <patternFill>
                  <bgColor theme="9" tint="0.39994506668294322"/>
                </patternFill>
              </fill>
            </x14:dxf>
          </x14:cfRule>
          <xm:sqref>L4:L242 H4:H241</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6A0ABD3F-AD49-4951-A4FA-DDCE224DB5AB}">
          <x14:formula1>
            <xm:f>'Dropdown Selection'!$C$2:$D$2</xm:f>
          </x14:formula1>
          <xm:sqref>H5:H84 H89:H242</xm:sqref>
        </x14:dataValidation>
        <x14:dataValidation type="list" allowBlank="1" showInputMessage="1" showErrorMessage="1" xr:uid="{8B8C6553-B7F3-41C6-A810-759ECF40905B}">
          <x14:formula1>
            <xm:f>'Dropdown Selection'!$C$2:$E$2</xm:f>
          </x14:formula1>
          <xm:sqref>H4</xm:sqref>
        </x14:dataValidation>
        <x14:dataValidation type="list" allowBlank="1" showInputMessage="1" showErrorMessage="1" xr:uid="{878A06C8-F7E5-4297-9625-345A12304926}">
          <x14:formula1>
            <xm:f>'Dropdown Selection'!$C$4:$D$4</xm:f>
          </x14:formula1>
          <xm:sqref>M4:M242</xm:sqref>
        </x14:dataValidation>
        <x14:dataValidation type="list" allowBlank="1" showInputMessage="1" showErrorMessage="1" xr:uid="{5E38C4E4-E2ED-43BE-97DE-D91C6F397E47}">
          <x14:formula1>
            <xm:f>'Dropdown Selection'!$G$7:$M$7</xm:f>
          </x14:formula1>
          <xm:sqref>I4:I242</xm:sqref>
        </x14:dataValidation>
        <x14:dataValidation type="list" allowBlank="1" showInputMessage="1" showErrorMessage="1" xr:uid="{BEFAD4A3-7F2B-4B80-8A81-6701777FCEC9}">
          <x14:formula1>
            <xm:f>'Dropdown Selection'!$C$7:$M$7</xm:f>
          </x14:formula1>
          <xm:sqref>J4:J242</xm:sqref>
        </x14:dataValidation>
        <x14:dataValidation type="list" allowBlank="1" showInputMessage="1" showErrorMessage="1" xr:uid="{F37D9A4A-1C9D-4515-A191-DE4E1754E6BF}">
          <x14:formula1>
            <xm:f>'Dropdown Selection'!$C$3:$F$3</xm:f>
          </x14:formula1>
          <xm:sqref>L4:L242</xm:sqref>
        </x14:dataValidation>
        <x14:dataValidation type="list" allowBlank="1" showInputMessage="1" showErrorMessage="1" xr:uid="{FD176F46-4BA7-4FAF-A708-08290CAA0254}">
          <x14:formula1>
            <xm:f>'Dropdown Selection'!$C$9:$E$9</xm:f>
          </x14:formula1>
          <xm:sqref>G4:G242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D19BF-4E1F-4BEF-B10C-81DA093EC971}">
  <sheetPr>
    <tabColor rgb="FF0070C0"/>
  </sheetPr>
  <dimension ref="A2:Q649"/>
  <sheetViews>
    <sheetView topLeftCell="A629" zoomScale="115" zoomScaleNormal="115" workbookViewId="0">
      <selection activeCell="B6" sqref="B6:B12"/>
    </sheetView>
  </sheetViews>
  <sheetFormatPr defaultRowHeight="15" x14ac:dyDescent="0.25"/>
  <cols>
    <col min="1" max="1" width="3" style="3" customWidth="1"/>
    <col min="2" max="3" width="33.140625" style="14" customWidth="1"/>
    <col min="4" max="4" width="54.570312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Operating Carbon</v>
      </c>
      <c r="C2" s="1244"/>
      <c r="D2" s="1244"/>
      <c r="E2" s="1244"/>
      <c r="F2" s="1244"/>
      <c r="G2" s="1244"/>
      <c r="H2" s="1244"/>
      <c r="I2" s="1244"/>
      <c r="J2" s="1244"/>
      <c r="K2" s="1244"/>
      <c r="L2" s="1244"/>
      <c r="M2" s="1244"/>
      <c r="N2" s="1244"/>
      <c r="O2" s="1244"/>
      <c r="P2" s="1245"/>
    </row>
    <row r="3" spans="2:17" ht="15" customHeight="1" thickBot="1" x14ac:dyDescent="0.3">
      <c r="B3" s="1246"/>
      <c r="C3" s="1247"/>
      <c r="D3" s="1247"/>
      <c r="E3" s="1247"/>
      <c r="F3" s="1247"/>
      <c r="G3" s="1247"/>
      <c r="H3" s="1247"/>
      <c r="I3" s="1247"/>
      <c r="J3" s="1247"/>
      <c r="K3" s="1247"/>
      <c r="L3" s="1247"/>
      <c r="M3" s="1247"/>
      <c r="N3" s="1247"/>
      <c r="O3" s="1247"/>
      <c r="P3" s="1248"/>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1.25" x14ac:dyDescent="0.2">
      <c r="B6" s="1231" t="str">
        <f>'Detailed Matrix'!E16</f>
        <v>Glazing ratio improvement</v>
      </c>
      <c r="C6" s="1228" t="str">
        <f>'Detailed Matrix'!F16</f>
        <v>~50% of façade glazed</v>
      </c>
      <c r="D6" s="492"/>
      <c r="E6" s="493"/>
      <c r="F6" s="494"/>
      <c r="G6" s="495"/>
      <c r="H6" s="496"/>
      <c r="I6" s="497"/>
      <c r="J6" s="498"/>
      <c r="K6" s="499"/>
      <c r="L6" s="499"/>
      <c r="M6" s="499"/>
      <c r="N6" s="499"/>
      <c r="O6" s="498"/>
      <c r="P6" s="497"/>
    </row>
    <row r="7" spans="2:17" s="420" customFormat="1" ht="11.25" x14ac:dyDescent="0.2">
      <c r="B7" s="1232"/>
      <c r="C7" s="1229"/>
      <c r="D7" s="500" t="s">
        <v>512</v>
      </c>
      <c r="E7" s="501"/>
      <c r="F7" s="502"/>
      <c r="G7" s="503"/>
      <c r="H7" s="504"/>
      <c r="I7" s="505"/>
      <c r="J7" s="506"/>
      <c r="K7" s="507"/>
      <c r="L7" s="507"/>
      <c r="M7" s="507"/>
      <c r="N7" s="507"/>
      <c r="O7" s="506"/>
      <c r="P7" s="505"/>
    </row>
    <row r="8" spans="2:17" s="420" customFormat="1" ht="11.25" x14ac:dyDescent="0.2">
      <c r="B8" s="1232"/>
      <c r="C8" s="1229"/>
      <c r="D8" s="508" t="s">
        <v>16</v>
      </c>
      <c r="E8" s="501">
        <f>-'Key Data'!$B$19</f>
        <v>-4183</v>
      </c>
      <c r="F8" s="502" t="s">
        <v>9</v>
      </c>
      <c r="G8" s="503">
        <f>'Key Data'!$B$22</f>
        <v>1000</v>
      </c>
      <c r="H8" s="509">
        <f t="shared" ref="H8:H9" si="0">E8*G8</f>
        <v>-4183000</v>
      </c>
      <c r="I8" s="505"/>
      <c r="J8" s="506"/>
      <c r="K8" s="507"/>
      <c r="L8" s="507"/>
      <c r="M8" s="507"/>
      <c r="N8" s="507"/>
      <c r="O8" s="506"/>
      <c r="P8" s="505"/>
    </row>
    <row r="9" spans="2:17" s="420" customFormat="1" ht="11.25" x14ac:dyDescent="0.2">
      <c r="B9" s="1232"/>
      <c r="C9" s="1229"/>
      <c r="D9" s="508" t="s">
        <v>17</v>
      </c>
      <c r="E9" s="501">
        <f>-'Key Data'!$B$20</f>
        <v>-2789</v>
      </c>
      <c r="F9" s="502" t="s">
        <v>9</v>
      </c>
      <c r="G9" s="503">
        <f>'Key Data'!$B$23</f>
        <v>600</v>
      </c>
      <c r="H9" s="509">
        <f t="shared" si="0"/>
        <v>-1673400</v>
      </c>
      <c r="I9" s="505"/>
      <c r="J9" s="506"/>
      <c r="K9" s="507"/>
      <c r="L9" s="507"/>
      <c r="M9" s="507"/>
      <c r="N9" s="507"/>
      <c r="O9" s="506"/>
      <c r="P9" s="505"/>
    </row>
    <row r="10" spans="2:17" s="420" customFormat="1" ht="11.25" x14ac:dyDescent="0.2">
      <c r="B10" s="1232"/>
      <c r="C10" s="1229"/>
      <c r="D10" s="508"/>
      <c r="E10" s="501"/>
      <c r="F10" s="502"/>
      <c r="G10" s="503"/>
      <c r="H10" s="504"/>
      <c r="I10" s="505"/>
      <c r="J10" s="506"/>
      <c r="K10" s="507"/>
      <c r="L10" s="507"/>
      <c r="M10" s="507"/>
      <c r="N10" s="507"/>
      <c r="O10" s="506"/>
      <c r="P10" s="505"/>
    </row>
    <row r="11" spans="2:17" s="420" customFormat="1" ht="11.25" x14ac:dyDescent="0.2">
      <c r="B11" s="1232"/>
      <c r="C11" s="1229"/>
      <c r="D11" s="510" t="s">
        <v>513</v>
      </c>
      <c r="E11" s="511">
        <v>0.5</v>
      </c>
      <c r="F11" s="502"/>
      <c r="G11" s="503"/>
      <c r="H11" s="504"/>
      <c r="I11" s="505"/>
      <c r="J11" s="506"/>
      <c r="K11" s="507"/>
      <c r="L11" s="507"/>
      <c r="M11" s="507"/>
      <c r="N11" s="507"/>
      <c r="O11" s="506"/>
      <c r="P11" s="505"/>
    </row>
    <row r="12" spans="2:17" s="420" customFormat="1" ht="11.25" x14ac:dyDescent="0.2">
      <c r="B12" s="1232"/>
      <c r="C12" s="1229"/>
      <c r="D12" s="508" t="s">
        <v>16</v>
      </c>
      <c r="E12" s="501">
        <f>'Key Data'!$B$18-E13</f>
        <v>3486</v>
      </c>
      <c r="F12" s="502" t="s">
        <v>9</v>
      </c>
      <c r="G12" s="503">
        <f>'Key Data'!$B$22</f>
        <v>1000</v>
      </c>
      <c r="H12" s="509">
        <f t="shared" ref="H12" si="1">E12*G12</f>
        <v>3486000</v>
      </c>
      <c r="I12" s="505"/>
      <c r="J12" s="506"/>
      <c r="K12" s="507"/>
      <c r="L12" s="507"/>
      <c r="M12" s="507"/>
      <c r="N12" s="507"/>
      <c r="O12" s="506"/>
      <c r="P12" s="505"/>
    </row>
    <row r="13" spans="2:17" s="420" customFormat="1" ht="11.25" x14ac:dyDescent="0.2">
      <c r="B13" s="1233"/>
      <c r="C13" s="1229"/>
      <c r="D13" s="508" t="s">
        <v>17</v>
      </c>
      <c r="E13" s="501">
        <f>'Key Data'!$B$18*E11</f>
        <v>3486</v>
      </c>
      <c r="F13" s="502" t="s">
        <v>9</v>
      </c>
      <c r="G13" s="503">
        <f>'Key Data'!$B$23</f>
        <v>600</v>
      </c>
      <c r="H13" s="509">
        <f t="shared" ref="H13" si="2">E13*G13</f>
        <v>2091600</v>
      </c>
      <c r="I13" s="512">
        <f>SUM(H6:H13)</f>
        <v>-278800</v>
      </c>
      <c r="J13" s="513">
        <f>I13*$J$5</f>
        <v>-36244</v>
      </c>
      <c r="K13" s="514">
        <f>SUM(I13:J13)*$K$5</f>
        <v>-14176.98</v>
      </c>
      <c r="L13" s="514">
        <f>SUM(I13:K13)*$L$5</f>
        <v>-18107.153899999998</v>
      </c>
      <c r="M13" s="514">
        <f>SUM(I13:L13)*$M$5</f>
        <v>-20839.688033999995</v>
      </c>
      <c r="N13" s="514">
        <f>SUM(I13:M13)*$N$5</f>
        <v>-36816.782193399995</v>
      </c>
      <c r="O13" s="515">
        <f>SUM(I13:N13)</f>
        <v>-404984.60412739997</v>
      </c>
      <c r="P13" s="512">
        <f>ROUND(O13,-3)</f>
        <v>-405000</v>
      </c>
      <c r="Q13" s="420" t="s">
        <v>514</v>
      </c>
    </row>
    <row r="14" spans="2:17" s="420" customFormat="1" ht="12" thickBot="1" x14ac:dyDescent="0.25">
      <c r="B14" s="1234"/>
      <c r="C14" s="1230"/>
      <c r="D14" s="516"/>
      <c r="E14" s="517"/>
      <c r="F14" s="518"/>
      <c r="G14" s="519"/>
      <c r="H14" s="520"/>
      <c r="I14" s="521"/>
      <c r="J14" s="522"/>
      <c r="K14" s="523"/>
      <c r="L14" s="523"/>
      <c r="M14" s="523"/>
      <c r="N14" s="523"/>
      <c r="O14" s="522"/>
      <c r="P14" s="521"/>
    </row>
    <row r="15" spans="2:17" s="426" customFormat="1" ht="11.25" x14ac:dyDescent="0.2">
      <c r="B15" s="1231" t="str">
        <f>'Detailed Matrix'!E17</f>
        <v>Glazing ratio improvement</v>
      </c>
      <c r="C15" s="1228" t="str">
        <f>'Detailed Matrix'!F17</f>
        <v>~45% of façade glazed</v>
      </c>
      <c r="D15" s="492"/>
      <c r="E15" s="493"/>
      <c r="F15" s="494"/>
      <c r="G15" s="495"/>
      <c r="H15" s="496"/>
      <c r="I15" s="497"/>
      <c r="J15" s="498"/>
      <c r="K15" s="499"/>
      <c r="L15" s="499"/>
      <c r="M15" s="499"/>
      <c r="N15" s="499"/>
      <c r="O15" s="498"/>
      <c r="P15" s="497"/>
    </row>
    <row r="16" spans="2:17" s="426" customFormat="1" ht="11.25" x14ac:dyDescent="0.2">
      <c r="B16" s="1232"/>
      <c r="C16" s="1229"/>
      <c r="D16" s="500" t="s">
        <v>512</v>
      </c>
      <c r="E16" s="501"/>
      <c r="F16" s="502"/>
      <c r="G16" s="503"/>
      <c r="H16" s="504"/>
      <c r="I16" s="505"/>
      <c r="J16" s="506"/>
      <c r="K16" s="507"/>
      <c r="L16" s="507"/>
      <c r="M16" s="507"/>
      <c r="N16" s="507"/>
      <c r="O16" s="506"/>
      <c r="P16" s="505"/>
    </row>
    <row r="17" spans="2:17" s="426" customFormat="1" ht="11.25" x14ac:dyDescent="0.2">
      <c r="B17" s="1232"/>
      <c r="C17" s="1229"/>
      <c r="D17" s="508" t="s">
        <v>16</v>
      </c>
      <c r="E17" s="501">
        <f>-'Key Data'!$B$19</f>
        <v>-4183</v>
      </c>
      <c r="F17" s="502" t="s">
        <v>9</v>
      </c>
      <c r="G17" s="503">
        <f>'Key Data'!$B$22</f>
        <v>1000</v>
      </c>
      <c r="H17" s="509">
        <f t="shared" ref="H17:H18" si="3">E17*G17</f>
        <v>-4183000</v>
      </c>
      <c r="I17" s="505"/>
      <c r="J17" s="506"/>
      <c r="K17" s="507"/>
      <c r="L17" s="507"/>
      <c r="M17" s="507"/>
      <c r="N17" s="507"/>
      <c r="O17" s="506"/>
      <c r="P17" s="505"/>
    </row>
    <row r="18" spans="2:17" s="426" customFormat="1" ht="11.25" x14ac:dyDescent="0.2">
      <c r="B18" s="1232"/>
      <c r="C18" s="1229"/>
      <c r="D18" s="508" t="s">
        <v>17</v>
      </c>
      <c r="E18" s="501">
        <f>-'Key Data'!$B$20</f>
        <v>-2789</v>
      </c>
      <c r="F18" s="502" t="s">
        <v>9</v>
      </c>
      <c r="G18" s="503">
        <f>'Key Data'!$B$23</f>
        <v>600</v>
      </c>
      <c r="H18" s="509">
        <f t="shared" si="3"/>
        <v>-1673400</v>
      </c>
      <c r="I18" s="505"/>
      <c r="J18" s="506"/>
      <c r="K18" s="507"/>
      <c r="L18" s="507"/>
      <c r="M18" s="507"/>
      <c r="N18" s="507"/>
      <c r="O18" s="506"/>
      <c r="P18" s="505"/>
    </row>
    <row r="19" spans="2:17" s="426" customFormat="1" ht="11.25" x14ac:dyDescent="0.2">
      <c r="B19" s="1232"/>
      <c r="C19" s="1229"/>
      <c r="D19" s="508"/>
      <c r="E19" s="501"/>
      <c r="F19" s="502"/>
      <c r="G19" s="503"/>
      <c r="H19" s="504"/>
      <c r="I19" s="505"/>
      <c r="J19" s="506"/>
      <c r="K19" s="507"/>
      <c r="L19" s="507"/>
      <c r="M19" s="507"/>
      <c r="N19" s="507"/>
      <c r="O19" s="506"/>
      <c r="P19" s="505"/>
    </row>
    <row r="20" spans="2:17" s="426" customFormat="1" ht="11.25" x14ac:dyDescent="0.2">
      <c r="B20" s="1232"/>
      <c r="C20" s="1229"/>
      <c r="D20" s="510" t="s">
        <v>513</v>
      </c>
      <c r="E20" s="511">
        <v>0.45</v>
      </c>
      <c r="F20" s="502"/>
      <c r="G20" s="503"/>
      <c r="H20" s="504"/>
      <c r="I20" s="505"/>
      <c r="J20" s="506"/>
      <c r="K20" s="507"/>
      <c r="L20" s="507"/>
      <c r="M20" s="507"/>
      <c r="N20" s="507"/>
      <c r="O20" s="506"/>
      <c r="P20" s="505"/>
    </row>
    <row r="21" spans="2:17" s="426" customFormat="1" ht="11.25" x14ac:dyDescent="0.2">
      <c r="B21" s="1232"/>
      <c r="C21" s="1229"/>
      <c r="D21" s="508" t="s">
        <v>16</v>
      </c>
      <c r="E21" s="501">
        <f>'Key Data'!$B$18-E22</f>
        <v>3834.6</v>
      </c>
      <c r="F21" s="502" t="s">
        <v>9</v>
      </c>
      <c r="G21" s="503">
        <f>'Key Data'!$B$22</f>
        <v>1000</v>
      </c>
      <c r="H21" s="509">
        <f t="shared" ref="H21:H22" si="4">E21*G21</f>
        <v>3834600</v>
      </c>
      <c r="I21" s="505"/>
      <c r="J21" s="506"/>
      <c r="K21" s="507"/>
      <c r="L21" s="507"/>
      <c r="M21" s="507"/>
      <c r="N21" s="507"/>
      <c r="O21" s="506"/>
      <c r="P21" s="505"/>
    </row>
    <row r="22" spans="2:17" s="426" customFormat="1" ht="11.25" x14ac:dyDescent="0.2">
      <c r="B22" s="1233"/>
      <c r="C22" s="1229"/>
      <c r="D22" s="508" t="s">
        <v>17</v>
      </c>
      <c r="E22" s="501">
        <f>'Key Data'!$B$18*E20</f>
        <v>3137.4</v>
      </c>
      <c r="F22" s="502" t="s">
        <v>9</v>
      </c>
      <c r="G22" s="503">
        <f>'Key Data'!$B$23</f>
        <v>600</v>
      </c>
      <c r="H22" s="509">
        <f t="shared" si="4"/>
        <v>1882440</v>
      </c>
      <c r="I22" s="512">
        <f>SUM(H15:H22)</f>
        <v>-139360</v>
      </c>
      <c r="J22" s="513">
        <f>I22*$J$5</f>
        <v>-18116.8</v>
      </c>
      <c r="K22" s="514">
        <f>SUM(I22:J22)*$K$5</f>
        <v>-7086.4559999999992</v>
      </c>
      <c r="L22" s="514">
        <f>SUM(I22:K22)*$L$5</f>
        <v>-9050.9790799999992</v>
      </c>
      <c r="M22" s="514">
        <f>SUM(I22:L22)*$M$5</f>
        <v>-10416.854104799999</v>
      </c>
      <c r="N22" s="514">
        <f>SUM(I22:M22)*$N$5</f>
        <v>-18403.10891848</v>
      </c>
      <c r="O22" s="515">
        <f>SUM(I22:N22)</f>
        <v>-202434.19810327998</v>
      </c>
      <c r="P22" s="512">
        <f>ROUND(O22,-3)</f>
        <v>-202000</v>
      </c>
      <c r="Q22" s="426" t="s">
        <v>514</v>
      </c>
    </row>
    <row r="23" spans="2:17" s="426" customFormat="1" ht="12" thickBot="1" x14ac:dyDescent="0.25">
      <c r="B23" s="1234"/>
      <c r="C23" s="1230"/>
      <c r="D23" s="516"/>
      <c r="E23" s="517"/>
      <c r="F23" s="518"/>
      <c r="G23" s="519"/>
      <c r="H23" s="520"/>
      <c r="I23" s="521"/>
      <c r="J23" s="522"/>
      <c r="K23" s="523"/>
      <c r="L23" s="523"/>
      <c r="M23" s="523"/>
      <c r="N23" s="523"/>
      <c r="O23" s="522"/>
      <c r="P23" s="521"/>
    </row>
    <row r="24" spans="2:17" s="420" customFormat="1" ht="11.25" x14ac:dyDescent="0.2">
      <c r="B24" s="1231" t="str">
        <f>'Detailed Matrix'!E18</f>
        <v>Glazing ratio improvement</v>
      </c>
      <c r="C24" s="1228" t="str">
        <f>'Detailed Matrix'!F18</f>
        <v>~40% of façade glazed</v>
      </c>
      <c r="D24" s="492"/>
      <c r="E24" s="493"/>
      <c r="F24" s="494"/>
      <c r="G24" s="495"/>
      <c r="H24" s="496"/>
      <c r="I24" s="497"/>
      <c r="J24" s="498"/>
      <c r="K24" s="499"/>
      <c r="L24" s="499"/>
      <c r="M24" s="499"/>
      <c r="N24" s="499"/>
      <c r="O24" s="498"/>
      <c r="P24" s="497"/>
    </row>
    <row r="25" spans="2:17" s="420" customFormat="1" ht="11.25" x14ac:dyDescent="0.2">
      <c r="B25" s="1232"/>
      <c r="C25" s="1229"/>
      <c r="D25" s="500" t="s">
        <v>512</v>
      </c>
      <c r="E25" s="501"/>
      <c r="F25" s="502"/>
      <c r="G25" s="503"/>
      <c r="H25" s="504"/>
      <c r="I25" s="505"/>
      <c r="J25" s="506"/>
      <c r="K25" s="507"/>
      <c r="L25" s="507"/>
      <c r="M25" s="507"/>
      <c r="N25" s="507"/>
      <c r="O25" s="506"/>
      <c r="P25" s="505"/>
    </row>
    <row r="26" spans="2:17" s="420" customFormat="1" ht="11.25" x14ac:dyDescent="0.2">
      <c r="B26" s="1232"/>
      <c r="C26" s="1229"/>
      <c r="D26" s="508" t="s">
        <v>16</v>
      </c>
      <c r="E26" s="501">
        <f>-'Key Data'!$B$19</f>
        <v>-4183</v>
      </c>
      <c r="F26" s="502" t="s">
        <v>9</v>
      </c>
      <c r="G26" s="503">
        <f>'Key Data'!$B$22</f>
        <v>1000</v>
      </c>
      <c r="H26" s="509">
        <f t="shared" ref="H26:H27" si="5">E26*G26</f>
        <v>-4183000</v>
      </c>
      <c r="I26" s="505"/>
      <c r="J26" s="506"/>
      <c r="K26" s="507"/>
      <c r="L26" s="507"/>
      <c r="M26" s="507"/>
      <c r="N26" s="507"/>
      <c r="O26" s="506"/>
      <c r="P26" s="505"/>
    </row>
    <row r="27" spans="2:17" s="420" customFormat="1" ht="11.25" x14ac:dyDescent="0.2">
      <c r="B27" s="1232"/>
      <c r="C27" s="1229"/>
      <c r="D27" s="508" t="s">
        <v>17</v>
      </c>
      <c r="E27" s="501">
        <f>-'Key Data'!$B$20</f>
        <v>-2789</v>
      </c>
      <c r="F27" s="502" t="s">
        <v>9</v>
      </c>
      <c r="G27" s="503">
        <f>'Key Data'!$B$23</f>
        <v>600</v>
      </c>
      <c r="H27" s="509">
        <f t="shared" si="5"/>
        <v>-1673400</v>
      </c>
      <c r="I27" s="505"/>
      <c r="J27" s="506"/>
      <c r="K27" s="507"/>
      <c r="L27" s="507"/>
      <c r="M27" s="507"/>
      <c r="N27" s="507"/>
      <c r="O27" s="506"/>
      <c r="P27" s="505"/>
    </row>
    <row r="28" spans="2:17" s="420" customFormat="1" ht="11.25" x14ac:dyDescent="0.2">
      <c r="B28" s="1232"/>
      <c r="C28" s="1229"/>
      <c r="D28" s="508"/>
      <c r="E28" s="501"/>
      <c r="F28" s="502"/>
      <c r="G28" s="503"/>
      <c r="H28" s="504"/>
      <c r="I28" s="505"/>
      <c r="J28" s="506"/>
      <c r="K28" s="507"/>
      <c r="L28" s="507"/>
      <c r="M28" s="507"/>
      <c r="N28" s="507"/>
      <c r="O28" s="506"/>
      <c r="P28" s="505"/>
    </row>
    <row r="29" spans="2:17" s="420" customFormat="1" ht="11.25" x14ac:dyDescent="0.2">
      <c r="B29" s="1232"/>
      <c r="C29" s="1229"/>
      <c r="D29" s="510" t="s">
        <v>513</v>
      </c>
      <c r="E29" s="511">
        <v>0.4</v>
      </c>
      <c r="F29" s="502"/>
      <c r="G29" s="503"/>
      <c r="H29" s="504"/>
      <c r="I29" s="505"/>
      <c r="J29" s="506"/>
      <c r="K29" s="507"/>
      <c r="L29" s="507"/>
      <c r="M29" s="507"/>
      <c r="N29" s="507"/>
      <c r="O29" s="506"/>
      <c r="P29" s="505"/>
    </row>
    <row r="30" spans="2:17" s="420" customFormat="1" ht="11.25" x14ac:dyDescent="0.2">
      <c r="B30" s="1232"/>
      <c r="C30" s="1229"/>
      <c r="D30" s="508" t="s">
        <v>16</v>
      </c>
      <c r="E30" s="501">
        <f>'Key Data'!$B$18-E31</f>
        <v>4183.2</v>
      </c>
      <c r="F30" s="502" t="s">
        <v>9</v>
      </c>
      <c r="G30" s="503">
        <f>'Key Data'!$B$22</f>
        <v>1000</v>
      </c>
      <c r="H30" s="509">
        <f t="shared" ref="H30:H31" si="6">E30*G30</f>
        <v>4183200</v>
      </c>
      <c r="I30" s="505"/>
      <c r="J30" s="506"/>
      <c r="K30" s="507"/>
      <c r="L30" s="507"/>
      <c r="M30" s="507"/>
      <c r="N30" s="507"/>
      <c r="O30" s="506"/>
      <c r="P30" s="505"/>
    </row>
    <row r="31" spans="2:17" s="420" customFormat="1" ht="11.25" x14ac:dyDescent="0.2">
      <c r="B31" s="1233"/>
      <c r="C31" s="1229"/>
      <c r="D31" s="508" t="s">
        <v>17</v>
      </c>
      <c r="E31" s="501">
        <f>'Key Data'!$B$18*E29</f>
        <v>2788.8</v>
      </c>
      <c r="F31" s="502" t="s">
        <v>9</v>
      </c>
      <c r="G31" s="503">
        <f>'Key Data'!$B$23</f>
        <v>600</v>
      </c>
      <c r="H31" s="509">
        <f t="shared" si="6"/>
        <v>1673280</v>
      </c>
      <c r="I31" s="512">
        <f>SUM(H24:H31)</f>
        <v>80</v>
      </c>
      <c r="J31" s="513">
        <f>I31*$J$5</f>
        <v>10.4</v>
      </c>
      <c r="K31" s="514">
        <f>SUM(I31:J31)*$K$5</f>
        <v>4.0680000000000005</v>
      </c>
      <c r="L31" s="514">
        <f>SUM(I31:K31)*$L$5</f>
        <v>5.1957399999999998</v>
      </c>
      <c r="M31" s="514">
        <f>SUM(I31:L31)*$M$5</f>
        <v>5.9798244</v>
      </c>
      <c r="N31" s="514">
        <f>SUM(I31:M31)*$N$5</f>
        <v>10.564356440000001</v>
      </c>
      <c r="O31" s="515">
        <f>SUM(I31:N31)</f>
        <v>116.20792084</v>
      </c>
      <c r="P31" s="512">
        <f>ROUND(O31,-3)</f>
        <v>0</v>
      </c>
      <c r="Q31" s="420" t="s">
        <v>514</v>
      </c>
    </row>
    <row r="32" spans="2:17" s="420" customFormat="1" ht="12" thickBot="1" x14ac:dyDescent="0.25">
      <c r="B32" s="1234"/>
      <c r="C32" s="1230"/>
      <c r="D32" s="516"/>
      <c r="E32" s="517"/>
      <c r="F32" s="518"/>
      <c r="G32" s="519"/>
      <c r="H32" s="520"/>
      <c r="I32" s="521"/>
      <c r="J32" s="522"/>
      <c r="K32" s="523"/>
      <c r="L32" s="523"/>
      <c r="M32" s="523"/>
      <c r="N32" s="523"/>
      <c r="O32" s="522"/>
      <c r="P32" s="521"/>
    </row>
    <row r="33" spans="2:17" s="426" customFormat="1" ht="11.25" x14ac:dyDescent="0.2">
      <c r="B33" s="1231" t="str">
        <f>'Detailed Matrix'!E19</f>
        <v>Glazing ratio improvement</v>
      </c>
      <c r="C33" s="1228" t="str">
        <f>'Detailed Matrix'!F19</f>
        <v>~35% of façade glazed</v>
      </c>
      <c r="D33" s="492"/>
      <c r="E33" s="493"/>
      <c r="F33" s="494"/>
      <c r="G33" s="495"/>
      <c r="H33" s="496"/>
      <c r="I33" s="497"/>
      <c r="J33" s="498"/>
      <c r="K33" s="499"/>
      <c r="L33" s="499"/>
      <c r="M33" s="499"/>
      <c r="N33" s="499"/>
      <c r="O33" s="498"/>
      <c r="P33" s="497"/>
    </row>
    <row r="34" spans="2:17" s="426" customFormat="1" ht="11.25" x14ac:dyDescent="0.2">
      <c r="B34" s="1232"/>
      <c r="C34" s="1229"/>
      <c r="D34" s="500" t="s">
        <v>512</v>
      </c>
      <c r="E34" s="501"/>
      <c r="F34" s="502"/>
      <c r="G34" s="503"/>
      <c r="H34" s="504"/>
      <c r="I34" s="505"/>
      <c r="J34" s="506"/>
      <c r="K34" s="507"/>
      <c r="L34" s="507"/>
      <c r="M34" s="507"/>
      <c r="N34" s="507"/>
      <c r="O34" s="506"/>
      <c r="P34" s="505"/>
    </row>
    <row r="35" spans="2:17" s="426" customFormat="1" ht="11.25" x14ac:dyDescent="0.2">
      <c r="B35" s="1232"/>
      <c r="C35" s="1229"/>
      <c r="D35" s="508" t="s">
        <v>16</v>
      </c>
      <c r="E35" s="501">
        <f>-'Key Data'!$B$19</f>
        <v>-4183</v>
      </c>
      <c r="F35" s="502" t="s">
        <v>9</v>
      </c>
      <c r="G35" s="503">
        <f>'Key Data'!$B$22</f>
        <v>1000</v>
      </c>
      <c r="H35" s="509">
        <f t="shared" ref="H35:H36" si="7">E35*G35</f>
        <v>-4183000</v>
      </c>
      <c r="I35" s="505"/>
      <c r="J35" s="506"/>
      <c r="K35" s="507"/>
      <c r="L35" s="507"/>
      <c r="M35" s="507"/>
      <c r="N35" s="507"/>
      <c r="O35" s="506"/>
      <c r="P35" s="505"/>
    </row>
    <row r="36" spans="2:17" s="426" customFormat="1" ht="11.25" x14ac:dyDescent="0.2">
      <c r="B36" s="1232"/>
      <c r="C36" s="1229"/>
      <c r="D36" s="508" t="s">
        <v>17</v>
      </c>
      <c r="E36" s="501">
        <f>-'Key Data'!$B$20</f>
        <v>-2789</v>
      </c>
      <c r="F36" s="502" t="s">
        <v>9</v>
      </c>
      <c r="G36" s="503">
        <f>'Key Data'!$B$23</f>
        <v>600</v>
      </c>
      <c r="H36" s="509">
        <f t="shared" si="7"/>
        <v>-1673400</v>
      </c>
      <c r="I36" s="505"/>
      <c r="J36" s="506"/>
      <c r="K36" s="507"/>
      <c r="L36" s="507"/>
      <c r="M36" s="507"/>
      <c r="N36" s="507"/>
      <c r="O36" s="506"/>
      <c r="P36" s="505"/>
    </row>
    <row r="37" spans="2:17" s="426" customFormat="1" ht="11.25" x14ac:dyDescent="0.2">
      <c r="B37" s="1232"/>
      <c r="C37" s="1229"/>
      <c r="D37" s="508"/>
      <c r="E37" s="501"/>
      <c r="F37" s="502"/>
      <c r="G37" s="503"/>
      <c r="H37" s="504"/>
      <c r="I37" s="505"/>
      <c r="J37" s="506"/>
      <c r="K37" s="507"/>
      <c r="L37" s="507"/>
      <c r="M37" s="507"/>
      <c r="N37" s="507"/>
      <c r="O37" s="506"/>
      <c r="P37" s="505"/>
    </row>
    <row r="38" spans="2:17" s="426" customFormat="1" ht="11.25" x14ac:dyDescent="0.2">
      <c r="B38" s="1232"/>
      <c r="C38" s="1229"/>
      <c r="D38" s="510" t="s">
        <v>513</v>
      </c>
      <c r="E38" s="511">
        <v>0.35</v>
      </c>
      <c r="F38" s="502"/>
      <c r="G38" s="503"/>
      <c r="H38" s="504"/>
      <c r="I38" s="505"/>
      <c r="J38" s="506"/>
      <c r="K38" s="507"/>
      <c r="L38" s="507"/>
      <c r="M38" s="507"/>
      <c r="N38" s="507"/>
      <c r="O38" s="506"/>
      <c r="P38" s="505"/>
    </row>
    <row r="39" spans="2:17" s="426" customFormat="1" ht="11.25" x14ac:dyDescent="0.2">
      <c r="B39" s="1232"/>
      <c r="C39" s="1229"/>
      <c r="D39" s="508" t="s">
        <v>16</v>
      </c>
      <c r="E39" s="501">
        <f>'Key Data'!$B$18-E40</f>
        <v>4531.8</v>
      </c>
      <c r="F39" s="502" t="s">
        <v>9</v>
      </c>
      <c r="G39" s="503">
        <f>'Key Data'!$B$22</f>
        <v>1000</v>
      </c>
      <c r="H39" s="509">
        <f t="shared" ref="H39:H40" si="8">E39*G39</f>
        <v>4531800</v>
      </c>
      <c r="I39" s="505"/>
      <c r="J39" s="506"/>
      <c r="K39" s="507"/>
      <c r="L39" s="507"/>
      <c r="M39" s="507"/>
      <c r="N39" s="507"/>
      <c r="O39" s="506"/>
      <c r="P39" s="505"/>
    </row>
    <row r="40" spans="2:17" s="426" customFormat="1" ht="11.25" x14ac:dyDescent="0.2">
      <c r="B40" s="1233"/>
      <c r="C40" s="1229"/>
      <c r="D40" s="508" t="s">
        <v>17</v>
      </c>
      <c r="E40" s="501">
        <f>'Key Data'!$B$18*E38</f>
        <v>2440.1999999999998</v>
      </c>
      <c r="F40" s="502" t="s">
        <v>9</v>
      </c>
      <c r="G40" s="503">
        <f>'Key Data'!$B$23</f>
        <v>600</v>
      </c>
      <c r="H40" s="509">
        <f t="shared" si="8"/>
        <v>1464120</v>
      </c>
      <c r="I40" s="512">
        <f>SUM(H33:H40)</f>
        <v>139520</v>
      </c>
      <c r="J40" s="513">
        <f>I40*$J$5</f>
        <v>18137.600000000002</v>
      </c>
      <c r="K40" s="514">
        <f>SUM(I40:J40)*$K$5</f>
        <v>7094.5919999999996</v>
      </c>
      <c r="L40" s="514">
        <f>SUM(I40:K40)*$L$5</f>
        <v>9061.3705600000012</v>
      </c>
      <c r="M40" s="514">
        <f>SUM(I40:L40)*$M$5</f>
        <v>10428.813753600001</v>
      </c>
      <c r="N40" s="514">
        <f>SUM(I40:M40)*$N$5</f>
        <v>18424.237631360003</v>
      </c>
      <c r="O40" s="515">
        <f>SUM(I40:N40)</f>
        <v>202666.61394496003</v>
      </c>
      <c r="P40" s="512">
        <f>ROUND(O40,-3)</f>
        <v>203000</v>
      </c>
      <c r="Q40" s="426" t="s">
        <v>514</v>
      </c>
    </row>
    <row r="41" spans="2:17" s="426" customFormat="1" ht="12" thickBot="1" x14ac:dyDescent="0.25">
      <c r="B41" s="1234"/>
      <c r="C41" s="1230"/>
      <c r="D41" s="516"/>
      <c r="E41" s="517"/>
      <c r="F41" s="518"/>
      <c r="G41" s="519"/>
      <c r="H41" s="520"/>
      <c r="I41" s="521"/>
      <c r="J41" s="522"/>
      <c r="K41" s="523"/>
      <c r="L41" s="523"/>
      <c r="M41" s="523"/>
      <c r="N41" s="523"/>
      <c r="O41" s="522"/>
      <c r="P41" s="521"/>
    </row>
    <row r="42" spans="2:17" s="420" customFormat="1" ht="11.25" x14ac:dyDescent="0.2">
      <c r="B42" s="1231" t="str">
        <f>'Detailed Matrix'!E20</f>
        <v>Glazing ratio improvement</v>
      </c>
      <c r="C42" s="1228" t="str">
        <f>'Detailed Matrix'!F20</f>
        <v>~30% of façade glazed</v>
      </c>
      <c r="D42" s="492"/>
      <c r="E42" s="493"/>
      <c r="F42" s="494"/>
      <c r="G42" s="495"/>
      <c r="H42" s="496"/>
      <c r="I42" s="497"/>
      <c r="J42" s="498"/>
      <c r="K42" s="499"/>
      <c r="L42" s="499"/>
      <c r="M42" s="499"/>
      <c r="N42" s="499"/>
      <c r="O42" s="498"/>
      <c r="P42" s="497"/>
    </row>
    <row r="43" spans="2:17" s="420" customFormat="1" ht="11.25" x14ac:dyDescent="0.2">
      <c r="B43" s="1232"/>
      <c r="C43" s="1229"/>
      <c r="D43" s="500" t="s">
        <v>512</v>
      </c>
      <c r="E43" s="501"/>
      <c r="F43" s="502"/>
      <c r="G43" s="503"/>
      <c r="H43" s="504"/>
      <c r="I43" s="505"/>
      <c r="J43" s="506"/>
      <c r="K43" s="507"/>
      <c r="L43" s="507"/>
      <c r="M43" s="507"/>
      <c r="N43" s="507"/>
      <c r="O43" s="506"/>
      <c r="P43" s="505"/>
    </row>
    <row r="44" spans="2:17" s="420" customFormat="1" ht="11.25" x14ac:dyDescent="0.2">
      <c r="B44" s="1232"/>
      <c r="C44" s="1229"/>
      <c r="D44" s="508" t="s">
        <v>16</v>
      </c>
      <c r="E44" s="501">
        <f>-'Key Data'!$B$19</f>
        <v>-4183</v>
      </c>
      <c r="F44" s="502" t="s">
        <v>9</v>
      </c>
      <c r="G44" s="503">
        <f>'Key Data'!$B$22</f>
        <v>1000</v>
      </c>
      <c r="H44" s="509">
        <f t="shared" ref="H44:H45" si="9">E44*G44</f>
        <v>-4183000</v>
      </c>
      <c r="I44" s="505"/>
      <c r="J44" s="506"/>
      <c r="K44" s="507"/>
      <c r="L44" s="507"/>
      <c r="M44" s="507"/>
      <c r="N44" s="507"/>
      <c r="O44" s="506"/>
      <c r="P44" s="505"/>
    </row>
    <row r="45" spans="2:17" s="420" customFormat="1" ht="11.25" x14ac:dyDescent="0.2">
      <c r="B45" s="1232"/>
      <c r="C45" s="1229"/>
      <c r="D45" s="508" t="s">
        <v>17</v>
      </c>
      <c r="E45" s="501">
        <f>-'Key Data'!$B$20</f>
        <v>-2789</v>
      </c>
      <c r="F45" s="502" t="s">
        <v>9</v>
      </c>
      <c r="G45" s="503">
        <f>'Key Data'!$B$23</f>
        <v>600</v>
      </c>
      <c r="H45" s="509">
        <f t="shared" si="9"/>
        <v>-1673400</v>
      </c>
      <c r="I45" s="505"/>
      <c r="J45" s="506"/>
      <c r="K45" s="507"/>
      <c r="L45" s="507"/>
      <c r="M45" s="507"/>
      <c r="N45" s="507"/>
      <c r="O45" s="506"/>
      <c r="P45" s="505"/>
    </row>
    <row r="46" spans="2:17" s="420" customFormat="1" ht="11.25" x14ac:dyDescent="0.2">
      <c r="B46" s="1232"/>
      <c r="C46" s="1229"/>
      <c r="D46" s="508"/>
      <c r="E46" s="501"/>
      <c r="F46" s="502"/>
      <c r="G46" s="503"/>
      <c r="H46" s="504"/>
      <c r="I46" s="505"/>
      <c r="J46" s="506"/>
      <c r="K46" s="507"/>
      <c r="L46" s="507"/>
      <c r="M46" s="507"/>
      <c r="N46" s="507"/>
      <c r="O46" s="506"/>
      <c r="P46" s="505"/>
    </row>
    <row r="47" spans="2:17" s="420" customFormat="1" ht="11.25" x14ac:dyDescent="0.2">
      <c r="B47" s="1232"/>
      <c r="C47" s="1229"/>
      <c r="D47" s="510" t="s">
        <v>513</v>
      </c>
      <c r="E47" s="511">
        <v>0.3</v>
      </c>
      <c r="F47" s="502"/>
      <c r="G47" s="503"/>
      <c r="H47" s="504"/>
      <c r="I47" s="505"/>
      <c r="J47" s="506"/>
      <c r="K47" s="507"/>
      <c r="L47" s="507"/>
      <c r="M47" s="507"/>
      <c r="N47" s="507"/>
      <c r="O47" s="506"/>
      <c r="P47" s="505"/>
    </row>
    <row r="48" spans="2:17" s="420" customFormat="1" ht="11.25" x14ac:dyDescent="0.2">
      <c r="B48" s="1232"/>
      <c r="C48" s="1229"/>
      <c r="D48" s="508" t="s">
        <v>16</v>
      </c>
      <c r="E48" s="501">
        <f>'Key Data'!$B$18-E49</f>
        <v>4880.3999999999996</v>
      </c>
      <c r="F48" s="502" t="s">
        <v>9</v>
      </c>
      <c r="G48" s="503">
        <f>'Key Data'!$B$22</f>
        <v>1000</v>
      </c>
      <c r="H48" s="509">
        <f t="shared" ref="H48:H49" si="10">E48*G48</f>
        <v>4880400</v>
      </c>
      <c r="I48" s="505"/>
      <c r="J48" s="506"/>
      <c r="K48" s="507"/>
      <c r="L48" s="507"/>
      <c r="M48" s="507"/>
      <c r="N48" s="507"/>
      <c r="O48" s="506"/>
      <c r="P48" s="505"/>
    </row>
    <row r="49" spans="2:17" s="420" customFormat="1" ht="11.25" x14ac:dyDescent="0.2">
      <c r="B49" s="1233"/>
      <c r="C49" s="1229"/>
      <c r="D49" s="508" t="s">
        <v>17</v>
      </c>
      <c r="E49" s="501">
        <f>'Key Data'!$B$18*E47</f>
        <v>2091.6</v>
      </c>
      <c r="F49" s="502" t="s">
        <v>9</v>
      </c>
      <c r="G49" s="503">
        <f>'Key Data'!$B$23</f>
        <v>600</v>
      </c>
      <c r="H49" s="509">
        <f t="shared" si="10"/>
        <v>1254960</v>
      </c>
      <c r="I49" s="512">
        <f>SUM(H42:H49)</f>
        <v>278960</v>
      </c>
      <c r="J49" s="513">
        <f>I49*$J$5</f>
        <v>36264.800000000003</v>
      </c>
      <c r="K49" s="514">
        <f>SUM(I49:J49)*$K$5</f>
        <v>14185.115999999998</v>
      </c>
      <c r="L49" s="514">
        <f>SUM(I49:K49)*$L$5</f>
        <v>18117.54538</v>
      </c>
      <c r="M49" s="514">
        <f>SUM(I49:L49)*$M$5</f>
        <v>20851.647682799998</v>
      </c>
      <c r="N49" s="514">
        <f>SUM(I49:M49)*$N$5</f>
        <v>36837.910906280005</v>
      </c>
      <c r="O49" s="515">
        <f>SUM(I49:N49)</f>
        <v>405217.01996907999</v>
      </c>
      <c r="P49" s="512">
        <f>ROUND(O49,-3)</f>
        <v>405000</v>
      </c>
      <c r="Q49" s="420" t="s">
        <v>514</v>
      </c>
    </row>
    <row r="50" spans="2:17" s="420" customFormat="1" ht="12" thickBot="1" x14ac:dyDescent="0.25">
      <c r="B50" s="1234"/>
      <c r="C50" s="1230"/>
      <c r="D50" s="516"/>
      <c r="E50" s="517"/>
      <c r="F50" s="518"/>
      <c r="G50" s="519"/>
      <c r="H50" s="520"/>
      <c r="I50" s="521"/>
      <c r="J50" s="522"/>
      <c r="K50" s="523"/>
      <c r="L50" s="523"/>
      <c r="M50" s="523"/>
      <c r="N50" s="523"/>
      <c r="O50" s="522"/>
      <c r="P50" s="521"/>
    </row>
    <row r="51" spans="2:17" s="570" customFormat="1" ht="11.25" x14ac:dyDescent="0.2">
      <c r="B51" s="1233" t="str">
        <f>'Detailed Matrix'!E21</f>
        <v>External Wall U-Value enhancements</v>
      </c>
      <c r="C51" s="1228" t="str">
        <f>'Detailed Matrix'!F21</f>
        <v>Stage 01: U-Value &lt;0.18w/m2.k</v>
      </c>
      <c r="D51" s="524"/>
      <c r="E51" s="525"/>
      <c r="F51" s="526"/>
      <c r="G51" s="527"/>
      <c r="H51" s="509"/>
      <c r="I51" s="512"/>
      <c r="J51" s="513"/>
      <c r="K51" s="514"/>
      <c r="L51" s="514"/>
      <c r="M51" s="514"/>
      <c r="N51" s="514"/>
      <c r="O51" s="515"/>
      <c r="P51" s="512"/>
    </row>
    <row r="52" spans="2:17" s="570" customFormat="1" ht="11.25" x14ac:dyDescent="0.2">
      <c r="B52" s="1233"/>
      <c r="C52" s="1229"/>
      <c r="D52" s="524" t="s">
        <v>515</v>
      </c>
      <c r="E52" s="525">
        <f>IF('Detailed Matrix'!$L$16="Yes",$E$12,0)</f>
        <v>0</v>
      </c>
      <c r="F52" s="526" t="s">
        <v>9</v>
      </c>
      <c r="G52" s="527" t="str">
        <f>$G$64</f>
        <v>Included</v>
      </c>
      <c r="H52" s="509">
        <f>SUM(E52)*SUM(G52)</f>
        <v>0</v>
      </c>
      <c r="I52" s="512"/>
      <c r="J52" s="513"/>
      <c r="K52" s="514"/>
      <c r="L52" s="514"/>
      <c r="M52" s="514"/>
      <c r="N52" s="514"/>
      <c r="O52" s="515"/>
      <c r="P52" s="512"/>
    </row>
    <row r="53" spans="2:17" s="570" customFormat="1" ht="11.25" x14ac:dyDescent="0.2">
      <c r="B53" s="1233"/>
      <c r="C53" s="1229"/>
      <c r="D53" s="524" t="s">
        <v>516</v>
      </c>
      <c r="E53" s="525">
        <f>IF('Detailed Matrix'!$L$17="Yes",$E$21,0)</f>
        <v>0</v>
      </c>
      <c r="F53" s="526" t="s">
        <v>9</v>
      </c>
      <c r="G53" s="527" t="str">
        <f>G52</f>
        <v>Included</v>
      </c>
      <c r="H53" s="509">
        <f t="shared" ref="H53:H56" si="11">SUM(E53)*SUM(G53)</f>
        <v>0</v>
      </c>
      <c r="I53" s="512"/>
      <c r="J53" s="513"/>
      <c r="K53" s="514"/>
      <c r="L53" s="514"/>
      <c r="M53" s="514"/>
      <c r="N53" s="514"/>
      <c r="O53" s="515"/>
      <c r="P53" s="512"/>
    </row>
    <row r="54" spans="2:17" s="570" customFormat="1" ht="11.25" x14ac:dyDescent="0.2">
      <c r="B54" s="1233"/>
      <c r="C54" s="1229"/>
      <c r="D54" s="524" t="s">
        <v>517</v>
      </c>
      <c r="E54" s="525">
        <f>IF('Detailed Matrix'!$L$18="Yes",$E$30,0)</f>
        <v>0</v>
      </c>
      <c r="F54" s="526" t="s">
        <v>9</v>
      </c>
      <c r="G54" s="527" t="str">
        <f>G52</f>
        <v>Included</v>
      </c>
      <c r="H54" s="509">
        <f t="shared" si="11"/>
        <v>0</v>
      </c>
      <c r="I54" s="512"/>
      <c r="J54" s="513"/>
      <c r="K54" s="514"/>
      <c r="L54" s="514"/>
      <c r="M54" s="514"/>
      <c r="N54" s="514"/>
      <c r="O54" s="515"/>
      <c r="P54" s="512"/>
    </row>
    <row r="55" spans="2:17" s="570" customFormat="1" ht="11.25" x14ac:dyDescent="0.2">
      <c r="B55" s="1233"/>
      <c r="C55" s="1229"/>
      <c r="D55" s="524" t="s">
        <v>518</v>
      </c>
      <c r="E55" s="525">
        <f>IF('Detailed Matrix'!$L$19="Yes",$E$39,0)</f>
        <v>4531.8</v>
      </c>
      <c r="F55" s="526" t="s">
        <v>9</v>
      </c>
      <c r="G55" s="527" t="str">
        <f>G52</f>
        <v>Included</v>
      </c>
      <c r="H55" s="509">
        <f t="shared" si="11"/>
        <v>0</v>
      </c>
      <c r="I55" s="512"/>
      <c r="J55" s="513"/>
      <c r="K55" s="514"/>
      <c r="L55" s="514"/>
      <c r="M55" s="514"/>
      <c r="N55" s="514"/>
      <c r="O55" s="515"/>
      <c r="P55" s="512"/>
    </row>
    <row r="56" spans="2:17" s="570" customFormat="1" ht="11.25" x14ac:dyDescent="0.2">
      <c r="B56" s="1233"/>
      <c r="C56" s="1229"/>
      <c r="D56" s="524" t="s">
        <v>519</v>
      </c>
      <c r="E56" s="525">
        <f>IF('Detailed Matrix'!$L$20="Yes",$E$48,0)</f>
        <v>0</v>
      </c>
      <c r="F56" s="526" t="s">
        <v>9</v>
      </c>
      <c r="G56" s="527" t="str">
        <f>G52</f>
        <v>Included</v>
      </c>
      <c r="H56" s="509">
        <f t="shared" si="11"/>
        <v>0</v>
      </c>
      <c r="I56" s="512">
        <f>SUM(H51:H56)</f>
        <v>0</v>
      </c>
      <c r="J56" s="513">
        <f>I56*$J$5</f>
        <v>0</v>
      </c>
      <c r="K56" s="514">
        <f>SUM(I56:J56)*$K$5</f>
        <v>0</v>
      </c>
      <c r="L56" s="514">
        <f>SUM(I56:K56)*$L$5</f>
        <v>0</v>
      </c>
      <c r="M56" s="514">
        <f>SUM(I56:L56)*$M$5</f>
        <v>0</v>
      </c>
      <c r="N56" s="514">
        <f>SUM(I56:M56)*$N$5</f>
        <v>0</v>
      </c>
      <c r="O56" s="515">
        <f>SUM(I56:N56)</f>
        <v>0</v>
      </c>
      <c r="P56" s="512">
        <f>ROUND(O56,-3)</f>
        <v>0</v>
      </c>
      <c r="Q56" s="570" t="s">
        <v>514</v>
      </c>
    </row>
    <row r="57" spans="2:17" s="570" customFormat="1" ht="11.25" x14ac:dyDescent="0.2">
      <c r="B57" s="1239"/>
      <c r="C57" s="1229"/>
      <c r="D57" s="571"/>
      <c r="E57" s="572"/>
      <c r="F57" s="573"/>
      <c r="G57" s="574"/>
      <c r="H57" s="575"/>
      <c r="I57" s="576"/>
      <c r="J57" s="577"/>
      <c r="K57" s="578"/>
      <c r="L57" s="578"/>
      <c r="M57" s="578"/>
      <c r="N57" s="578"/>
      <c r="O57" s="579"/>
      <c r="P57" s="576"/>
    </row>
    <row r="58" spans="2:17" s="570" customFormat="1" ht="11.25" x14ac:dyDescent="0.2">
      <c r="B58" s="1239"/>
      <c r="C58" s="1229"/>
      <c r="D58" s="580" t="s">
        <v>520</v>
      </c>
      <c r="E58" s="572"/>
      <c r="F58" s="573"/>
      <c r="G58" s="574"/>
      <c r="H58" s="575"/>
      <c r="I58" s="576"/>
      <c r="J58" s="577"/>
      <c r="K58" s="578"/>
      <c r="L58" s="578"/>
      <c r="M58" s="578"/>
      <c r="N58" s="578"/>
      <c r="O58" s="579"/>
      <c r="P58" s="576"/>
    </row>
    <row r="59" spans="2:17" s="570" customFormat="1" ht="11.25" x14ac:dyDescent="0.2">
      <c r="B59" s="1239"/>
      <c r="C59" s="1229"/>
      <c r="D59" s="581" t="s">
        <v>521</v>
      </c>
      <c r="E59" s="572">
        <v>1</v>
      </c>
      <c r="F59" s="573" t="s">
        <v>9</v>
      </c>
      <c r="G59" s="574">
        <f>1121.77/34.56</f>
        <v>32.458622685185183</v>
      </c>
      <c r="H59" s="575"/>
      <c r="I59" s="576"/>
      <c r="J59" s="577"/>
      <c r="K59" s="578"/>
      <c r="L59" s="578"/>
      <c r="M59" s="578"/>
      <c r="N59" s="578"/>
      <c r="O59" s="579"/>
      <c r="P59" s="576"/>
    </row>
    <row r="60" spans="2:17" s="570" customFormat="1" ht="11.25" x14ac:dyDescent="0.2">
      <c r="B60" s="1239"/>
      <c r="C60" s="1229"/>
      <c r="D60" s="581" t="s">
        <v>522</v>
      </c>
      <c r="E60" s="572">
        <v>1</v>
      </c>
      <c r="F60" s="573" t="s">
        <v>9</v>
      </c>
      <c r="G60" s="574">
        <f>1274.45/34.56</f>
        <v>36.87644675925926</v>
      </c>
      <c r="H60" s="575"/>
      <c r="I60" s="576"/>
      <c r="J60" s="577"/>
      <c r="K60" s="578"/>
      <c r="L60" s="578"/>
      <c r="M60" s="578"/>
      <c r="N60" s="578"/>
      <c r="O60" s="579"/>
      <c r="P60" s="576"/>
    </row>
    <row r="61" spans="2:17" s="570" customFormat="1" ht="11.25" x14ac:dyDescent="0.2">
      <c r="B61" s="1239"/>
      <c r="C61" s="1229"/>
      <c r="D61" s="581" t="s">
        <v>523</v>
      </c>
      <c r="E61" s="572">
        <v>1</v>
      </c>
      <c r="F61" s="573" t="s">
        <v>9</v>
      </c>
      <c r="G61" s="582" t="s">
        <v>524</v>
      </c>
      <c r="H61" s="575"/>
      <c r="I61" s="576"/>
      <c r="J61" s="577"/>
      <c r="K61" s="578"/>
      <c r="L61" s="578"/>
      <c r="M61" s="578"/>
      <c r="N61" s="578"/>
      <c r="O61" s="579"/>
      <c r="P61" s="576"/>
    </row>
    <row r="62" spans="2:17" s="570" customFormat="1" ht="11.25" x14ac:dyDescent="0.2">
      <c r="B62" s="1239"/>
      <c r="C62" s="1229"/>
      <c r="D62" s="581" t="s">
        <v>525</v>
      </c>
      <c r="E62" s="583">
        <v>0.15</v>
      </c>
      <c r="F62" s="573"/>
      <c r="G62" s="574">
        <f>SUM(G59:G61)*E62</f>
        <v>10.400260416666667</v>
      </c>
      <c r="H62" s="575"/>
      <c r="I62" s="576"/>
      <c r="J62" s="577"/>
      <c r="K62" s="578"/>
      <c r="L62" s="578"/>
      <c r="M62" s="578"/>
      <c r="N62" s="578"/>
      <c r="O62" s="579"/>
      <c r="P62" s="576"/>
    </row>
    <row r="63" spans="2:17" s="570" customFormat="1" ht="11.25" x14ac:dyDescent="0.2">
      <c r="B63" s="1239"/>
      <c r="C63" s="1229"/>
      <c r="D63" s="581" t="s">
        <v>526</v>
      </c>
      <c r="E63" s="583"/>
      <c r="F63" s="573"/>
      <c r="G63" s="584">
        <v>0</v>
      </c>
      <c r="H63" s="575"/>
      <c r="I63" s="576"/>
      <c r="J63" s="577"/>
      <c r="K63" s="578"/>
      <c r="L63" s="578"/>
      <c r="M63" s="578"/>
      <c r="N63" s="578"/>
      <c r="O63" s="579"/>
      <c r="P63" s="576"/>
    </row>
    <row r="64" spans="2:17" s="589" customFormat="1" ht="11.25" x14ac:dyDescent="0.2">
      <c r="B64" s="1239"/>
      <c r="C64" s="1229"/>
      <c r="D64" s="585" t="s">
        <v>527</v>
      </c>
      <c r="E64" s="572"/>
      <c r="F64" s="573"/>
      <c r="G64" s="586" t="s">
        <v>528</v>
      </c>
      <c r="H64" s="587"/>
      <c r="I64" s="576"/>
      <c r="J64" s="579"/>
      <c r="K64" s="588"/>
      <c r="L64" s="588"/>
      <c r="M64" s="588"/>
      <c r="N64" s="588"/>
      <c r="O64" s="579"/>
      <c r="P64" s="576"/>
    </row>
    <row r="65" spans="2:17" s="570" customFormat="1" ht="12" thickBot="1" x14ac:dyDescent="0.25">
      <c r="B65" s="1234"/>
      <c r="C65" s="1230"/>
      <c r="D65" s="516"/>
      <c r="E65" s="517"/>
      <c r="F65" s="518"/>
      <c r="G65" s="519"/>
      <c r="H65" s="520"/>
      <c r="I65" s="521"/>
      <c r="J65" s="590"/>
      <c r="K65" s="591"/>
      <c r="L65" s="591"/>
      <c r="M65" s="591"/>
      <c r="N65" s="591"/>
      <c r="O65" s="522"/>
      <c r="P65" s="521"/>
    </row>
    <row r="66" spans="2:17" s="570" customFormat="1" ht="10.5" customHeight="1" x14ac:dyDescent="0.2">
      <c r="B66" s="1233" t="str">
        <f>'Detailed Matrix'!E22</f>
        <v>External Wall U-Value enhancements</v>
      </c>
      <c r="C66" s="802" t="str">
        <f>'Detailed Matrix'!F22</f>
        <v>Stage 02: U-Value &lt;0.17w/m2.k</v>
      </c>
      <c r="D66" s="524"/>
      <c r="E66" s="525"/>
      <c r="F66" s="526"/>
      <c r="G66" s="527"/>
      <c r="H66" s="509"/>
      <c r="I66" s="512"/>
      <c r="J66" s="513"/>
      <c r="K66" s="514"/>
      <c r="L66" s="514"/>
      <c r="M66" s="514"/>
      <c r="N66" s="514"/>
      <c r="O66" s="515"/>
      <c r="P66" s="512"/>
    </row>
    <row r="67" spans="2:17" s="570" customFormat="1" ht="14.45" customHeight="1" x14ac:dyDescent="0.2">
      <c r="B67" s="1233"/>
      <c r="C67" s="803"/>
      <c r="D67" s="524" t="s">
        <v>515</v>
      </c>
      <c r="E67" s="525">
        <f>IF('Detailed Matrix'!$L$16="Yes",$E$12,0)</f>
        <v>0</v>
      </c>
      <c r="F67" s="526" t="s">
        <v>9</v>
      </c>
      <c r="G67" s="527">
        <f>$G$80</f>
        <v>14.999099392361117</v>
      </c>
      <c r="H67" s="509">
        <f t="shared" ref="H67:H71" si="12">E67*G67</f>
        <v>0</v>
      </c>
      <c r="I67" s="512"/>
      <c r="J67" s="513"/>
      <c r="K67" s="514"/>
      <c r="L67" s="514"/>
      <c r="M67" s="514"/>
      <c r="N67" s="514"/>
      <c r="O67" s="515"/>
      <c r="P67" s="512"/>
    </row>
    <row r="68" spans="2:17" s="570" customFormat="1" ht="38.1" customHeight="1" x14ac:dyDescent="0.2">
      <c r="B68" s="1233"/>
      <c r="C68" s="803" t="s">
        <v>529</v>
      </c>
      <c r="D68" s="524" t="s">
        <v>516</v>
      </c>
      <c r="E68" s="525">
        <f>IF('Detailed Matrix'!$L$17="Yes",$E$21,0)</f>
        <v>0</v>
      </c>
      <c r="F68" s="526" t="s">
        <v>9</v>
      </c>
      <c r="G68" s="527">
        <f t="shared" ref="G68:G71" si="13">G67</f>
        <v>14.999099392361117</v>
      </c>
      <c r="H68" s="509">
        <f t="shared" si="12"/>
        <v>0</v>
      </c>
      <c r="I68" s="512"/>
      <c r="J68" s="513"/>
      <c r="K68" s="514"/>
      <c r="L68" s="514"/>
      <c r="M68" s="514"/>
      <c r="N68" s="514"/>
      <c r="O68" s="515"/>
      <c r="P68" s="512"/>
    </row>
    <row r="69" spans="2:17" s="570" customFormat="1" ht="14.45" customHeight="1" x14ac:dyDescent="0.2">
      <c r="B69" s="1233"/>
      <c r="C69" s="803"/>
      <c r="D69" s="524" t="s">
        <v>517</v>
      </c>
      <c r="E69" s="525">
        <f>IF('Detailed Matrix'!$L$18="Yes",$E$30,0)</f>
        <v>0</v>
      </c>
      <c r="F69" s="526" t="s">
        <v>9</v>
      </c>
      <c r="G69" s="527">
        <f t="shared" si="13"/>
        <v>14.999099392361117</v>
      </c>
      <c r="H69" s="509">
        <f t="shared" si="12"/>
        <v>0</v>
      </c>
      <c r="I69" s="512"/>
      <c r="J69" s="513"/>
      <c r="K69" s="514"/>
      <c r="L69" s="514"/>
      <c r="M69" s="514"/>
      <c r="N69" s="514"/>
      <c r="O69" s="515"/>
      <c r="P69" s="512"/>
    </row>
    <row r="70" spans="2:17" s="570" customFormat="1" ht="14.45" customHeight="1" x14ac:dyDescent="0.2">
      <c r="B70" s="1233"/>
      <c r="C70" s="803"/>
      <c r="D70" s="524" t="s">
        <v>518</v>
      </c>
      <c r="E70" s="525">
        <f>IF('Detailed Matrix'!$L$19="Yes",$E$39,0)</f>
        <v>4531.8</v>
      </c>
      <c r="F70" s="526" t="s">
        <v>9</v>
      </c>
      <c r="G70" s="527">
        <f t="shared" si="13"/>
        <v>14.999099392361117</v>
      </c>
      <c r="H70" s="509">
        <f t="shared" si="12"/>
        <v>67972.918626302111</v>
      </c>
      <c r="I70" s="512"/>
      <c r="J70" s="513"/>
      <c r="K70" s="514"/>
      <c r="L70" s="514"/>
      <c r="M70" s="514"/>
      <c r="N70" s="514"/>
      <c r="O70" s="515"/>
      <c r="P70" s="512"/>
    </row>
    <row r="71" spans="2:17" s="570" customFormat="1" ht="14.45" customHeight="1" x14ac:dyDescent="0.2">
      <c r="B71" s="1233"/>
      <c r="C71" s="803"/>
      <c r="D71" s="524" t="s">
        <v>519</v>
      </c>
      <c r="E71" s="525">
        <f>IF('Detailed Matrix'!$L$20="Yes",$E$48,0)</f>
        <v>0</v>
      </c>
      <c r="F71" s="526" t="s">
        <v>9</v>
      </c>
      <c r="G71" s="527">
        <f t="shared" si="13"/>
        <v>14.999099392361117</v>
      </c>
      <c r="H71" s="509">
        <f t="shared" si="12"/>
        <v>0</v>
      </c>
      <c r="I71" s="512">
        <f>SUM(H66:H71)</f>
        <v>67972.918626302111</v>
      </c>
      <c r="J71" s="513">
        <f>I71*$J$5</f>
        <v>8836.4794214192752</v>
      </c>
      <c r="K71" s="514">
        <f>SUM(I71:J71)*$K$5</f>
        <v>3456.4229121474623</v>
      </c>
      <c r="L71" s="514">
        <f>SUM(I71:K71)*$L$5</f>
        <v>4414.6201527927869</v>
      </c>
      <c r="M71" s="514">
        <f>SUM(I71:L71)*$M$5</f>
        <v>5080.8264667596986</v>
      </c>
      <c r="N71" s="514">
        <f>SUM(I71:M71)*$N$5</f>
        <v>8976.1267579421346</v>
      </c>
      <c r="O71" s="515">
        <f>SUM(I71:N71)</f>
        <v>98737.394337363483</v>
      </c>
      <c r="P71" s="512">
        <f>ROUND(O71,-3)</f>
        <v>99000</v>
      </c>
      <c r="Q71" s="570" t="s">
        <v>514</v>
      </c>
    </row>
    <row r="72" spans="2:17" s="570" customFormat="1" ht="14.45" customHeight="1" x14ac:dyDescent="0.2">
      <c r="B72" s="1239"/>
      <c r="C72" s="803"/>
      <c r="D72" s="571"/>
      <c r="E72" s="572"/>
      <c r="F72" s="573"/>
      <c r="G72" s="574"/>
      <c r="H72" s="575"/>
      <c r="I72" s="576"/>
      <c r="J72" s="577"/>
      <c r="K72" s="578"/>
      <c r="L72" s="578"/>
      <c r="M72" s="578"/>
      <c r="N72" s="578"/>
      <c r="O72" s="579"/>
      <c r="P72" s="576"/>
    </row>
    <row r="73" spans="2:17" s="570" customFormat="1" ht="14.45" customHeight="1" x14ac:dyDescent="0.2">
      <c r="B73" s="1239"/>
      <c r="C73" s="803"/>
      <c r="D73" s="580" t="s">
        <v>520</v>
      </c>
      <c r="E73" s="572"/>
      <c r="F73" s="573"/>
      <c r="G73" s="574"/>
      <c r="H73" s="575"/>
      <c r="I73" s="576"/>
      <c r="J73" s="577"/>
      <c r="K73" s="578"/>
      <c r="L73" s="578"/>
      <c r="M73" s="578"/>
      <c r="N73" s="578"/>
      <c r="O73" s="579"/>
      <c r="P73" s="576"/>
    </row>
    <row r="74" spans="2:17" s="570" customFormat="1" ht="14.45" customHeight="1" x14ac:dyDescent="0.2">
      <c r="B74" s="1239"/>
      <c r="C74" s="803"/>
      <c r="D74" s="581" t="s">
        <v>530</v>
      </c>
      <c r="E74" s="572">
        <v>1</v>
      </c>
      <c r="F74" s="573" t="s">
        <v>9</v>
      </c>
      <c r="G74" s="574">
        <f>1189.69/23.04</f>
        <v>51.63585069444445</v>
      </c>
      <c r="H74" s="575"/>
      <c r="I74" s="576"/>
      <c r="J74" s="577"/>
      <c r="K74" s="578"/>
      <c r="L74" s="578"/>
      <c r="M74" s="578"/>
      <c r="N74" s="578"/>
      <c r="O74" s="579"/>
      <c r="P74" s="576"/>
    </row>
    <row r="75" spans="2:17" s="570" customFormat="1" ht="14.45" customHeight="1" x14ac:dyDescent="0.2">
      <c r="B75" s="1239"/>
      <c r="C75" s="803"/>
      <c r="D75" s="581" t="s">
        <v>531</v>
      </c>
      <c r="E75" s="572">
        <v>1</v>
      </c>
      <c r="F75" s="573" t="s">
        <v>9</v>
      </c>
      <c r="G75" s="574">
        <f>1176.17/46.08</f>
        <v>25.524522569444446</v>
      </c>
      <c r="H75" s="575"/>
      <c r="I75" s="576"/>
      <c r="J75" s="577"/>
      <c r="K75" s="578"/>
      <c r="L75" s="578"/>
      <c r="M75" s="578"/>
      <c r="N75" s="578"/>
      <c r="O75" s="579"/>
      <c r="P75" s="576"/>
    </row>
    <row r="76" spans="2:17" s="570" customFormat="1" ht="14.45" customHeight="1" x14ac:dyDescent="0.2">
      <c r="B76" s="1239"/>
      <c r="C76" s="803"/>
      <c r="D76" s="581" t="s">
        <v>523</v>
      </c>
      <c r="E76" s="572">
        <v>1</v>
      </c>
      <c r="F76" s="573" t="s">
        <v>9</v>
      </c>
      <c r="G76" s="582">
        <v>5</v>
      </c>
      <c r="H76" s="575"/>
      <c r="I76" s="576"/>
      <c r="J76" s="577"/>
      <c r="K76" s="578"/>
      <c r="L76" s="578"/>
      <c r="M76" s="578"/>
      <c r="N76" s="578"/>
      <c r="O76" s="579"/>
      <c r="P76" s="576"/>
    </row>
    <row r="77" spans="2:17" s="570" customFormat="1" ht="14.45" customHeight="1" x14ac:dyDescent="0.2">
      <c r="B77" s="1239"/>
      <c r="C77" s="803"/>
      <c r="D77" s="581" t="s">
        <v>525</v>
      </c>
      <c r="E77" s="583">
        <v>0.15</v>
      </c>
      <c r="F77" s="573"/>
      <c r="G77" s="574">
        <f>SUM(G74:G76)*E77</f>
        <v>12.324055989583334</v>
      </c>
      <c r="H77" s="575"/>
      <c r="I77" s="576"/>
      <c r="J77" s="577"/>
      <c r="K77" s="578"/>
      <c r="L77" s="578"/>
      <c r="M77" s="578"/>
      <c r="N77" s="578"/>
      <c r="O77" s="579"/>
      <c r="P77" s="576"/>
    </row>
    <row r="78" spans="2:17" s="570" customFormat="1" ht="14.45" customHeight="1" x14ac:dyDescent="0.2">
      <c r="B78" s="1239"/>
      <c r="C78" s="803"/>
      <c r="D78" s="581" t="s">
        <v>532</v>
      </c>
      <c r="E78" s="583"/>
      <c r="F78" s="573"/>
      <c r="G78" s="758">
        <f>-SUM(G59:G63)</f>
        <v>-79.735329861111111</v>
      </c>
      <c r="H78" s="575"/>
      <c r="I78" s="576"/>
      <c r="J78" s="577"/>
      <c r="K78" s="578"/>
      <c r="L78" s="578"/>
      <c r="M78" s="578"/>
      <c r="N78" s="578"/>
      <c r="O78" s="579"/>
      <c r="P78" s="576"/>
    </row>
    <row r="79" spans="2:17" s="570" customFormat="1" ht="14.45" customHeight="1" x14ac:dyDescent="0.2">
      <c r="B79" s="1239"/>
      <c r="C79" s="803"/>
      <c r="D79" s="581" t="s">
        <v>526</v>
      </c>
      <c r="E79" s="583"/>
      <c r="F79" s="573"/>
      <c r="G79" s="584">
        <v>0.25</v>
      </c>
      <c r="H79" s="575"/>
      <c r="I79" s="576"/>
      <c r="J79" s="577"/>
      <c r="K79" s="578"/>
      <c r="L79" s="578"/>
      <c r="M79" s="578"/>
      <c r="N79" s="578"/>
      <c r="O79" s="579"/>
      <c r="P79" s="576"/>
    </row>
    <row r="80" spans="2:17" s="589" customFormat="1" ht="14.45" customHeight="1" x14ac:dyDescent="0.2">
      <c r="B80" s="1239"/>
      <c r="C80" s="803"/>
      <c r="D80" s="585" t="s">
        <v>527</v>
      </c>
      <c r="E80" s="572"/>
      <c r="F80" s="573"/>
      <c r="G80" s="586">
        <f>SUM(G74:G79)</f>
        <v>14.999099392361117</v>
      </c>
      <c r="H80" s="587"/>
      <c r="I80" s="576"/>
      <c r="J80" s="579"/>
      <c r="K80" s="588"/>
      <c r="L80" s="588"/>
      <c r="M80" s="588"/>
      <c r="N80" s="588"/>
      <c r="O80" s="579"/>
      <c r="P80" s="576"/>
    </row>
    <row r="81" spans="2:17" s="570" customFormat="1" ht="15" customHeight="1" thickBot="1" x14ac:dyDescent="0.25">
      <c r="B81" s="1234"/>
      <c r="C81" s="804"/>
      <c r="D81" s="516"/>
      <c r="E81" s="517"/>
      <c r="F81" s="518"/>
      <c r="G81" s="519"/>
      <c r="H81" s="520"/>
      <c r="I81" s="521"/>
      <c r="J81" s="590"/>
      <c r="K81" s="591"/>
      <c r="L81" s="591"/>
      <c r="M81" s="591"/>
      <c r="N81" s="591"/>
      <c r="O81" s="522"/>
      <c r="P81" s="521"/>
    </row>
    <row r="82" spans="2:17" s="570" customFormat="1" ht="10.5" customHeight="1" x14ac:dyDescent="0.2">
      <c r="B82" s="1233" t="str">
        <f>'Detailed Matrix'!E23</f>
        <v>External Wall U-Value enhancements</v>
      </c>
      <c r="C82" s="802" t="str">
        <f>'Detailed Matrix'!F23</f>
        <v>Stage 03: U-Value &lt;0.16w/m2.k</v>
      </c>
      <c r="D82" s="524"/>
      <c r="E82" s="525"/>
      <c r="F82" s="526"/>
      <c r="G82" s="527"/>
      <c r="H82" s="509"/>
      <c r="I82" s="512"/>
      <c r="J82" s="513"/>
      <c r="K82" s="514"/>
      <c r="L82" s="514"/>
      <c r="M82" s="514"/>
      <c r="N82" s="514"/>
      <c r="O82" s="515"/>
      <c r="P82" s="512"/>
    </row>
    <row r="83" spans="2:17" s="570" customFormat="1" ht="11.25" x14ac:dyDescent="0.2">
      <c r="B83" s="1233"/>
      <c r="C83" s="803"/>
      <c r="D83" s="524" t="s">
        <v>515</v>
      </c>
      <c r="E83" s="525">
        <f>IF('Detailed Matrix'!$L$16="Yes",$E$12,0)</f>
        <v>0</v>
      </c>
      <c r="F83" s="526" t="s">
        <v>9</v>
      </c>
      <c r="G83" s="527">
        <f>$G$96</f>
        <v>25.002963686342582</v>
      </c>
      <c r="H83" s="509">
        <f t="shared" ref="H83:H87" si="14">E83*G83</f>
        <v>0</v>
      </c>
      <c r="I83" s="512"/>
      <c r="J83" s="513"/>
      <c r="K83" s="514"/>
      <c r="L83" s="514"/>
      <c r="M83" s="514"/>
      <c r="N83" s="514"/>
      <c r="O83" s="515"/>
      <c r="P83" s="512"/>
    </row>
    <row r="84" spans="2:17" s="570" customFormat="1" ht="33.75" x14ac:dyDescent="0.2">
      <c r="B84" s="1233"/>
      <c r="C84" s="803" t="s">
        <v>533</v>
      </c>
      <c r="D84" s="524" t="s">
        <v>516</v>
      </c>
      <c r="E84" s="525">
        <f>IF('Detailed Matrix'!$L$17="Yes",$E$21,0)</f>
        <v>0</v>
      </c>
      <c r="F84" s="526" t="s">
        <v>9</v>
      </c>
      <c r="G84" s="527">
        <f t="shared" ref="G84:G87" si="15">G83</f>
        <v>25.002963686342582</v>
      </c>
      <c r="H84" s="509">
        <f t="shared" si="14"/>
        <v>0</v>
      </c>
      <c r="I84" s="512"/>
      <c r="J84" s="513"/>
      <c r="K84" s="514"/>
      <c r="L84" s="514"/>
      <c r="M84" s="514"/>
      <c r="N84" s="514"/>
      <c r="O84" s="515"/>
      <c r="P84" s="512"/>
    </row>
    <row r="85" spans="2:17" s="570" customFormat="1" ht="11.25" x14ac:dyDescent="0.2">
      <c r="B85" s="1233"/>
      <c r="C85" s="803"/>
      <c r="D85" s="524" t="s">
        <v>517</v>
      </c>
      <c r="E85" s="525">
        <f>IF('Detailed Matrix'!$L$18="Yes",$E$30,0)</f>
        <v>0</v>
      </c>
      <c r="F85" s="526" t="s">
        <v>9</v>
      </c>
      <c r="G85" s="527">
        <f t="shared" si="15"/>
        <v>25.002963686342582</v>
      </c>
      <c r="H85" s="509">
        <f t="shared" si="14"/>
        <v>0</v>
      </c>
      <c r="I85" s="512"/>
      <c r="J85" s="513"/>
      <c r="K85" s="514"/>
      <c r="L85" s="514"/>
      <c r="M85" s="514"/>
      <c r="N85" s="514"/>
      <c r="O85" s="515"/>
      <c r="P85" s="512"/>
    </row>
    <row r="86" spans="2:17" s="570" customFormat="1" ht="11.25" x14ac:dyDescent="0.2">
      <c r="B86" s="1233"/>
      <c r="C86" s="803"/>
      <c r="D86" s="524" t="s">
        <v>518</v>
      </c>
      <c r="E86" s="525">
        <f>IF('Detailed Matrix'!$L$19="Yes",$E$39,0)</f>
        <v>4531.8</v>
      </c>
      <c r="F86" s="526" t="s">
        <v>9</v>
      </c>
      <c r="G86" s="527">
        <f t="shared" si="15"/>
        <v>25.002963686342582</v>
      </c>
      <c r="H86" s="509">
        <f t="shared" si="14"/>
        <v>113308.43083376731</v>
      </c>
      <c r="I86" s="512"/>
      <c r="J86" s="513"/>
      <c r="K86" s="514"/>
      <c r="L86" s="514"/>
      <c r="M86" s="514"/>
      <c r="N86" s="514"/>
      <c r="O86" s="515"/>
      <c r="P86" s="512"/>
    </row>
    <row r="87" spans="2:17" s="570" customFormat="1" ht="11.25" x14ac:dyDescent="0.2">
      <c r="B87" s="1233"/>
      <c r="C87" s="803"/>
      <c r="D87" s="524" t="s">
        <v>519</v>
      </c>
      <c r="E87" s="525">
        <f>IF('Detailed Matrix'!$L$20="Yes",$E$48,0)</f>
        <v>0</v>
      </c>
      <c r="F87" s="526" t="s">
        <v>9</v>
      </c>
      <c r="G87" s="527">
        <f t="shared" si="15"/>
        <v>25.002963686342582</v>
      </c>
      <c r="H87" s="509">
        <f t="shared" si="14"/>
        <v>0</v>
      </c>
      <c r="I87" s="512">
        <f>SUM(H82:H87)</f>
        <v>113308.43083376731</v>
      </c>
      <c r="J87" s="513">
        <f>I87*$J$5</f>
        <v>14730.096008389752</v>
      </c>
      <c r="K87" s="514">
        <f>SUM(I87:J87)*$K$5</f>
        <v>5761.7337078970677</v>
      </c>
      <c r="L87" s="514">
        <f>SUM(I87:K87)*$L$5</f>
        <v>7359.0143302529777</v>
      </c>
      <c r="M87" s="514">
        <f>SUM(I87:L87)*$M$5</f>
        <v>8469.5564928184267</v>
      </c>
      <c r="N87" s="514">
        <f>SUM(I87:M87)*$N$5</f>
        <v>14962.883137312556</v>
      </c>
      <c r="O87" s="515">
        <f>SUM(I87:N87)</f>
        <v>164591.71451043809</v>
      </c>
      <c r="P87" s="512">
        <f>ROUND(O87,-3)</f>
        <v>165000</v>
      </c>
      <c r="Q87" s="570" t="s">
        <v>514</v>
      </c>
    </row>
    <row r="88" spans="2:17" s="570" customFormat="1" ht="11.25" x14ac:dyDescent="0.2">
      <c r="B88" s="1239"/>
      <c r="C88" s="803"/>
      <c r="D88" s="571"/>
      <c r="E88" s="572"/>
      <c r="F88" s="573"/>
      <c r="G88" s="574"/>
      <c r="H88" s="575"/>
      <c r="I88" s="576"/>
      <c r="J88" s="577"/>
      <c r="K88" s="578"/>
      <c r="L88" s="578"/>
      <c r="M88" s="578"/>
      <c r="N88" s="578"/>
      <c r="O88" s="579"/>
      <c r="P88" s="576"/>
    </row>
    <row r="89" spans="2:17" s="570" customFormat="1" ht="11.25" x14ac:dyDescent="0.2">
      <c r="B89" s="1239"/>
      <c r="C89" s="803"/>
      <c r="D89" s="580" t="s">
        <v>520</v>
      </c>
      <c r="E89" s="572"/>
      <c r="F89" s="573"/>
      <c r="G89" s="574"/>
      <c r="H89" s="575"/>
      <c r="I89" s="576"/>
      <c r="J89" s="577"/>
      <c r="K89" s="578"/>
      <c r="L89" s="578"/>
      <c r="M89" s="578"/>
      <c r="N89" s="578"/>
      <c r="O89" s="579"/>
      <c r="P89" s="576"/>
    </row>
    <row r="90" spans="2:17" s="570" customFormat="1" ht="11.25" x14ac:dyDescent="0.2">
      <c r="B90" s="1239"/>
      <c r="C90" s="803"/>
      <c r="D90" s="581" t="s">
        <v>534</v>
      </c>
      <c r="E90" s="572">
        <v>1</v>
      </c>
      <c r="F90" s="573" t="s">
        <v>9</v>
      </c>
      <c r="G90" s="574">
        <f>1273.2/23.04</f>
        <v>55.260416666666671</v>
      </c>
      <c r="H90" s="575"/>
      <c r="I90" s="576"/>
      <c r="J90" s="577"/>
      <c r="K90" s="578"/>
      <c r="L90" s="578"/>
      <c r="M90" s="578"/>
      <c r="N90" s="578"/>
      <c r="O90" s="579"/>
      <c r="P90" s="576"/>
    </row>
    <row r="91" spans="2:17" s="570" customFormat="1" ht="11.25" x14ac:dyDescent="0.2">
      <c r="B91" s="1239"/>
      <c r="C91" s="803"/>
      <c r="D91" s="581" t="s">
        <v>522</v>
      </c>
      <c r="E91" s="572">
        <v>1</v>
      </c>
      <c r="F91" s="573" t="s">
        <v>9</v>
      </c>
      <c r="G91" s="574">
        <f>1274.45/34.56</f>
        <v>36.87644675925926</v>
      </c>
      <c r="H91" s="575"/>
      <c r="I91" s="576"/>
      <c r="J91" s="577"/>
      <c r="K91" s="578"/>
      <c r="L91" s="578"/>
      <c r="M91" s="578"/>
      <c r="N91" s="578"/>
      <c r="O91" s="579"/>
      <c r="P91" s="576"/>
    </row>
    <row r="92" spans="2:17" s="570" customFormat="1" ht="11.25" x14ac:dyDescent="0.2">
      <c r="B92" s="1239"/>
      <c r="C92" s="803"/>
      <c r="D92" s="581" t="s">
        <v>523</v>
      </c>
      <c r="E92" s="572">
        <v>1</v>
      </c>
      <c r="F92" s="573" t="s">
        <v>9</v>
      </c>
      <c r="G92" s="582">
        <v>10</v>
      </c>
      <c r="H92" s="575"/>
      <c r="I92" s="576"/>
      <c r="J92" s="577"/>
      <c r="K92" s="578"/>
      <c r="L92" s="578"/>
      <c r="M92" s="578"/>
      <c r="N92" s="578"/>
      <c r="O92" s="579"/>
      <c r="P92" s="576"/>
    </row>
    <row r="93" spans="2:17" s="570" customFormat="1" ht="11.25" x14ac:dyDescent="0.2">
      <c r="B93" s="1239"/>
      <c r="C93" s="803"/>
      <c r="D93" s="581" t="s">
        <v>525</v>
      </c>
      <c r="E93" s="583">
        <v>0.15</v>
      </c>
      <c r="F93" s="573"/>
      <c r="G93" s="574">
        <f>SUM(G90:G92)*E93</f>
        <v>15.320529513888888</v>
      </c>
      <c r="H93" s="575"/>
      <c r="I93" s="576"/>
      <c r="J93" s="577"/>
      <c r="K93" s="578"/>
      <c r="L93" s="578"/>
      <c r="M93" s="578"/>
      <c r="N93" s="578"/>
      <c r="O93" s="579"/>
      <c r="P93" s="576"/>
    </row>
    <row r="94" spans="2:17" s="570" customFormat="1" ht="11.25" x14ac:dyDescent="0.2">
      <c r="B94" s="1239"/>
      <c r="C94" s="803"/>
      <c r="D94" s="581" t="s">
        <v>526</v>
      </c>
      <c r="E94" s="583"/>
      <c r="F94" s="573"/>
      <c r="G94" s="584">
        <v>2.2799999999999998</v>
      </c>
      <c r="H94" s="575"/>
      <c r="I94" s="576"/>
      <c r="J94" s="577"/>
      <c r="K94" s="578"/>
      <c r="L94" s="578"/>
      <c r="M94" s="578"/>
      <c r="N94" s="578"/>
      <c r="O94" s="579"/>
      <c r="P94" s="576"/>
    </row>
    <row r="95" spans="2:17" s="570" customFormat="1" ht="11.25" x14ac:dyDescent="0.2">
      <c r="B95" s="1239"/>
      <c r="C95" s="803"/>
      <c r="D95" s="581" t="s">
        <v>535</v>
      </c>
      <c r="E95" s="583"/>
      <c r="F95" s="573"/>
      <c r="G95" s="584">
        <f>-SUM(G59:G63,G80)</f>
        <v>-94.734429253472229</v>
      </c>
      <c r="H95" s="575"/>
      <c r="I95" s="576"/>
      <c r="J95" s="577"/>
      <c r="K95" s="578"/>
      <c r="L95" s="578"/>
      <c r="M95" s="578"/>
      <c r="N95" s="578"/>
      <c r="O95" s="579"/>
      <c r="P95" s="576"/>
    </row>
    <row r="96" spans="2:17" s="589" customFormat="1" ht="11.25" x14ac:dyDescent="0.2">
      <c r="B96" s="1239"/>
      <c r="C96" s="803"/>
      <c r="D96" s="585" t="s">
        <v>527</v>
      </c>
      <c r="E96" s="572"/>
      <c r="F96" s="573"/>
      <c r="G96" s="586">
        <f>SUM(G90:G95)</f>
        <v>25.002963686342582</v>
      </c>
      <c r="H96" s="587"/>
      <c r="I96" s="576"/>
      <c r="J96" s="579"/>
      <c r="K96" s="588"/>
      <c r="L96" s="588"/>
      <c r="M96" s="588"/>
      <c r="N96" s="588"/>
      <c r="O96" s="579"/>
      <c r="P96" s="576"/>
    </row>
    <row r="97" spans="2:17" s="570" customFormat="1" ht="12" thickBot="1" x14ac:dyDescent="0.25">
      <c r="B97" s="1234"/>
      <c r="C97" s="804"/>
      <c r="D97" s="516"/>
      <c r="E97" s="517"/>
      <c r="F97" s="518"/>
      <c r="G97" s="519"/>
      <c r="H97" s="520"/>
      <c r="I97" s="521"/>
      <c r="J97" s="590"/>
      <c r="K97" s="591"/>
      <c r="L97" s="591"/>
      <c r="M97" s="591"/>
      <c r="N97" s="591"/>
      <c r="O97" s="522"/>
      <c r="P97" s="521"/>
    </row>
    <row r="98" spans="2:17" s="426" customFormat="1" ht="10.5" customHeight="1" x14ac:dyDescent="0.2">
      <c r="B98" s="1236" t="str">
        <f>'Detailed Matrix'!E24</f>
        <v>Glazing U-Value enhancements</v>
      </c>
      <c r="C98" s="805" t="str">
        <f>'Detailed Matrix'!F24</f>
        <v>Stage 01: U-Value &lt;1.4w/m2.k (Double Glazed)</v>
      </c>
      <c r="D98" s="435"/>
      <c r="E98" s="436"/>
      <c r="F98" s="437"/>
      <c r="G98" s="438"/>
      <c r="H98" s="439"/>
      <c r="I98" s="440"/>
      <c r="J98" s="441"/>
      <c r="K98" s="442"/>
      <c r="L98" s="442"/>
      <c r="M98" s="442"/>
      <c r="N98" s="442"/>
      <c r="O98" s="443"/>
      <c r="P98" s="440"/>
    </row>
    <row r="99" spans="2:17" s="426" customFormat="1" ht="11.25" x14ac:dyDescent="0.2">
      <c r="B99" s="1236"/>
      <c r="C99" s="806"/>
      <c r="D99" s="435" t="s">
        <v>515</v>
      </c>
      <c r="E99" s="436">
        <f>IF('Detailed Matrix'!$L$16="Yes",$E$13,0)</f>
        <v>0</v>
      </c>
      <c r="F99" s="437" t="s">
        <v>9</v>
      </c>
      <c r="G99" s="438" t="s">
        <v>528</v>
      </c>
      <c r="H99" s="439">
        <f>SUM(E99)*SUM(G99)</f>
        <v>0</v>
      </c>
      <c r="I99" s="440"/>
      <c r="J99" s="441"/>
      <c r="K99" s="442"/>
      <c r="L99" s="442"/>
      <c r="M99" s="442"/>
      <c r="N99" s="442"/>
      <c r="O99" s="443"/>
      <c r="P99" s="440"/>
    </row>
    <row r="100" spans="2:17" s="426" customFormat="1" ht="22.5" x14ac:dyDescent="0.2">
      <c r="B100" s="1236"/>
      <c r="C100" s="806" t="s">
        <v>536</v>
      </c>
      <c r="D100" s="435" t="s">
        <v>516</v>
      </c>
      <c r="E100" s="436">
        <f>IF('Detailed Matrix'!$L$17="Yes",$E$22,0)</f>
        <v>0</v>
      </c>
      <c r="F100" s="437" t="s">
        <v>9</v>
      </c>
      <c r="G100" s="438" t="s">
        <v>528</v>
      </c>
      <c r="H100" s="439">
        <f t="shared" ref="H100:H103" si="16">SUM(E100)*SUM(G100)</f>
        <v>0</v>
      </c>
      <c r="I100" s="440"/>
      <c r="J100" s="441"/>
      <c r="K100" s="442"/>
      <c r="L100" s="442"/>
      <c r="M100" s="442"/>
      <c r="N100" s="442"/>
      <c r="O100" s="443"/>
      <c r="P100" s="440"/>
    </row>
    <row r="101" spans="2:17" s="426" customFormat="1" ht="11.25" x14ac:dyDescent="0.2">
      <c r="B101" s="1236"/>
      <c r="C101" s="806"/>
      <c r="D101" s="435" t="s">
        <v>517</v>
      </c>
      <c r="E101" s="436">
        <f>IF('Detailed Matrix'!$L$18="Yes",$E$31,0)</f>
        <v>0</v>
      </c>
      <c r="F101" s="437" t="s">
        <v>9</v>
      </c>
      <c r="G101" s="438" t="s">
        <v>528</v>
      </c>
      <c r="H101" s="439">
        <f t="shared" si="16"/>
        <v>0</v>
      </c>
      <c r="I101" s="440"/>
      <c r="J101" s="441"/>
      <c r="K101" s="442"/>
      <c r="L101" s="442"/>
      <c r="M101" s="442"/>
      <c r="N101" s="442"/>
      <c r="O101" s="443"/>
      <c r="P101" s="440"/>
    </row>
    <row r="102" spans="2:17" s="426" customFormat="1" ht="11.25" x14ac:dyDescent="0.2">
      <c r="B102" s="1236"/>
      <c r="C102" s="806"/>
      <c r="D102" s="435" t="s">
        <v>518</v>
      </c>
      <c r="E102" s="436">
        <f>IF('Detailed Matrix'!$L$19="Yes",$E$40,0)</f>
        <v>2440.1999999999998</v>
      </c>
      <c r="F102" s="437" t="s">
        <v>9</v>
      </c>
      <c r="G102" s="438" t="s">
        <v>528</v>
      </c>
      <c r="H102" s="439">
        <f t="shared" si="16"/>
        <v>0</v>
      </c>
      <c r="I102" s="440"/>
      <c r="J102" s="441"/>
      <c r="K102" s="442"/>
      <c r="L102" s="442"/>
      <c r="M102" s="442"/>
      <c r="N102" s="442"/>
      <c r="O102" s="443"/>
      <c r="P102" s="440"/>
    </row>
    <row r="103" spans="2:17" s="426" customFormat="1" ht="11.25" x14ac:dyDescent="0.2">
      <c r="B103" s="1236"/>
      <c r="C103" s="806"/>
      <c r="D103" s="435" t="s">
        <v>519</v>
      </c>
      <c r="E103" s="436">
        <f>IF('Detailed Matrix'!$L$20="Yes",$E$49,0)</f>
        <v>0</v>
      </c>
      <c r="F103" s="437" t="s">
        <v>9</v>
      </c>
      <c r="G103" s="438" t="s">
        <v>528</v>
      </c>
      <c r="H103" s="439">
        <f t="shared" si="16"/>
        <v>0</v>
      </c>
      <c r="I103" s="440">
        <f>SUM(H98:H103)</f>
        <v>0</v>
      </c>
      <c r="J103" s="441">
        <f>I103*$J$5</f>
        <v>0</v>
      </c>
      <c r="K103" s="442">
        <f>SUM(I103:J103)*$K$5</f>
        <v>0</v>
      </c>
      <c r="L103" s="442">
        <f>SUM(I103:K103)*$L$5</f>
        <v>0</v>
      </c>
      <c r="M103" s="442">
        <f>SUM(I103:L103)*$M$5</f>
        <v>0</v>
      </c>
      <c r="N103" s="442">
        <f>SUM(I103:M103)*$N$5</f>
        <v>0</v>
      </c>
      <c r="O103" s="443">
        <f>SUM(I103:N103)</f>
        <v>0</v>
      </c>
      <c r="P103" s="440">
        <f>ROUND(O103,-3)</f>
        <v>0</v>
      </c>
      <c r="Q103" s="426" t="s">
        <v>223</v>
      </c>
    </row>
    <row r="104" spans="2:17" s="426" customFormat="1" ht="12" thickBot="1" x14ac:dyDescent="0.25">
      <c r="B104" s="1238"/>
      <c r="C104" s="807"/>
      <c r="D104" s="444"/>
      <c r="E104" s="445"/>
      <c r="F104" s="446"/>
      <c r="G104" s="447"/>
      <c r="H104" s="448"/>
      <c r="I104" s="449"/>
      <c r="J104" s="477"/>
      <c r="K104" s="478"/>
      <c r="L104" s="478"/>
      <c r="M104" s="478"/>
      <c r="N104" s="478"/>
      <c r="O104" s="450"/>
      <c r="P104" s="449"/>
    </row>
    <row r="105" spans="2:17" s="420" customFormat="1" ht="10.5" customHeight="1" x14ac:dyDescent="0.2">
      <c r="B105" s="1236" t="str">
        <f>'Detailed Matrix'!E25</f>
        <v>Glazing U-Value enhancements</v>
      </c>
      <c r="C105" s="805" t="str">
        <f>'Detailed Matrix'!F22</f>
        <v>Stage 02: U-Value &lt;0.17w/m2.k</v>
      </c>
      <c r="D105" s="435"/>
      <c r="E105" s="436"/>
      <c r="F105" s="437"/>
      <c r="G105" s="438"/>
      <c r="H105" s="439"/>
      <c r="I105" s="440"/>
      <c r="J105" s="441"/>
      <c r="K105" s="442"/>
      <c r="L105" s="442"/>
      <c r="M105" s="442"/>
      <c r="N105" s="442"/>
      <c r="O105" s="443"/>
      <c r="P105" s="440"/>
    </row>
    <row r="106" spans="2:17" s="420" customFormat="1" ht="11.25" x14ac:dyDescent="0.2">
      <c r="B106" s="1236"/>
      <c r="C106" s="806"/>
      <c r="D106" s="435" t="s">
        <v>515</v>
      </c>
      <c r="E106" s="436">
        <f>IF('Detailed Matrix'!$L$16="Yes",$E$13,0)</f>
        <v>0</v>
      </c>
      <c r="F106" s="437" t="s">
        <v>9</v>
      </c>
      <c r="G106" s="438">
        <f>800-700</f>
        <v>100</v>
      </c>
      <c r="H106" s="439">
        <f t="shared" ref="H106:H110" si="17">E106*G106</f>
        <v>0</v>
      </c>
      <c r="I106" s="440"/>
      <c r="J106" s="441"/>
      <c r="K106" s="442"/>
      <c r="L106" s="442"/>
      <c r="M106" s="442"/>
      <c r="N106" s="442"/>
      <c r="O106" s="443"/>
      <c r="P106" s="440"/>
    </row>
    <row r="107" spans="2:17" s="420" customFormat="1" ht="11.25" x14ac:dyDescent="0.2">
      <c r="B107" s="1236"/>
      <c r="C107" s="806" t="s">
        <v>537</v>
      </c>
      <c r="D107" s="435" t="s">
        <v>516</v>
      </c>
      <c r="E107" s="436">
        <f>IF('Detailed Matrix'!$L$17="Yes",$E$22,0)</f>
        <v>0</v>
      </c>
      <c r="F107" s="437" t="s">
        <v>9</v>
      </c>
      <c r="G107" s="438">
        <f t="shared" ref="G107:G110" si="18">G106</f>
        <v>100</v>
      </c>
      <c r="H107" s="439">
        <f t="shared" si="17"/>
        <v>0</v>
      </c>
      <c r="I107" s="440"/>
      <c r="J107" s="441"/>
      <c r="K107" s="442"/>
      <c r="L107" s="442"/>
      <c r="M107" s="442"/>
      <c r="N107" s="442"/>
      <c r="O107" s="443"/>
      <c r="P107" s="440"/>
    </row>
    <row r="108" spans="2:17" s="420" customFormat="1" ht="11.25" x14ac:dyDescent="0.2">
      <c r="B108" s="1236"/>
      <c r="C108" s="806"/>
      <c r="D108" s="435" t="s">
        <v>517</v>
      </c>
      <c r="E108" s="436">
        <f>IF('Detailed Matrix'!$L$18="Yes",$E$31,0)</f>
        <v>0</v>
      </c>
      <c r="F108" s="437" t="s">
        <v>9</v>
      </c>
      <c r="G108" s="438">
        <f t="shared" si="18"/>
        <v>100</v>
      </c>
      <c r="H108" s="439">
        <f t="shared" si="17"/>
        <v>0</v>
      </c>
      <c r="I108" s="440"/>
      <c r="J108" s="441"/>
      <c r="K108" s="442"/>
      <c r="L108" s="442"/>
      <c r="M108" s="442"/>
      <c r="N108" s="442"/>
      <c r="O108" s="443"/>
      <c r="P108" s="440"/>
    </row>
    <row r="109" spans="2:17" s="420" customFormat="1" ht="11.25" x14ac:dyDescent="0.2">
      <c r="B109" s="1236"/>
      <c r="C109" s="806"/>
      <c r="D109" s="435" t="s">
        <v>518</v>
      </c>
      <c r="E109" s="436">
        <f>IF('Detailed Matrix'!$L$19="Yes",$E$40,0)</f>
        <v>2440.1999999999998</v>
      </c>
      <c r="F109" s="437" t="s">
        <v>9</v>
      </c>
      <c r="G109" s="438">
        <f t="shared" si="18"/>
        <v>100</v>
      </c>
      <c r="H109" s="439">
        <f t="shared" si="17"/>
        <v>244019.99999999997</v>
      </c>
      <c r="I109" s="440"/>
      <c r="J109" s="441"/>
      <c r="K109" s="442"/>
      <c r="L109" s="442"/>
      <c r="M109" s="442"/>
      <c r="N109" s="442"/>
      <c r="O109" s="443"/>
      <c r="P109" s="440"/>
    </row>
    <row r="110" spans="2:17" s="420" customFormat="1" ht="11.25" x14ac:dyDescent="0.2">
      <c r="B110" s="1236"/>
      <c r="C110" s="806"/>
      <c r="D110" s="435" t="s">
        <v>519</v>
      </c>
      <c r="E110" s="436">
        <f>IF('Detailed Matrix'!$L$20="Yes",$E$49,0)</f>
        <v>0</v>
      </c>
      <c r="F110" s="437" t="s">
        <v>9</v>
      </c>
      <c r="G110" s="438">
        <f t="shared" si="18"/>
        <v>100</v>
      </c>
      <c r="H110" s="439">
        <f t="shared" si="17"/>
        <v>0</v>
      </c>
      <c r="I110" s="440">
        <f>SUM(H105:H110)</f>
        <v>244019.99999999997</v>
      </c>
      <c r="J110" s="441">
        <f>I110*$J$5</f>
        <v>31722.6</v>
      </c>
      <c r="K110" s="442">
        <f>SUM(I110:J110)*$K$5</f>
        <v>12408.416999999998</v>
      </c>
      <c r="L110" s="442">
        <f>SUM(I110:K110)*$L$5</f>
        <v>15848.305935</v>
      </c>
      <c r="M110" s="442">
        <f>SUM(I110:L110)*$M$5</f>
        <v>18239.9593761</v>
      </c>
      <c r="N110" s="442">
        <f>SUM(I110:M110)*$N$5</f>
        <v>32223.92823111</v>
      </c>
      <c r="O110" s="443">
        <f>SUM(I110:N110)</f>
        <v>354463.21054220997</v>
      </c>
      <c r="P110" s="440">
        <f>ROUND(O110,-3)</f>
        <v>354000</v>
      </c>
      <c r="Q110" s="420" t="s">
        <v>223</v>
      </c>
    </row>
    <row r="111" spans="2:17" s="420" customFormat="1" ht="12" thickBot="1" x14ac:dyDescent="0.25">
      <c r="B111" s="1238"/>
      <c r="C111" s="807"/>
      <c r="D111" s="444"/>
      <c r="E111" s="445"/>
      <c r="F111" s="446"/>
      <c r="G111" s="447"/>
      <c r="H111" s="448"/>
      <c r="I111" s="449"/>
      <c r="J111" s="477"/>
      <c r="K111" s="478"/>
      <c r="L111" s="478"/>
      <c r="M111" s="478"/>
      <c r="N111" s="478"/>
      <c r="O111" s="450"/>
      <c r="P111" s="449"/>
    </row>
    <row r="112" spans="2:17" s="426" customFormat="1" ht="10.5" customHeight="1" x14ac:dyDescent="0.2">
      <c r="B112" s="1236" t="str">
        <f>'Detailed Matrix'!E26</f>
        <v>Glazing U-Value enhancements</v>
      </c>
      <c r="C112" s="805" t="str">
        <f>'Detailed Matrix'!F26</f>
        <v>Stage 03: U-Value &lt;1.0w/m2.k (Triple Glazed)</v>
      </c>
      <c r="D112" s="435"/>
      <c r="E112" s="436"/>
      <c r="F112" s="437"/>
      <c r="G112" s="438"/>
      <c r="H112" s="439"/>
      <c r="I112" s="440"/>
      <c r="J112" s="441"/>
      <c r="K112" s="442"/>
      <c r="L112" s="442"/>
      <c r="M112" s="442"/>
      <c r="N112" s="442"/>
      <c r="O112" s="443"/>
      <c r="P112" s="440"/>
    </row>
    <row r="113" spans="2:17" s="426" customFormat="1" ht="11.25" x14ac:dyDescent="0.2">
      <c r="B113" s="1236"/>
      <c r="C113" s="806"/>
      <c r="D113" s="435" t="s">
        <v>515</v>
      </c>
      <c r="E113" s="436">
        <f>IF('Detailed Matrix'!$L$16="Yes",$E$13,0)</f>
        <v>0</v>
      </c>
      <c r="F113" s="437" t="s">
        <v>9</v>
      </c>
      <c r="G113" s="438">
        <f>(920-700)-G106</f>
        <v>120</v>
      </c>
      <c r="H113" s="439">
        <f t="shared" ref="H113:H117" si="19">E113*G113</f>
        <v>0</v>
      </c>
      <c r="I113" s="440"/>
      <c r="J113" s="441"/>
      <c r="K113" s="442"/>
      <c r="L113" s="442"/>
      <c r="M113" s="442"/>
      <c r="N113" s="442"/>
      <c r="O113" s="443"/>
      <c r="P113" s="440"/>
    </row>
    <row r="114" spans="2:17" s="426" customFormat="1" ht="11.25" x14ac:dyDescent="0.2">
      <c r="B114" s="1236"/>
      <c r="C114" s="806" t="s">
        <v>538</v>
      </c>
      <c r="D114" s="435" t="s">
        <v>516</v>
      </c>
      <c r="E114" s="436">
        <f>IF('Detailed Matrix'!$L$17="Yes",$E$22,0)</f>
        <v>0</v>
      </c>
      <c r="F114" s="437" t="s">
        <v>9</v>
      </c>
      <c r="G114" s="438">
        <f t="shared" ref="G114:G117" si="20">G113</f>
        <v>120</v>
      </c>
      <c r="H114" s="439">
        <f t="shared" si="19"/>
        <v>0</v>
      </c>
      <c r="I114" s="440"/>
      <c r="J114" s="441"/>
      <c r="K114" s="442"/>
      <c r="L114" s="442"/>
      <c r="M114" s="442"/>
      <c r="N114" s="442"/>
      <c r="O114" s="443"/>
      <c r="P114" s="440"/>
    </row>
    <row r="115" spans="2:17" s="426" customFormat="1" ht="11.25" x14ac:dyDescent="0.2">
      <c r="B115" s="1236"/>
      <c r="C115" s="806"/>
      <c r="D115" s="435" t="s">
        <v>517</v>
      </c>
      <c r="E115" s="436">
        <f>IF('Detailed Matrix'!$L$18="Yes",$E$31,0)</f>
        <v>0</v>
      </c>
      <c r="F115" s="437" t="s">
        <v>9</v>
      </c>
      <c r="G115" s="438">
        <f t="shared" si="20"/>
        <v>120</v>
      </c>
      <c r="H115" s="439">
        <f t="shared" si="19"/>
        <v>0</v>
      </c>
      <c r="I115" s="440"/>
      <c r="J115" s="441"/>
      <c r="K115" s="442"/>
      <c r="L115" s="442"/>
      <c r="M115" s="442"/>
      <c r="N115" s="442"/>
      <c r="O115" s="443"/>
      <c r="P115" s="440"/>
    </row>
    <row r="116" spans="2:17" s="426" customFormat="1" ht="11.25" x14ac:dyDescent="0.2">
      <c r="B116" s="1236"/>
      <c r="C116" s="806"/>
      <c r="D116" s="435" t="s">
        <v>518</v>
      </c>
      <c r="E116" s="436">
        <f>IF('Detailed Matrix'!$L$19="Yes",$E$40,0)</f>
        <v>2440.1999999999998</v>
      </c>
      <c r="F116" s="437" t="s">
        <v>9</v>
      </c>
      <c r="G116" s="438">
        <f t="shared" si="20"/>
        <v>120</v>
      </c>
      <c r="H116" s="439">
        <f t="shared" si="19"/>
        <v>292824</v>
      </c>
      <c r="I116" s="440"/>
      <c r="J116" s="441"/>
      <c r="K116" s="442"/>
      <c r="L116" s="442"/>
      <c r="M116" s="442"/>
      <c r="N116" s="442"/>
      <c r="O116" s="443"/>
      <c r="P116" s="440"/>
    </row>
    <row r="117" spans="2:17" s="426" customFormat="1" ht="11.25" x14ac:dyDescent="0.2">
      <c r="B117" s="1236"/>
      <c r="C117" s="806"/>
      <c r="D117" s="435" t="s">
        <v>519</v>
      </c>
      <c r="E117" s="436">
        <f>IF('Detailed Matrix'!$L$20="Yes",$E$49,0)</f>
        <v>0</v>
      </c>
      <c r="F117" s="437" t="s">
        <v>9</v>
      </c>
      <c r="G117" s="438">
        <f t="shared" si="20"/>
        <v>120</v>
      </c>
      <c r="H117" s="439">
        <f t="shared" si="19"/>
        <v>0</v>
      </c>
      <c r="I117" s="440">
        <f>SUM(H112:H117)</f>
        <v>292824</v>
      </c>
      <c r="J117" s="441">
        <f>I117*$J$5</f>
        <v>38067.120000000003</v>
      </c>
      <c r="K117" s="442">
        <f>SUM(I117:J117)*$K$5</f>
        <v>14890.100399999999</v>
      </c>
      <c r="L117" s="442">
        <f>SUM(I117:K117)*$L$5</f>
        <v>19017.967121999998</v>
      </c>
      <c r="M117" s="442">
        <f>SUM(I117:L117)*$M$5</f>
        <v>21887.951251319999</v>
      </c>
      <c r="N117" s="442">
        <f>SUM(I117:M117)*$N$5</f>
        <v>38668.713877332004</v>
      </c>
      <c r="O117" s="443">
        <f>SUM(I117:N117)</f>
        <v>425355.852650652</v>
      </c>
      <c r="P117" s="440">
        <f>ROUND(O117,-3)</f>
        <v>425000</v>
      </c>
      <c r="Q117" s="426" t="s">
        <v>223</v>
      </c>
    </row>
    <row r="118" spans="2:17" s="426" customFormat="1" ht="12" thickBot="1" x14ac:dyDescent="0.25">
      <c r="B118" s="1238"/>
      <c r="C118" s="807"/>
      <c r="D118" s="444"/>
      <c r="E118" s="445"/>
      <c r="F118" s="446"/>
      <c r="G118" s="447"/>
      <c r="H118" s="448"/>
      <c r="I118" s="449"/>
      <c r="J118" s="477"/>
      <c r="K118" s="478"/>
      <c r="L118" s="478"/>
      <c r="M118" s="478"/>
      <c r="N118" s="478"/>
      <c r="O118" s="450"/>
      <c r="P118" s="449"/>
    </row>
    <row r="119" spans="2:17" s="426" customFormat="1" ht="11.25" x14ac:dyDescent="0.2">
      <c r="B119" s="1235" t="str">
        <f>'Detailed Matrix'!E27</f>
        <v>Façade Air-tightness</v>
      </c>
      <c r="C119" s="1249" t="str">
        <f>'Detailed Matrix'!F27</f>
        <v>Stage 01: &lt;3</v>
      </c>
      <c r="D119" s="427"/>
      <c r="E119" s="428"/>
      <c r="F119" s="429"/>
      <c r="G119" s="430"/>
      <c r="H119" s="431"/>
      <c r="I119" s="432"/>
      <c r="J119" s="433"/>
      <c r="K119" s="434"/>
      <c r="L119" s="434"/>
      <c r="M119" s="434"/>
      <c r="N119" s="434"/>
      <c r="O119" s="433"/>
      <c r="P119" s="432"/>
    </row>
    <row r="120" spans="2:17" s="426" customFormat="1" ht="22.5" x14ac:dyDescent="0.2">
      <c r="B120" s="1236"/>
      <c r="C120" s="1250"/>
      <c r="D120" s="491" t="s">
        <v>539</v>
      </c>
      <c r="E120" s="436">
        <f>'Key Data'!$B$18</f>
        <v>6972</v>
      </c>
      <c r="F120" s="484" t="s">
        <v>9</v>
      </c>
      <c r="G120" s="438">
        <f>G132</f>
        <v>25.995000000000001</v>
      </c>
      <c r="H120" s="439">
        <f>E120*G120</f>
        <v>181237.14</v>
      </c>
      <c r="I120" s="440">
        <f>SUM(H119:H120)</f>
        <v>181237.14</v>
      </c>
      <c r="J120" s="441">
        <f>I120*$J$5</f>
        <v>23560.828200000004</v>
      </c>
      <c r="K120" s="442">
        <f>SUM(I120:J120)*$K$5</f>
        <v>9215.9085689999993</v>
      </c>
      <c r="L120" s="442">
        <f>SUM(I120:K120)*$L$5</f>
        <v>11770.763222295</v>
      </c>
      <c r="M120" s="442">
        <f>SUM(I120:L120)*$M$5</f>
        <v>13547.078399477699</v>
      </c>
      <c r="N120" s="442">
        <f>SUM(I120:M120)*$N$5</f>
        <v>23933.171839077273</v>
      </c>
      <c r="O120" s="443">
        <f>SUM(I120:N120)</f>
        <v>263264.89022984996</v>
      </c>
      <c r="P120" s="440">
        <f>ROUND(O120,-3)</f>
        <v>263000</v>
      </c>
      <c r="Q120" s="426" t="s">
        <v>223</v>
      </c>
    </row>
    <row r="121" spans="2:17" s="426" customFormat="1" ht="11.25" x14ac:dyDescent="0.2">
      <c r="B121" s="1237"/>
      <c r="C121" s="1250"/>
      <c r="D121" s="592"/>
      <c r="E121" s="593"/>
      <c r="F121" s="594"/>
      <c r="G121" s="595"/>
      <c r="H121" s="596"/>
      <c r="I121" s="597"/>
      <c r="J121" s="598"/>
      <c r="K121" s="599"/>
      <c r="L121" s="599"/>
      <c r="M121" s="599"/>
      <c r="N121" s="599"/>
      <c r="O121" s="600"/>
      <c r="P121" s="597"/>
    </row>
    <row r="122" spans="2:17" s="426" customFormat="1" ht="11.25" x14ac:dyDescent="0.2">
      <c r="B122" s="1237"/>
      <c r="C122" s="1250"/>
      <c r="D122" s="601" t="s">
        <v>520</v>
      </c>
      <c r="E122" s="593"/>
      <c r="F122" s="602"/>
      <c r="G122" s="595"/>
      <c r="H122" s="596"/>
      <c r="I122" s="597"/>
      <c r="J122" s="598"/>
      <c r="K122" s="599"/>
      <c r="L122" s="599"/>
      <c r="M122" s="599"/>
      <c r="N122" s="599"/>
      <c r="O122" s="600"/>
      <c r="P122" s="597"/>
    </row>
    <row r="123" spans="2:17" s="426" customFormat="1" ht="11.25" x14ac:dyDescent="0.2">
      <c r="B123" s="1237"/>
      <c r="C123" s="1250"/>
      <c r="D123" s="603" t="s">
        <v>540</v>
      </c>
      <c r="E123" s="593">
        <v>1</v>
      </c>
      <c r="F123" s="602" t="s">
        <v>9</v>
      </c>
      <c r="G123" s="595">
        <v>10</v>
      </c>
      <c r="H123" s="596"/>
      <c r="I123" s="597"/>
      <c r="J123" s="598"/>
      <c r="K123" s="599"/>
      <c r="L123" s="599"/>
      <c r="M123" s="599"/>
      <c r="N123" s="599"/>
      <c r="O123" s="600"/>
      <c r="P123" s="597"/>
    </row>
    <row r="124" spans="2:17" s="426" customFormat="1" ht="11.25" x14ac:dyDescent="0.2">
      <c r="B124" s="1237"/>
      <c r="C124" s="1250"/>
      <c r="D124" s="603" t="s">
        <v>541</v>
      </c>
      <c r="E124" s="593">
        <v>1</v>
      </c>
      <c r="F124" s="602" t="s">
        <v>9</v>
      </c>
      <c r="G124" s="604" t="s">
        <v>528</v>
      </c>
      <c r="H124" s="596"/>
      <c r="I124" s="597"/>
      <c r="J124" s="598"/>
      <c r="K124" s="599"/>
      <c r="L124" s="599"/>
      <c r="M124" s="599"/>
      <c r="N124" s="599"/>
      <c r="O124" s="600"/>
      <c r="P124" s="597"/>
    </row>
    <row r="125" spans="2:17" s="426" customFormat="1" ht="11.25" x14ac:dyDescent="0.2">
      <c r="B125" s="1237"/>
      <c r="C125" s="1250"/>
      <c r="D125" s="603" t="s">
        <v>542</v>
      </c>
      <c r="E125" s="593">
        <v>1</v>
      </c>
      <c r="F125" s="602" t="s">
        <v>9</v>
      </c>
      <c r="G125" s="604" t="s">
        <v>528</v>
      </c>
      <c r="H125" s="596"/>
      <c r="I125" s="597"/>
      <c r="J125" s="598"/>
      <c r="K125" s="599"/>
      <c r="L125" s="599"/>
      <c r="M125" s="599"/>
      <c r="N125" s="599"/>
      <c r="O125" s="600"/>
      <c r="P125" s="597"/>
    </row>
    <row r="126" spans="2:17" s="426" customFormat="1" ht="11.25" x14ac:dyDescent="0.2">
      <c r="B126" s="1237"/>
      <c r="C126" s="1250"/>
      <c r="D126" s="603" t="s">
        <v>543</v>
      </c>
      <c r="E126" s="593">
        <v>1</v>
      </c>
      <c r="F126" s="602" t="s">
        <v>9</v>
      </c>
      <c r="G126" s="595">
        <v>5</v>
      </c>
      <c r="H126" s="596"/>
      <c r="I126" s="597"/>
      <c r="J126" s="598"/>
      <c r="K126" s="599"/>
      <c r="L126" s="599"/>
      <c r="M126" s="599"/>
      <c r="N126" s="599"/>
      <c r="O126" s="600"/>
      <c r="P126" s="597"/>
    </row>
    <row r="127" spans="2:17" s="426" customFormat="1" ht="11.25" x14ac:dyDescent="0.2">
      <c r="B127" s="1237"/>
      <c r="C127" s="1250"/>
      <c r="D127" s="603" t="s">
        <v>544</v>
      </c>
      <c r="E127" s="593">
        <v>1</v>
      </c>
      <c r="F127" s="602" t="s">
        <v>9</v>
      </c>
      <c r="G127" s="595">
        <v>2.5</v>
      </c>
      <c r="H127" s="596"/>
      <c r="I127" s="597"/>
      <c r="J127" s="598"/>
      <c r="K127" s="599"/>
      <c r="L127" s="599"/>
      <c r="M127" s="599"/>
      <c r="N127" s="599"/>
      <c r="O127" s="600"/>
      <c r="P127" s="597"/>
    </row>
    <row r="128" spans="2:17" s="426" customFormat="1" ht="11.25" x14ac:dyDescent="0.2">
      <c r="B128" s="1237"/>
      <c r="C128" s="1250"/>
      <c r="D128" s="603" t="s">
        <v>545</v>
      </c>
      <c r="E128" s="593">
        <v>1</v>
      </c>
      <c r="F128" s="602" t="s">
        <v>9</v>
      </c>
      <c r="G128" s="604" t="s">
        <v>528</v>
      </c>
      <c r="H128" s="596"/>
      <c r="I128" s="597"/>
      <c r="J128" s="598"/>
      <c r="K128" s="599"/>
      <c r="L128" s="599"/>
      <c r="M128" s="599"/>
      <c r="N128" s="599"/>
      <c r="O128" s="600"/>
      <c r="P128" s="597"/>
    </row>
    <row r="129" spans="2:17" s="426" customFormat="1" ht="11.25" x14ac:dyDescent="0.2">
      <c r="B129" s="1237"/>
      <c r="C129" s="1250"/>
      <c r="D129" s="603" t="s">
        <v>546</v>
      </c>
      <c r="E129" s="593">
        <v>1</v>
      </c>
      <c r="F129" s="602" t="s">
        <v>9</v>
      </c>
      <c r="G129" s="595">
        <v>5</v>
      </c>
      <c r="H129" s="596"/>
      <c r="I129" s="597"/>
      <c r="J129" s="598"/>
      <c r="K129" s="599"/>
      <c r="L129" s="599"/>
      <c r="M129" s="599"/>
      <c r="N129" s="599"/>
      <c r="O129" s="600"/>
      <c r="P129" s="597"/>
    </row>
    <row r="130" spans="2:17" s="426" customFormat="1" ht="11.25" x14ac:dyDescent="0.2">
      <c r="B130" s="1237"/>
      <c r="C130" s="1250"/>
      <c r="D130" s="603" t="s">
        <v>525</v>
      </c>
      <c r="E130" s="605">
        <v>0.15</v>
      </c>
      <c r="F130" s="602"/>
      <c r="G130" s="595">
        <f>SUM(G122:G129)*E130</f>
        <v>3.375</v>
      </c>
      <c r="H130" s="596"/>
      <c r="I130" s="597"/>
      <c r="J130" s="598"/>
      <c r="K130" s="599"/>
      <c r="L130" s="599"/>
      <c r="M130" s="599"/>
      <c r="N130" s="599"/>
      <c r="O130" s="600"/>
      <c r="P130" s="597"/>
    </row>
    <row r="131" spans="2:17" s="426" customFormat="1" ht="11.25" x14ac:dyDescent="0.2">
      <c r="B131" s="1237"/>
      <c r="C131" s="1250"/>
      <c r="D131" s="603" t="s">
        <v>526</v>
      </c>
      <c r="E131" s="605"/>
      <c r="F131" s="602"/>
      <c r="G131" s="606">
        <v>0.12</v>
      </c>
      <c r="H131" s="596"/>
      <c r="I131" s="597"/>
      <c r="J131" s="598"/>
      <c r="K131" s="599"/>
      <c r="L131" s="599"/>
      <c r="M131" s="599"/>
      <c r="N131" s="599"/>
      <c r="O131" s="600"/>
      <c r="P131" s="597"/>
    </row>
    <row r="132" spans="2:17" s="426" customFormat="1" ht="11.25" x14ac:dyDescent="0.2">
      <c r="B132" s="1237"/>
      <c r="C132" s="1250"/>
      <c r="D132" s="607" t="s">
        <v>527</v>
      </c>
      <c r="E132" s="593"/>
      <c r="F132" s="602"/>
      <c r="G132" s="608">
        <f>SUM(G122:G131)</f>
        <v>25.995000000000001</v>
      </c>
      <c r="H132" s="596"/>
      <c r="I132" s="597"/>
      <c r="J132" s="598"/>
      <c r="K132" s="599"/>
      <c r="L132" s="599"/>
      <c r="M132" s="599"/>
      <c r="N132" s="599"/>
      <c r="O132" s="600"/>
      <c r="P132" s="597"/>
    </row>
    <row r="133" spans="2:17" s="426" customFormat="1" ht="12" thickBot="1" x14ac:dyDescent="0.25">
      <c r="B133" s="1238"/>
      <c r="C133" s="1251"/>
      <c r="D133" s="444"/>
      <c r="E133" s="445"/>
      <c r="F133" s="446"/>
      <c r="G133" s="447"/>
      <c r="H133" s="448"/>
      <c r="I133" s="449"/>
      <c r="J133" s="450"/>
      <c r="K133" s="451"/>
      <c r="L133" s="451"/>
      <c r="M133" s="451"/>
      <c r="N133" s="451"/>
      <c r="O133" s="450"/>
      <c r="P133" s="449"/>
    </row>
    <row r="134" spans="2:17" s="420" customFormat="1" ht="11.25" x14ac:dyDescent="0.2">
      <c r="B134" s="1235" t="str">
        <f>'Detailed Matrix'!E28</f>
        <v>Façade Air-tightness</v>
      </c>
      <c r="C134" s="1249" t="str">
        <f>'Detailed Matrix'!F28</f>
        <v>Stage 02: &lt;2</v>
      </c>
      <c r="D134" s="427"/>
      <c r="E134" s="428"/>
      <c r="F134" s="429"/>
      <c r="G134" s="430"/>
      <c r="H134" s="431"/>
      <c r="I134" s="432"/>
      <c r="J134" s="433"/>
      <c r="K134" s="434"/>
      <c r="L134" s="434"/>
      <c r="M134" s="434"/>
      <c r="N134" s="434"/>
      <c r="O134" s="433"/>
      <c r="P134" s="432"/>
    </row>
    <row r="135" spans="2:17" s="420" customFormat="1" ht="11.25" x14ac:dyDescent="0.2">
      <c r="B135" s="1236"/>
      <c r="C135" s="1250"/>
      <c r="D135" s="435" t="s">
        <v>547</v>
      </c>
      <c r="E135" s="436">
        <f>'Key Data'!$B$18</f>
        <v>6972</v>
      </c>
      <c r="F135" s="437" t="s">
        <v>9</v>
      </c>
      <c r="G135" s="438">
        <f>G148</f>
        <v>11.999999999999996</v>
      </c>
      <c r="H135" s="439">
        <f>E135*G135</f>
        <v>83663.999999999971</v>
      </c>
      <c r="I135" s="440">
        <f>SUM(H134:H135)</f>
        <v>83663.999999999971</v>
      </c>
      <c r="J135" s="441">
        <f>I135*$J$5</f>
        <v>10876.319999999996</v>
      </c>
      <c r="K135" s="442">
        <f>SUM(I135:J135)*$K$5</f>
        <v>4254.3143999999984</v>
      </c>
      <c r="L135" s="442">
        <f>SUM(I135:K135)*$L$5</f>
        <v>5433.7048919999979</v>
      </c>
      <c r="M135" s="442">
        <f>SUM(I135:L135)*$M$5</f>
        <v>6253.7003575199979</v>
      </c>
      <c r="N135" s="442">
        <f>SUM(I135:M135)*$N$5</f>
        <v>11048.203964951996</v>
      </c>
      <c r="O135" s="443">
        <f>SUM(I135:N135)</f>
        <v>121530.24361447195</v>
      </c>
      <c r="P135" s="440">
        <f>ROUND(O135,-3)</f>
        <v>122000</v>
      </c>
      <c r="Q135" s="420" t="s">
        <v>223</v>
      </c>
    </row>
    <row r="136" spans="2:17" s="420" customFormat="1" ht="11.25" x14ac:dyDescent="0.2">
      <c r="B136" s="1237"/>
      <c r="C136" s="1250"/>
      <c r="D136" s="609"/>
      <c r="E136" s="593"/>
      <c r="F136" s="602"/>
      <c r="G136" s="595"/>
      <c r="H136" s="596"/>
      <c r="I136" s="597"/>
      <c r="J136" s="598"/>
      <c r="K136" s="599"/>
      <c r="L136" s="599"/>
      <c r="M136" s="599"/>
      <c r="N136" s="599"/>
      <c r="O136" s="600"/>
      <c r="P136" s="597"/>
    </row>
    <row r="137" spans="2:17" s="426" customFormat="1" ht="11.25" x14ac:dyDescent="0.2">
      <c r="B137" s="1237"/>
      <c r="C137" s="1250"/>
      <c r="D137" s="601" t="s">
        <v>520</v>
      </c>
      <c r="E137" s="593"/>
      <c r="F137" s="602"/>
      <c r="G137" s="595"/>
      <c r="H137" s="596"/>
      <c r="I137" s="597"/>
      <c r="J137" s="598"/>
      <c r="K137" s="599"/>
      <c r="L137" s="599"/>
      <c r="M137" s="599"/>
      <c r="N137" s="599"/>
      <c r="O137" s="600"/>
      <c r="P137" s="597"/>
    </row>
    <row r="138" spans="2:17" s="426" customFormat="1" ht="11.25" x14ac:dyDescent="0.2">
      <c r="B138" s="1237"/>
      <c r="C138" s="1250"/>
      <c r="D138" s="603" t="s">
        <v>540</v>
      </c>
      <c r="E138" s="593">
        <v>1</v>
      </c>
      <c r="F138" s="602" t="s">
        <v>9</v>
      </c>
      <c r="G138" s="595">
        <v>15</v>
      </c>
      <c r="H138" s="596"/>
      <c r="I138" s="597"/>
      <c r="J138" s="598"/>
      <c r="K138" s="599"/>
      <c r="L138" s="599"/>
      <c r="M138" s="599"/>
      <c r="N138" s="599"/>
      <c r="O138" s="600"/>
      <c r="P138" s="597"/>
    </row>
    <row r="139" spans="2:17" s="426" customFormat="1" ht="11.25" x14ac:dyDescent="0.2">
      <c r="B139" s="1237"/>
      <c r="C139" s="1250"/>
      <c r="D139" s="603" t="s">
        <v>541</v>
      </c>
      <c r="E139" s="593">
        <v>1</v>
      </c>
      <c r="F139" s="602" t="s">
        <v>9</v>
      </c>
      <c r="G139" s="604" t="s">
        <v>528</v>
      </c>
      <c r="H139" s="596"/>
      <c r="I139" s="597"/>
      <c r="J139" s="598"/>
      <c r="K139" s="599"/>
      <c r="L139" s="599"/>
      <c r="M139" s="599"/>
      <c r="N139" s="599"/>
      <c r="O139" s="600"/>
      <c r="P139" s="597"/>
    </row>
    <row r="140" spans="2:17" s="426" customFormat="1" ht="11.25" x14ac:dyDescent="0.2">
      <c r="B140" s="1237"/>
      <c r="C140" s="1250"/>
      <c r="D140" s="603" t="s">
        <v>542</v>
      </c>
      <c r="E140" s="593">
        <v>1</v>
      </c>
      <c r="F140" s="602" t="s">
        <v>9</v>
      </c>
      <c r="G140" s="604" t="s">
        <v>528</v>
      </c>
      <c r="H140" s="596"/>
      <c r="I140" s="597"/>
      <c r="J140" s="598"/>
      <c r="K140" s="599"/>
      <c r="L140" s="599"/>
      <c r="M140" s="599"/>
      <c r="N140" s="599"/>
      <c r="O140" s="600"/>
      <c r="P140" s="597"/>
    </row>
    <row r="141" spans="2:17" s="426" customFormat="1" ht="11.25" x14ac:dyDescent="0.2">
      <c r="B141" s="1237"/>
      <c r="C141" s="1250"/>
      <c r="D141" s="603" t="s">
        <v>543</v>
      </c>
      <c r="E141" s="593">
        <v>1</v>
      </c>
      <c r="F141" s="602" t="s">
        <v>9</v>
      </c>
      <c r="G141" s="595">
        <v>7.5</v>
      </c>
      <c r="H141" s="596"/>
      <c r="I141" s="597"/>
      <c r="J141" s="598"/>
      <c r="K141" s="599"/>
      <c r="L141" s="599"/>
      <c r="M141" s="599"/>
      <c r="N141" s="599"/>
      <c r="O141" s="600"/>
      <c r="P141" s="597"/>
    </row>
    <row r="142" spans="2:17" s="426" customFormat="1" ht="11.25" x14ac:dyDescent="0.2">
      <c r="B142" s="1237"/>
      <c r="C142" s="1250"/>
      <c r="D142" s="603" t="s">
        <v>544</v>
      </c>
      <c r="E142" s="593">
        <v>1</v>
      </c>
      <c r="F142" s="602" t="s">
        <v>9</v>
      </c>
      <c r="G142" s="595">
        <v>2.5</v>
      </c>
      <c r="H142" s="596"/>
      <c r="I142" s="597"/>
      <c r="J142" s="598"/>
      <c r="K142" s="599"/>
      <c r="L142" s="599"/>
      <c r="M142" s="599"/>
      <c r="N142" s="599"/>
      <c r="O142" s="600"/>
      <c r="P142" s="597"/>
    </row>
    <row r="143" spans="2:17" s="426" customFormat="1" ht="11.25" x14ac:dyDescent="0.2">
      <c r="B143" s="1237"/>
      <c r="C143" s="1250"/>
      <c r="D143" s="603" t="s">
        <v>545</v>
      </c>
      <c r="E143" s="593">
        <v>1</v>
      </c>
      <c r="F143" s="602" t="s">
        <v>9</v>
      </c>
      <c r="G143" s="604" t="s">
        <v>528</v>
      </c>
      <c r="H143" s="596"/>
      <c r="I143" s="597"/>
      <c r="J143" s="598"/>
      <c r="K143" s="599"/>
      <c r="L143" s="599"/>
      <c r="M143" s="599"/>
      <c r="N143" s="599"/>
      <c r="O143" s="600"/>
      <c r="P143" s="597"/>
    </row>
    <row r="144" spans="2:17" s="426" customFormat="1" ht="11.25" x14ac:dyDescent="0.2">
      <c r="B144" s="1237"/>
      <c r="C144" s="1250"/>
      <c r="D144" s="603" t="s">
        <v>546</v>
      </c>
      <c r="E144" s="593">
        <v>1</v>
      </c>
      <c r="F144" s="602" t="s">
        <v>9</v>
      </c>
      <c r="G144" s="595">
        <v>7.5</v>
      </c>
      <c r="H144" s="596"/>
      <c r="I144" s="597"/>
      <c r="J144" s="598"/>
      <c r="K144" s="599"/>
      <c r="L144" s="599"/>
      <c r="M144" s="599"/>
      <c r="N144" s="599"/>
      <c r="O144" s="600"/>
      <c r="P144" s="597"/>
    </row>
    <row r="145" spans="2:17" s="426" customFormat="1" ht="11.25" x14ac:dyDescent="0.2">
      <c r="B145" s="1237"/>
      <c r="C145" s="1250"/>
      <c r="D145" s="603" t="s">
        <v>525</v>
      </c>
      <c r="E145" s="605">
        <v>0.15</v>
      </c>
      <c r="F145" s="602"/>
      <c r="G145" s="595">
        <f>SUM(G137:G144)*E145</f>
        <v>4.875</v>
      </c>
      <c r="H145" s="596"/>
      <c r="I145" s="597"/>
      <c r="J145" s="598"/>
      <c r="K145" s="599"/>
      <c r="L145" s="599"/>
      <c r="M145" s="599"/>
      <c r="N145" s="599"/>
      <c r="O145" s="600"/>
      <c r="P145" s="597"/>
    </row>
    <row r="146" spans="2:17" s="426" customFormat="1" ht="11.25" x14ac:dyDescent="0.2">
      <c r="B146" s="1237"/>
      <c r="C146" s="1250"/>
      <c r="D146" s="603" t="s">
        <v>526</v>
      </c>
      <c r="E146" s="605"/>
      <c r="F146" s="602"/>
      <c r="G146" s="606">
        <v>0.62</v>
      </c>
      <c r="H146" s="596"/>
      <c r="I146" s="597"/>
      <c r="J146" s="598"/>
      <c r="K146" s="599"/>
      <c r="L146" s="599"/>
      <c r="M146" s="599"/>
      <c r="N146" s="599"/>
      <c r="O146" s="600"/>
      <c r="P146" s="597"/>
    </row>
    <row r="147" spans="2:17" s="426" customFormat="1" ht="11.25" x14ac:dyDescent="0.2">
      <c r="B147" s="1237"/>
      <c r="C147" s="1250"/>
      <c r="D147" s="603" t="s">
        <v>548</v>
      </c>
      <c r="E147" s="605"/>
      <c r="F147" s="602"/>
      <c r="G147" s="606">
        <f>-G132</f>
        <v>-25.995000000000001</v>
      </c>
      <c r="H147" s="596"/>
      <c r="I147" s="597"/>
      <c r="J147" s="598"/>
      <c r="K147" s="599"/>
      <c r="L147" s="599"/>
      <c r="M147" s="599"/>
      <c r="N147" s="599"/>
      <c r="O147" s="600"/>
      <c r="P147" s="597"/>
    </row>
    <row r="148" spans="2:17" s="426" customFormat="1" ht="11.25" x14ac:dyDescent="0.2">
      <c r="B148" s="1237"/>
      <c r="C148" s="1250"/>
      <c r="D148" s="607" t="s">
        <v>527</v>
      </c>
      <c r="E148" s="593"/>
      <c r="F148" s="602"/>
      <c r="G148" s="608">
        <f>SUM(G137:G147)</f>
        <v>11.999999999999996</v>
      </c>
      <c r="H148" s="596"/>
      <c r="I148" s="597"/>
      <c r="J148" s="598"/>
      <c r="K148" s="599"/>
      <c r="L148" s="599"/>
      <c r="M148" s="599"/>
      <c r="N148" s="599"/>
      <c r="O148" s="600"/>
      <c r="P148" s="597"/>
    </row>
    <row r="149" spans="2:17" s="420" customFormat="1" ht="12" thickBot="1" x14ac:dyDescent="0.25">
      <c r="B149" s="1238"/>
      <c r="C149" s="1251"/>
      <c r="D149" s="444"/>
      <c r="E149" s="445"/>
      <c r="F149" s="446"/>
      <c r="G149" s="447"/>
      <c r="H149" s="448"/>
      <c r="I149" s="449"/>
      <c r="J149" s="450"/>
      <c r="K149" s="451"/>
      <c r="L149" s="451"/>
      <c r="M149" s="451"/>
      <c r="N149" s="451"/>
      <c r="O149" s="450"/>
      <c r="P149" s="449"/>
    </row>
    <row r="150" spans="2:17" s="426" customFormat="1" ht="30" customHeight="1" x14ac:dyDescent="0.2">
      <c r="B150" s="1235" t="str">
        <f>'Detailed Matrix'!E29</f>
        <v>Façade Air-tightness</v>
      </c>
      <c r="C150" s="1252" t="str">
        <f>'Detailed Matrix'!F29</f>
        <v>Stage 03: &lt;1 (values to be confirmed)</v>
      </c>
      <c r="D150" s="427"/>
      <c r="E150" s="428"/>
      <c r="F150" s="429"/>
      <c r="G150" s="430"/>
      <c r="H150" s="431"/>
      <c r="I150" s="432"/>
      <c r="J150" s="433"/>
      <c r="K150" s="434"/>
      <c r="L150" s="434"/>
      <c r="M150" s="434"/>
      <c r="N150" s="434"/>
      <c r="O150" s="433"/>
      <c r="P150" s="432"/>
    </row>
    <row r="151" spans="2:17" s="426" customFormat="1" ht="11.25" x14ac:dyDescent="0.2">
      <c r="B151" s="1236"/>
      <c r="C151" s="1253"/>
      <c r="D151" s="435" t="s">
        <v>547</v>
      </c>
      <c r="E151" s="436">
        <f>'Key Data'!$B$18</f>
        <v>6972</v>
      </c>
      <c r="F151" s="437" t="s">
        <v>9</v>
      </c>
      <c r="G151" s="438">
        <f>G167</f>
        <v>14.005000000000003</v>
      </c>
      <c r="H151" s="439">
        <f>E151*G151</f>
        <v>97642.860000000015</v>
      </c>
      <c r="I151" s="440">
        <f>SUM(H150:H151)</f>
        <v>97642.860000000015</v>
      </c>
      <c r="J151" s="441">
        <f>I151*$J$5</f>
        <v>12693.571800000002</v>
      </c>
      <c r="K151" s="442">
        <f>SUM(I151:J151)*$K$5</f>
        <v>4965.1394310000005</v>
      </c>
      <c r="L151" s="442">
        <f>SUM(I151:K151)*$L$5</f>
        <v>6341.5864177050016</v>
      </c>
      <c r="M151" s="442">
        <f>SUM(I151:L151)*$M$5</f>
        <v>7298.5894589223008</v>
      </c>
      <c r="N151" s="442">
        <f>SUM(I151:M151)*$N$5</f>
        <v>12894.174710762733</v>
      </c>
      <c r="O151" s="443">
        <f>SUM(I151:N151)</f>
        <v>141835.92181839005</v>
      </c>
      <c r="P151" s="440">
        <f>ROUND(O151,-3)</f>
        <v>142000</v>
      </c>
      <c r="Q151" s="426" t="s">
        <v>223</v>
      </c>
    </row>
    <row r="152" spans="2:17" s="426" customFormat="1" ht="11.25" x14ac:dyDescent="0.2">
      <c r="B152" s="1237"/>
      <c r="C152" s="1253"/>
      <c r="D152" s="609"/>
      <c r="E152" s="593"/>
      <c r="F152" s="602"/>
      <c r="G152" s="595"/>
      <c r="H152" s="596"/>
      <c r="I152" s="597"/>
      <c r="J152" s="598"/>
      <c r="K152" s="599"/>
      <c r="L152" s="599"/>
      <c r="M152" s="599"/>
      <c r="N152" s="599"/>
      <c r="O152" s="600"/>
      <c r="P152" s="597"/>
    </row>
    <row r="153" spans="2:17" s="426" customFormat="1" ht="11.25" x14ac:dyDescent="0.2">
      <c r="B153" s="1237"/>
      <c r="C153" s="1253"/>
      <c r="D153" s="609" t="s">
        <v>549</v>
      </c>
      <c r="E153" s="593"/>
      <c r="F153" s="602"/>
      <c r="G153" s="595"/>
      <c r="H153" s="596"/>
      <c r="I153" s="597"/>
      <c r="J153" s="598"/>
      <c r="K153" s="599"/>
      <c r="L153" s="599"/>
      <c r="M153" s="599"/>
      <c r="N153" s="599"/>
      <c r="O153" s="600"/>
      <c r="P153" s="597"/>
    </row>
    <row r="154" spans="2:17" s="426" customFormat="1" ht="11.25" x14ac:dyDescent="0.2">
      <c r="B154" s="1237"/>
      <c r="C154" s="1253"/>
      <c r="D154" s="609" t="s">
        <v>550</v>
      </c>
      <c r="E154" s="593"/>
      <c r="F154" s="602"/>
      <c r="G154" s="595"/>
      <c r="H154" s="596"/>
      <c r="I154" s="597"/>
      <c r="J154" s="598"/>
      <c r="K154" s="599"/>
      <c r="L154" s="599"/>
      <c r="M154" s="599"/>
      <c r="N154" s="599"/>
      <c r="O154" s="600"/>
      <c r="P154" s="597"/>
    </row>
    <row r="155" spans="2:17" s="426" customFormat="1" ht="11.25" x14ac:dyDescent="0.2">
      <c r="B155" s="1237"/>
      <c r="C155" s="1253"/>
      <c r="D155" s="609"/>
      <c r="E155" s="593"/>
      <c r="F155" s="602"/>
      <c r="G155" s="595"/>
      <c r="H155" s="596"/>
      <c r="I155" s="597"/>
      <c r="J155" s="598"/>
      <c r="K155" s="599"/>
      <c r="L155" s="599"/>
      <c r="M155" s="599"/>
      <c r="N155" s="599"/>
      <c r="O155" s="600"/>
      <c r="P155" s="597"/>
    </row>
    <row r="156" spans="2:17" s="426" customFormat="1" ht="11.25" x14ac:dyDescent="0.2">
      <c r="B156" s="1237"/>
      <c r="C156" s="1253"/>
      <c r="D156" s="601" t="s">
        <v>520</v>
      </c>
      <c r="E156" s="593"/>
      <c r="F156" s="602"/>
      <c r="G156" s="595"/>
      <c r="H156" s="596"/>
      <c r="I156" s="597"/>
      <c r="J156" s="598"/>
      <c r="K156" s="599"/>
      <c r="L156" s="599"/>
      <c r="M156" s="599"/>
      <c r="N156" s="599"/>
      <c r="O156" s="600"/>
      <c r="P156" s="597"/>
    </row>
    <row r="157" spans="2:17" s="426" customFormat="1" ht="11.25" x14ac:dyDescent="0.2">
      <c r="B157" s="1237"/>
      <c r="C157" s="1253"/>
      <c r="D157" s="603" t="s">
        <v>540</v>
      </c>
      <c r="E157" s="593">
        <v>1</v>
      </c>
      <c r="F157" s="602" t="s">
        <v>9</v>
      </c>
      <c r="G157" s="595">
        <v>20</v>
      </c>
      <c r="H157" s="596"/>
      <c r="I157" s="597"/>
      <c r="J157" s="598"/>
      <c r="K157" s="599"/>
      <c r="L157" s="599"/>
      <c r="M157" s="599"/>
      <c r="N157" s="599"/>
      <c r="O157" s="600"/>
      <c r="P157" s="597"/>
    </row>
    <row r="158" spans="2:17" s="426" customFormat="1" ht="11.25" x14ac:dyDescent="0.2">
      <c r="B158" s="1237"/>
      <c r="C158" s="1253"/>
      <c r="D158" s="603" t="s">
        <v>541</v>
      </c>
      <c r="E158" s="593">
        <v>1</v>
      </c>
      <c r="F158" s="602" t="s">
        <v>9</v>
      </c>
      <c r="G158" s="604" t="s">
        <v>528</v>
      </c>
      <c r="H158" s="596"/>
      <c r="I158" s="597"/>
      <c r="J158" s="598"/>
      <c r="K158" s="599"/>
      <c r="L158" s="599"/>
      <c r="M158" s="599"/>
      <c r="N158" s="599"/>
      <c r="O158" s="600"/>
      <c r="P158" s="597"/>
    </row>
    <row r="159" spans="2:17" s="426" customFormat="1" ht="11.25" x14ac:dyDescent="0.2">
      <c r="B159" s="1237"/>
      <c r="C159" s="1253"/>
      <c r="D159" s="603" t="s">
        <v>542</v>
      </c>
      <c r="E159" s="593">
        <v>1</v>
      </c>
      <c r="F159" s="602" t="s">
        <v>9</v>
      </c>
      <c r="G159" s="604" t="s">
        <v>528</v>
      </c>
      <c r="H159" s="596"/>
      <c r="I159" s="597"/>
      <c r="J159" s="598"/>
      <c r="K159" s="599"/>
      <c r="L159" s="599"/>
      <c r="M159" s="599"/>
      <c r="N159" s="599"/>
      <c r="O159" s="600"/>
      <c r="P159" s="597"/>
    </row>
    <row r="160" spans="2:17" s="426" customFormat="1" ht="11.25" x14ac:dyDescent="0.2">
      <c r="B160" s="1237"/>
      <c r="C160" s="1253"/>
      <c r="D160" s="603" t="s">
        <v>543</v>
      </c>
      <c r="E160" s="593">
        <v>1</v>
      </c>
      <c r="F160" s="602" t="s">
        <v>9</v>
      </c>
      <c r="G160" s="595">
        <v>10</v>
      </c>
      <c r="H160" s="596"/>
      <c r="I160" s="597"/>
      <c r="J160" s="598"/>
      <c r="K160" s="599"/>
      <c r="L160" s="599"/>
      <c r="M160" s="599"/>
      <c r="N160" s="599"/>
      <c r="O160" s="600"/>
      <c r="P160" s="597"/>
    </row>
    <row r="161" spans="2:16" s="426" customFormat="1" ht="11.25" x14ac:dyDescent="0.2">
      <c r="B161" s="1237"/>
      <c r="C161" s="1253"/>
      <c r="D161" s="603" t="s">
        <v>544</v>
      </c>
      <c r="E161" s="593">
        <v>1</v>
      </c>
      <c r="F161" s="602" t="s">
        <v>9</v>
      </c>
      <c r="G161" s="595">
        <v>5</v>
      </c>
      <c r="H161" s="596"/>
      <c r="I161" s="597"/>
      <c r="J161" s="598"/>
      <c r="K161" s="599"/>
      <c r="L161" s="599"/>
      <c r="M161" s="599"/>
      <c r="N161" s="599"/>
      <c r="O161" s="600"/>
      <c r="P161" s="597"/>
    </row>
    <row r="162" spans="2:16" s="426" customFormat="1" ht="11.25" x14ac:dyDescent="0.2">
      <c r="B162" s="1237"/>
      <c r="C162" s="1253"/>
      <c r="D162" s="603" t="s">
        <v>545</v>
      </c>
      <c r="E162" s="593">
        <v>1</v>
      </c>
      <c r="F162" s="602" t="s">
        <v>9</v>
      </c>
      <c r="G162" s="604" t="s">
        <v>528</v>
      </c>
      <c r="H162" s="596"/>
      <c r="I162" s="597"/>
      <c r="J162" s="598"/>
      <c r="K162" s="599"/>
      <c r="L162" s="599"/>
      <c r="M162" s="599"/>
      <c r="N162" s="599"/>
      <c r="O162" s="600"/>
      <c r="P162" s="597"/>
    </row>
    <row r="163" spans="2:16" s="426" customFormat="1" ht="11.25" x14ac:dyDescent="0.2">
      <c r="B163" s="1237"/>
      <c r="C163" s="1253"/>
      <c r="D163" s="603" t="s">
        <v>546</v>
      </c>
      <c r="E163" s="593">
        <v>1</v>
      </c>
      <c r="F163" s="602" t="s">
        <v>9</v>
      </c>
      <c r="G163" s="595">
        <v>10</v>
      </c>
      <c r="H163" s="596"/>
      <c r="I163" s="597"/>
      <c r="J163" s="598"/>
      <c r="K163" s="599"/>
      <c r="L163" s="599"/>
      <c r="M163" s="599"/>
      <c r="N163" s="599"/>
      <c r="O163" s="600"/>
      <c r="P163" s="597"/>
    </row>
    <row r="164" spans="2:16" s="426" customFormat="1" ht="11.25" x14ac:dyDescent="0.2">
      <c r="B164" s="1237"/>
      <c r="C164" s="1253"/>
      <c r="D164" s="603" t="s">
        <v>525</v>
      </c>
      <c r="E164" s="605">
        <v>0.15</v>
      </c>
      <c r="F164" s="602"/>
      <c r="G164" s="595">
        <f>SUM(G156:G163)*E164</f>
        <v>6.75</v>
      </c>
      <c r="H164" s="596"/>
      <c r="I164" s="597"/>
      <c r="J164" s="598"/>
      <c r="K164" s="599"/>
      <c r="L164" s="599"/>
      <c r="M164" s="599"/>
      <c r="N164" s="599"/>
      <c r="O164" s="600"/>
      <c r="P164" s="597"/>
    </row>
    <row r="165" spans="2:16" s="426" customFormat="1" ht="11.25" x14ac:dyDescent="0.2">
      <c r="B165" s="1237"/>
      <c r="C165" s="1253"/>
      <c r="D165" s="603" t="s">
        <v>526</v>
      </c>
      <c r="E165" s="605"/>
      <c r="F165" s="602"/>
      <c r="G165" s="606">
        <v>0.25</v>
      </c>
      <c r="H165" s="596"/>
      <c r="I165" s="597"/>
      <c r="J165" s="598"/>
      <c r="K165" s="599"/>
      <c r="L165" s="599"/>
      <c r="M165" s="599"/>
      <c r="N165" s="599"/>
      <c r="O165" s="600"/>
      <c r="P165" s="597"/>
    </row>
    <row r="166" spans="2:16" s="426" customFormat="1" ht="11.25" x14ac:dyDescent="0.2">
      <c r="B166" s="1237"/>
      <c r="C166" s="1253"/>
      <c r="D166" s="603" t="s">
        <v>551</v>
      </c>
      <c r="E166" s="605"/>
      <c r="F166" s="602"/>
      <c r="G166" s="606">
        <f>-G132-G148</f>
        <v>-37.994999999999997</v>
      </c>
      <c r="H166" s="596"/>
      <c r="I166" s="597"/>
      <c r="J166" s="598"/>
      <c r="K166" s="599"/>
      <c r="L166" s="599"/>
      <c r="M166" s="599"/>
      <c r="N166" s="599"/>
      <c r="O166" s="600"/>
      <c r="P166" s="597"/>
    </row>
    <row r="167" spans="2:16" s="426" customFormat="1" ht="11.25" x14ac:dyDescent="0.2">
      <c r="B167" s="1237"/>
      <c r="C167" s="1253"/>
      <c r="D167" s="607" t="s">
        <v>527</v>
      </c>
      <c r="E167" s="593"/>
      <c r="F167" s="602"/>
      <c r="G167" s="608">
        <f>SUM(G156:G166)</f>
        <v>14.005000000000003</v>
      </c>
      <c r="H167" s="596"/>
      <c r="I167" s="597"/>
      <c r="J167" s="598"/>
      <c r="K167" s="599"/>
      <c r="L167" s="599"/>
      <c r="M167" s="599"/>
      <c r="N167" s="599"/>
      <c r="O167" s="600"/>
      <c r="P167" s="597"/>
    </row>
    <row r="168" spans="2:16" s="426" customFormat="1" ht="12" thickBot="1" x14ac:dyDescent="0.25">
      <c r="B168" s="1238"/>
      <c r="C168" s="1254"/>
      <c r="D168" s="444"/>
      <c r="E168" s="445"/>
      <c r="F168" s="446"/>
      <c r="G168" s="447"/>
      <c r="H168" s="448"/>
      <c r="I168" s="449"/>
      <c r="J168" s="450"/>
      <c r="K168" s="451"/>
      <c r="L168" s="451"/>
      <c r="M168" s="451"/>
      <c r="N168" s="451"/>
      <c r="O168" s="450"/>
      <c r="P168" s="449"/>
    </row>
    <row r="169" spans="2:16" s="420" customFormat="1" ht="11.25" x14ac:dyDescent="0.2">
      <c r="B169" s="1231" t="str">
        <f>'Detailed Matrix'!E30</f>
        <v>Optimised External Shading</v>
      </c>
      <c r="C169" s="1228" t="str">
        <f>'Detailed Matrix'!F30</f>
        <v>Design stratgey adoptiong deep reveals and overhangs</v>
      </c>
      <c r="D169" s="492"/>
      <c r="E169" s="493"/>
      <c r="F169" s="494"/>
      <c r="G169" s="495"/>
      <c r="H169" s="496"/>
      <c r="I169" s="497"/>
      <c r="J169" s="498"/>
      <c r="K169" s="499"/>
      <c r="L169" s="499"/>
      <c r="M169" s="499"/>
      <c r="N169" s="499"/>
      <c r="O169" s="498"/>
      <c r="P169" s="497"/>
    </row>
    <row r="170" spans="2:16" s="420" customFormat="1" ht="11.25" x14ac:dyDescent="0.2">
      <c r="B170" s="1232"/>
      <c r="C170" s="1229"/>
      <c r="D170" s="699" t="s">
        <v>154</v>
      </c>
      <c r="E170" s="501"/>
      <c r="F170" s="502"/>
      <c r="G170" s="503"/>
      <c r="H170" s="504"/>
      <c r="I170" s="505"/>
      <c r="J170" s="506"/>
      <c r="K170" s="507"/>
      <c r="L170" s="507"/>
      <c r="M170" s="507"/>
      <c r="N170" s="507"/>
      <c r="O170" s="506"/>
      <c r="P170" s="505"/>
    </row>
    <row r="171" spans="2:16" s="420" customFormat="1" ht="11.25" x14ac:dyDescent="0.2">
      <c r="B171" s="1232"/>
      <c r="C171" s="1229"/>
      <c r="D171" s="500" t="s">
        <v>552</v>
      </c>
      <c r="E171" s="700">
        <v>0.15</v>
      </c>
      <c r="F171" s="502" t="s">
        <v>553</v>
      </c>
      <c r="G171" s="503"/>
      <c r="H171" s="504"/>
      <c r="I171" s="505"/>
      <c r="J171" s="506"/>
      <c r="K171" s="507"/>
      <c r="L171" s="507"/>
      <c r="M171" s="507"/>
      <c r="N171" s="507"/>
      <c r="O171" s="506"/>
      <c r="P171" s="505"/>
    </row>
    <row r="172" spans="2:16" s="420" customFormat="1" ht="11.25" x14ac:dyDescent="0.2">
      <c r="B172" s="1232"/>
      <c r="C172" s="1229"/>
      <c r="D172" s="500" t="s">
        <v>554</v>
      </c>
      <c r="E172" s="501">
        <v>250</v>
      </c>
      <c r="F172" s="502" t="s">
        <v>9</v>
      </c>
      <c r="G172" s="503"/>
      <c r="H172" s="504"/>
      <c r="I172" s="505"/>
      <c r="J172" s="506"/>
      <c r="K172" s="507"/>
      <c r="L172" s="507"/>
      <c r="M172" s="507"/>
      <c r="N172" s="507"/>
      <c r="O172" s="506"/>
      <c r="P172" s="505"/>
    </row>
    <row r="173" spans="2:16" s="420" customFormat="1" ht="11.25" x14ac:dyDescent="0.2">
      <c r="B173" s="1232"/>
      <c r="C173" s="1229"/>
      <c r="D173" s="500"/>
      <c r="E173" s="700"/>
      <c r="F173" s="502"/>
      <c r="G173" s="503"/>
      <c r="H173" s="504"/>
      <c r="I173" s="505"/>
      <c r="J173" s="506"/>
      <c r="K173" s="507"/>
      <c r="L173" s="507"/>
      <c r="M173" s="507"/>
      <c r="N173" s="507"/>
      <c r="O173" s="506"/>
      <c r="P173" s="505"/>
    </row>
    <row r="174" spans="2:16" s="420" customFormat="1" ht="11.25" x14ac:dyDescent="0.2">
      <c r="B174" s="1232"/>
      <c r="C174" s="1229"/>
      <c r="D174" s="524" t="s">
        <v>515</v>
      </c>
      <c r="E174" s="525">
        <f>IF('Detailed Matrix'!$L$16="Yes",$E$12,0)</f>
        <v>0</v>
      </c>
      <c r="F174" s="526" t="s">
        <v>9</v>
      </c>
      <c r="G174" s="527">
        <f>(((2.5+2.5+1.8+1.8)*$E$171)*$E$172)/4.5</f>
        <v>71.666666666666657</v>
      </c>
      <c r="H174" s="509">
        <f t="shared" ref="H174:H178" si="21">E174*G174</f>
        <v>0</v>
      </c>
      <c r="I174" s="505"/>
      <c r="J174" s="506"/>
      <c r="K174" s="507"/>
      <c r="L174" s="507"/>
      <c r="M174" s="507"/>
      <c r="N174" s="507"/>
      <c r="O174" s="506"/>
      <c r="P174" s="505"/>
    </row>
    <row r="175" spans="2:16" s="420" customFormat="1" ht="11.25" x14ac:dyDescent="0.2">
      <c r="B175" s="1232"/>
      <c r="C175" s="1229"/>
      <c r="D175" s="524" t="s">
        <v>516</v>
      </c>
      <c r="E175" s="525">
        <f>IF('Detailed Matrix'!$L$17="Yes",$E$21,0)</f>
        <v>0</v>
      </c>
      <c r="F175" s="526" t="s">
        <v>9</v>
      </c>
      <c r="G175" s="527">
        <f t="shared" ref="G175:G178" si="22">G174</f>
        <v>71.666666666666657</v>
      </c>
      <c r="H175" s="509">
        <f t="shared" si="21"/>
        <v>0</v>
      </c>
      <c r="I175" s="505"/>
      <c r="J175" s="506"/>
      <c r="K175" s="507"/>
      <c r="L175" s="507"/>
      <c r="M175" s="507"/>
      <c r="N175" s="507"/>
      <c r="O175" s="506"/>
      <c r="P175" s="505"/>
    </row>
    <row r="176" spans="2:16" s="420" customFormat="1" ht="11.25" x14ac:dyDescent="0.2">
      <c r="B176" s="1232"/>
      <c r="C176" s="1229"/>
      <c r="D176" s="524" t="s">
        <v>517</v>
      </c>
      <c r="E176" s="525">
        <f>IF('Detailed Matrix'!$L$18="Yes",$E$30,0)</f>
        <v>0</v>
      </c>
      <c r="F176" s="526" t="s">
        <v>9</v>
      </c>
      <c r="G176" s="527">
        <f t="shared" si="22"/>
        <v>71.666666666666657</v>
      </c>
      <c r="H176" s="509">
        <f t="shared" si="21"/>
        <v>0</v>
      </c>
      <c r="I176" s="505"/>
      <c r="J176" s="506"/>
      <c r="K176" s="507"/>
      <c r="L176" s="507"/>
      <c r="M176" s="507"/>
      <c r="N176" s="507"/>
      <c r="O176" s="506"/>
      <c r="P176" s="505"/>
    </row>
    <row r="177" spans="2:17" s="420" customFormat="1" ht="11.25" x14ac:dyDescent="0.2">
      <c r="B177" s="1232"/>
      <c r="C177" s="1229"/>
      <c r="D177" s="524" t="s">
        <v>518</v>
      </c>
      <c r="E177" s="525">
        <f>IF('Detailed Matrix'!$L$19="Yes",$E$39,0)</f>
        <v>4531.8</v>
      </c>
      <c r="F177" s="526" t="s">
        <v>9</v>
      </c>
      <c r="G177" s="527">
        <f t="shared" si="22"/>
        <v>71.666666666666657</v>
      </c>
      <c r="H177" s="509">
        <f t="shared" si="21"/>
        <v>324778.99999999994</v>
      </c>
      <c r="I177" s="505"/>
      <c r="J177" s="506"/>
      <c r="K177" s="507"/>
      <c r="L177" s="507"/>
      <c r="M177" s="507"/>
      <c r="N177" s="507"/>
      <c r="O177" s="506"/>
      <c r="P177" s="505"/>
    </row>
    <row r="178" spans="2:17" s="420" customFormat="1" ht="11.25" x14ac:dyDescent="0.2">
      <c r="B178" s="1233"/>
      <c r="C178" s="1229"/>
      <c r="D178" s="524" t="s">
        <v>519</v>
      </c>
      <c r="E178" s="525">
        <f>IF('Detailed Matrix'!$L$20="Yes",$E$48,0)</f>
        <v>0</v>
      </c>
      <c r="F178" s="526" t="s">
        <v>9</v>
      </c>
      <c r="G178" s="527">
        <f t="shared" si="22"/>
        <v>71.666666666666657</v>
      </c>
      <c r="H178" s="509">
        <f t="shared" si="21"/>
        <v>0</v>
      </c>
      <c r="I178" s="512">
        <f>SUM(H169:H178)</f>
        <v>324778.99999999994</v>
      </c>
      <c r="J178" s="513">
        <f>I178*$J$5</f>
        <v>42221.27</v>
      </c>
      <c r="K178" s="514">
        <f>SUM(I178:J178)*$K$5</f>
        <v>16515.012149999999</v>
      </c>
      <c r="L178" s="514">
        <f>SUM(I178:K178)*$L$5</f>
        <v>21093.340518249999</v>
      </c>
      <c r="M178" s="514">
        <f>SUM(I178:L178)*$M$5</f>
        <v>24276.517360095</v>
      </c>
      <c r="N178" s="514">
        <f>SUM(I178:M178)*$N$5</f>
        <v>42888.514002834505</v>
      </c>
      <c r="O178" s="515">
        <f>SUM(I178:N178)</f>
        <v>471773.6540311795</v>
      </c>
      <c r="P178" s="512">
        <f>ROUND(O178,-3)</f>
        <v>472000</v>
      </c>
      <c r="Q178" s="420" t="s">
        <v>514</v>
      </c>
    </row>
    <row r="179" spans="2:17" s="420" customFormat="1" ht="11.25" x14ac:dyDescent="0.2">
      <c r="B179" s="1239"/>
      <c r="C179" s="1229"/>
      <c r="D179" s="571"/>
      <c r="E179" s="572"/>
      <c r="F179" s="573"/>
      <c r="G179" s="574"/>
      <c r="H179" s="575"/>
      <c r="I179" s="576"/>
      <c r="J179" s="577"/>
      <c r="K179" s="578"/>
      <c r="L179" s="578"/>
      <c r="M179" s="578"/>
      <c r="N179" s="578"/>
      <c r="O179" s="579"/>
      <c r="P179" s="576"/>
    </row>
    <row r="180" spans="2:17" s="420" customFormat="1" ht="11.25" x14ac:dyDescent="0.2">
      <c r="B180" s="1239"/>
      <c r="C180" s="1229"/>
      <c r="D180" s="699" t="s">
        <v>155</v>
      </c>
      <c r="E180" s="501"/>
      <c r="F180" s="502"/>
      <c r="G180" s="503"/>
      <c r="H180" s="504"/>
      <c r="I180" s="505"/>
      <c r="J180" s="506"/>
      <c r="K180" s="507"/>
      <c r="L180" s="507"/>
      <c r="M180" s="507"/>
      <c r="N180" s="507"/>
      <c r="O180" s="506"/>
      <c r="P180" s="505"/>
    </row>
    <row r="181" spans="2:17" s="420" customFormat="1" ht="11.25" x14ac:dyDescent="0.2">
      <c r="B181" s="1239"/>
      <c r="C181" s="1229"/>
      <c r="D181" s="500" t="s">
        <v>552</v>
      </c>
      <c r="E181" s="700">
        <v>0.6</v>
      </c>
      <c r="F181" s="502" t="s">
        <v>553</v>
      </c>
      <c r="G181" s="503"/>
      <c r="H181" s="504"/>
      <c r="I181" s="505"/>
      <c r="J181" s="506"/>
      <c r="K181" s="507"/>
      <c r="L181" s="507"/>
      <c r="M181" s="507"/>
      <c r="N181" s="507"/>
      <c r="O181" s="506"/>
      <c r="P181" s="505"/>
    </row>
    <row r="182" spans="2:17" s="420" customFormat="1" ht="11.25" x14ac:dyDescent="0.2">
      <c r="B182" s="1239"/>
      <c r="C182" s="1229"/>
      <c r="D182" s="500" t="s">
        <v>554</v>
      </c>
      <c r="E182" s="501">
        <v>150</v>
      </c>
      <c r="F182" s="502" t="s">
        <v>9</v>
      </c>
      <c r="G182" s="503"/>
      <c r="H182" s="504"/>
      <c r="I182" s="505"/>
      <c r="J182" s="506"/>
      <c r="K182" s="507"/>
      <c r="L182" s="507"/>
      <c r="M182" s="507"/>
      <c r="N182" s="507"/>
      <c r="O182" s="506"/>
      <c r="P182" s="505"/>
    </row>
    <row r="183" spans="2:17" s="420" customFormat="1" ht="11.25" x14ac:dyDescent="0.2">
      <c r="B183" s="1239"/>
      <c r="C183" s="1229"/>
      <c r="D183" s="500"/>
      <c r="E183" s="700"/>
      <c r="F183" s="502"/>
      <c r="G183" s="503"/>
      <c r="H183" s="504"/>
      <c r="I183" s="505"/>
      <c r="J183" s="506"/>
      <c r="K183" s="507"/>
      <c r="L183" s="507"/>
      <c r="M183" s="507"/>
      <c r="N183" s="507"/>
      <c r="O183" s="506"/>
      <c r="P183" s="505"/>
    </row>
    <row r="184" spans="2:17" s="420" customFormat="1" ht="11.25" x14ac:dyDescent="0.2">
      <c r="B184" s="1239"/>
      <c r="C184" s="1229"/>
      <c r="D184" s="524" t="s">
        <v>515</v>
      </c>
      <c r="E184" s="525">
        <f>IF('Detailed Matrix'!$L$16="Yes",$E$12,0)</f>
        <v>0</v>
      </c>
      <c r="F184" s="526" t="s">
        <v>9</v>
      </c>
      <c r="G184" s="527">
        <f>(((2.5+2.5+1.8+1.8)*$E$181)*$E$182)/4.5</f>
        <v>171.99999999999997</v>
      </c>
      <c r="H184" s="509">
        <f t="shared" ref="H184:H188" si="23">E184*G184</f>
        <v>0</v>
      </c>
      <c r="I184" s="505"/>
      <c r="J184" s="506"/>
      <c r="K184" s="507"/>
      <c r="L184" s="507"/>
      <c r="M184" s="507"/>
      <c r="N184" s="507"/>
      <c r="O184" s="506"/>
      <c r="P184" s="505"/>
    </row>
    <row r="185" spans="2:17" s="420" customFormat="1" ht="11.25" x14ac:dyDescent="0.2">
      <c r="B185" s="1239"/>
      <c r="C185" s="1229"/>
      <c r="D185" s="524" t="s">
        <v>516</v>
      </c>
      <c r="E185" s="525">
        <f>IF('Detailed Matrix'!$L$17="Yes",$E$21,0)</f>
        <v>0</v>
      </c>
      <c r="F185" s="526" t="s">
        <v>9</v>
      </c>
      <c r="G185" s="527">
        <f t="shared" ref="G185:G188" si="24">G184</f>
        <v>171.99999999999997</v>
      </c>
      <c r="H185" s="509">
        <f t="shared" si="23"/>
        <v>0</v>
      </c>
      <c r="I185" s="505"/>
      <c r="J185" s="506"/>
      <c r="K185" s="507"/>
      <c r="L185" s="507"/>
      <c r="M185" s="507"/>
      <c r="N185" s="507"/>
      <c r="O185" s="506"/>
      <c r="P185" s="505"/>
    </row>
    <row r="186" spans="2:17" s="420" customFormat="1" ht="11.25" x14ac:dyDescent="0.2">
      <c r="B186" s="1239"/>
      <c r="C186" s="1229"/>
      <c r="D186" s="524" t="s">
        <v>517</v>
      </c>
      <c r="E186" s="525">
        <f>IF('Detailed Matrix'!$L$18="Yes",$E$30,0)</f>
        <v>0</v>
      </c>
      <c r="F186" s="526" t="s">
        <v>9</v>
      </c>
      <c r="G186" s="527">
        <f t="shared" si="24"/>
        <v>171.99999999999997</v>
      </c>
      <c r="H186" s="509">
        <f t="shared" si="23"/>
        <v>0</v>
      </c>
      <c r="I186" s="505"/>
      <c r="J186" s="506"/>
      <c r="K186" s="507"/>
      <c r="L186" s="507"/>
      <c r="M186" s="507"/>
      <c r="N186" s="507"/>
      <c r="O186" s="506"/>
      <c r="P186" s="505"/>
    </row>
    <row r="187" spans="2:17" s="420" customFormat="1" ht="11.25" x14ac:dyDescent="0.2">
      <c r="B187" s="1239"/>
      <c r="C187" s="1229"/>
      <c r="D187" s="524" t="s">
        <v>518</v>
      </c>
      <c r="E187" s="525">
        <f>IF('Detailed Matrix'!$L$19="Yes",$E$39,0)</f>
        <v>4531.8</v>
      </c>
      <c r="F187" s="526" t="s">
        <v>9</v>
      </c>
      <c r="G187" s="527">
        <f t="shared" si="24"/>
        <v>171.99999999999997</v>
      </c>
      <c r="H187" s="509">
        <f t="shared" si="23"/>
        <v>779469.59999999986</v>
      </c>
      <c r="I187" s="505"/>
      <c r="J187" s="506"/>
      <c r="K187" s="507"/>
      <c r="L187" s="507"/>
      <c r="M187" s="507"/>
      <c r="N187" s="507"/>
      <c r="O187" s="506"/>
      <c r="P187" s="505"/>
    </row>
    <row r="188" spans="2:17" s="420" customFormat="1" ht="11.25" x14ac:dyDescent="0.2">
      <c r="B188" s="1239"/>
      <c r="C188" s="1229"/>
      <c r="D188" s="524" t="s">
        <v>519</v>
      </c>
      <c r="E188" s="525">
        <f>IF('Detailed Matrix'!$L$20="Yes",$E$48,0)</f>
        <v>0</v>
      </c>
      <c r="F188" s="526" t="s">
        <v>9</v>
      </c>
      <c r="G188" s="527">
        <f t="shared" si="24"/>
        <v>171.99999999999997</v>
      </c>
      <c r="H188" s="509">
        <f t="shared" si="23"/>
        <v>0</v>
      </c>
      <c r="I188" s="512">
        <f>SUM(H179:H188)</f>
        <v>779469.59999999986</v>
      </c>
      <c r="J188" s="513">
        <f>I188*$J$5</f>
        <v>101331.04799999998</v>
      </c>
      <c r="K188" s="514">
        <f>SUM(I188:J188)*$K$5</f>
        <v>39636.029159999991</v>
      </c>
      <c r="L188" s="514">
        <f>SUM(I188:K188)*$L$5</f>
        <v>50624.017243799994</v>
      </c>
      <c r="M188" s="514">
        <f>SUM(I188:L188)*$M$5</f>
        <v>58263.641664227987</v>
      </c>
      <c r="N188" s="514">
        <f>SUM(I188:M188)*$N$5</f>
        <v>102932.43360680278</v>
      </c>
      <c r="O188" s="515">
        <f>SUM(I188:N188)</f>
        <v>1132256.7696748306</v>
      </c>
      <c r="P188" s="512">
        <f>ROUND(O188,-3)</f>
        <v>1132000</v>
      </c>
    </row>
    <row r="189" spans="2:17" s="420" customFormat="1" ht="12" thickBot="1" x14ac:dyDescent="0.25">
      <c r="B189" s="1234"/>
      <c r="C189" s="1230"/>
      <c r="D189" s="516"/>
      <c r="E189" s="517"/>
      <c r="F189" s="518"/>
      <c r="G189" s="519"/>
      <c r="H189" s="520"/>
      <c r="I189" s="521"/>
      <c r="J189" s="522"/>
      <c r="K189" s="523"/>
      <c r="L189" s="523"/>
      <c r="M189" s="523"/>
      <c r="N189" s="523"/>
      <c r="O189" s="522"/>
      <c r="P189" s="521"/>
    </row>
    <row r="190" spans="2:17" s="426" customFormat="1" ht="10.5" customHeight="1" x14ac:dyDescent="0.2">
      <c r="B190" s="1232" t="str">
        <f>'Detailed Matrix'!E31</f>
        <v>Optimised External Shading</v>
      </c>
      <c r="C190" s="802" t="str">
        <f>'Detailed Matrix'!F31</f>
        <v>Physical solar shading - Fixed</v>
      </c>
      <c r="D190" s="500"/>
      <c r="E190" s="501"/>
      <c r="F190" s="502"/>
      <c r="G190" s="503"/>
      <c r="H190" s="504"/>
      <c r="I190" s="505"/>
      <c r="J190" s="506"/>
      <c r="K190" s="507"/>
      <c r="L190" s="507"/>
      <c r="M190" s="507"/>
      <c r="N190" s="507"/>
      <c r="O190" s="506"/>
      <c r="P190" s="505"/>
    </row>
    <row r="191" spans="2:17" s="426" customFormat="1" ht="11.25" x14ac:dyDescent="0.2">
      <c r="B191" s="1232"/>
      <c r="C191" s="803"/>
      <c r="D191" s="699" t="s">
        <v>154</v>
      </c>
      <c r="E191" s="501"/>
      <c r="F191" s="502"/>
      <c r="G191" s="503"/>
      <c r="H191" s="504"/>
      <c r="I191" s="505"/>
      <c r="J191" s="506"/>
      <c r="K191" s="507"/>
      <c r="L191" s="507"/>
      <c r="M191" s="507"/>
      <c r="N191" s="507"/>
      <c r="O191" s="506"/>
      <c r="P191" s="505"/>
    </row>
    <row r="192" spans="2:17" s="426" customFormat="1" ht="33.75" x14ac:dyDescent="0.2">
      <c r="B192" s="1233"/>
      <c r="C192" s="803" t="s">
        <v>555</v>
      </c>
      <c r="D192" s="524" t="s">
        <v>515</v>
      </c>
      <c r="E192" s="525">
        <f>IF('Detailed Matrix'!$L$16="Yes",$E$12,0)</f>
        <v>0</v>
      </c>
      <c r="F192" s="526" t="s">
        <v>9</v>
      </c>
      <c r="G192" s="527">
        <v>25</v>
      </c>
      <c r="H192" s="509">
        <f t="shared" ref="H192:H196" si="25">E192*G192</f>
        <v>0</v>
      </c>
      <c r="I192" s="505"/>
      <c r="J192" s="506"/>
      <c r="K192" s="507"/>
      <c r="L192" s="507"/>
      <c r="M192" s="507"/>
      <c r="N192" s="507"/>
      <c r="O192" s="506"/>
      <c r="P192" s="505"/>
    </row>
    <row r="193" spans="2:17" s="426" customFormat="1" ht="11.25" x14ac:dyDescent="0.2">
      <c r="B193" s="1239"/>
      <c r="C193" s="803"/>
      <c r="D193" s="524" t="s">
        <v>516</v>
      </c>
      <c r="E193" s="525">
        <f>IF('Detailed Matrix'!$L$17="Yes",$E$21,0)</f>
        <v>0</v>
      </c>
      <c r="F193" s="526" t="s">
        <v>9</v>
      </c>
      <c r="G193" s="527">
        <f t="shared" ref="G193:G196" si="26">G192</f>
        <v>25</v>
      </c>
      <c r="H193" s="509">
        <f t="shared" si="25"/>
        <v>0</v>
      </c>
      <c r="I193" s="505"/>
      <c r="J193" s="506"/>
      <c r="K193" s="507"/>
      <c r="L193" s="507"/>
      <c r="M193" s="507"/>
      <c r="N193" s="507"/>
      <c r="O193" s="506"/>
      <c r="P193" s="505"/>
    </row>
    <row r="194" spans="2:17" s="426" customFormat="1" ht="11.25" x14ac:dyDescent="0.2">
      <c r="B194" s="1239"/>
      <c r="C194" s="803"/>
      <c r="D194" s="524" t="s">
        <v>517</v>
      </c>
      <c r="E194" s="525">
        <f>IF('Detailed Matrix'!$L$18="Yes",$E$30,0)</f>
        <v>0</v>
      </c>
      <c r="F194" s="526" t="s">
        <v>9</v>
      </c>
      <c r="G194" s="527">
        <f t="shared" si="26"/>
        <v>25</v>
      </c>
      <c r="H194" s="509">
        <f t="shared" si="25"/>
        <v>0</v>
      </c>
      <c r="I194" s="505"/>
      <c r="J194" s="506"/>
      <c r="K194" s="507"/>
      <c r="L194" s="507"/>
      <c r="M194" s="507"/>
      <c r="N194" s="507"/>
      <c r="O194" s="506"/>
      <c r="P194" s="505"/>
    </row>
    <row r="195" spans="2:17" s="426" customFormat="1" ht="11.25" x14ac:dyDescent="0.2">
      <c r="B195" s="1239"/>
      <c r="C195" s="803"/>
      <c r="D195" s="524" t="s">
        <v>518</v>
      </c>
      <c r="E195" s="525">
        <f>IF('Detailed Matrix'!$L$19="Yes",$E$39,0)</f>
        <v>4531.8</v>
      </c>
      <c r="F195" s="526" t="s">
        <v>9</v>
      </c>
      <c r="G195" s="527">
        <f t="shared" si="26"/>
        <v>25</v>
      </c>
      <c r="H195" s="509">
        <f t="shared" si="25"/>
        <v>113295</v>
      </c>
      <c r="I195" s="505"/>
      <c r="J195" s="506"/>
      <c r="K195" s="507"/>
      <c r="L195" s="507"/>
      <c r="M195" s="507"/>
      <c r="N195" s="507"/>
      <c r="O195" s="506"/>
      <c r="P195" s="505"/>
    </row>
    <row r="196" spans="2:17" s="426" customFormat="1" ht="11.25" x14ac:dyDescent="0.2">
      <c r="B196" s="1239"/>
      <c r="C196" s="803"/>
      <c r="D196" s="524" t="s">
        <v>519</v>
      </c>
      <c r="E196" s="525">
        <f>IF('Detailed Matrix'!$L$20="Yes",$E$48,0)</f>
        <v>0</v>
      </c>
      <c r="F196" s="526" t="s">
        <v>9</v>
      </c>
      <c r="G196" s="527">
        <f t="shared" si="26"/>
        <v>25</v>
      </c>
      <c r="H196" s="509">
        <f t="shared" si="25"/>
        <v>0</v>
      </c>
      <c r="I196" s="512">
        <f>SUM(H190:H196)</f>
        <v>113295</v>
      </c>
      <c r="J196" s="513">
        <f>I196*$J$5</f>
        <v>14728.35</v>
      </c>
      <c r="K196" s="514">
        <f>SUM(I196:J196)*$K$5</f>
        <v>5761.0507500000003</v>
      </c>
      <c r="L196" s="514">
        <f>SUM(I196:K196)*$L$5</f>
        <v>7358.1420412500001</v>
      </c>
      <c r="M196" s="514">
        <f>SUM(I196:L196)*$M$5</f>
        <v>8468.5525674749988</v>
      </c>
      <c r="N196" s="514">
        <f>SUM(I196:M196)*$N$5</f>
        <v>14961.1095358725</v>
      </c>
      <c r="O196" s="515">
        <f>SUM(I196:N196)</f>
        <v>164572.2048945975</v>
      </c>
      <c r="P196" s="512">
        <f>ROUND(O196,-3)</f>
        <v>165000</v>
      </c>
      <c r="Q196" s="426" t="s">
        <v>514</v>
      </c>
    </row>
    <row r="197" spans="2:17" s="426" customFormat="1" ht="11.25" x14ac:dyDescent="0.2">
      <c r="B197" s="1239"/>
      <c r="C197" s="803"/>
      <c r="D197" s="571"/>
      <c r="E197" s="572"/>
      <c r="F197" s="573"/>
      <c r="G197" s="574"/>
      <c r="H197" s="575"/>
      <c r="I197" s="576"/>
      <c r="J197" s="577"/>
      <c r="K197" s="578"/>
      <c r="L197" s="578"/>
      <c r="M197" s="578"/>
      <c r="N197" s="578"/>
      <c r="O197" s="579"/>
      <c r="P197" s="576"/>
    </row>
    <row r="198" spans="2:17" s="426" customFormat="1" ht="11.25" x14ac:dyDescent="0.2">
      <c r="B198" s="1239"/>
      <c r="C198" s="803"/>
      <c r="D198" s="699" t="s">
        <v>155</v>
      </c>
      <c r="E198" s="572"/>
      <c r="F198" s="573"/>
      <c r="G198" s="574"/>
      <c r="H198" s="575"/>
      <c r="I198" s="576"/>
      <c r="J198" s="577"/>
      <c r="K198" s="578"/>
      <c r="L198" s="578"/>
      <c r="M198" s="578"/>
      <c r="N198" s="578"/>
      <c r="O198" s="579"/>
      <c r="P198" s="576"/>
    </row>
    <row r="199" spans="2:17" s="426" customFormat="1" ht="11.25" x14ac:dyDescent="0.2">
      <c r="B199" s="1239"/>
      <c r="C199" s="803"/>
      <c r="D199" s="524" t="s">
        <v>515</v>
      </c>
      <c r="E199" s="525">
        <f>IF('Detailed Matrix'!$L$16="Yes",$E$12,0)</f>
        <v>0</v>
      </c>
      <c r="F199" s="526" t="s">
        <v>9</v>
      </c>
      <c r="G199" s="527">
        <v>150</v>
      </c>
      <c r="H199" s="509">
        <f t="shared" ref="H199:H203" si="27">E199*G199</f>
        <v>0</v>
      </c>
      <c r="I199" s="505"/>
      <c r="J199" s="506"/>
      <c r="K199" s="507"/>
      <c r="L199" s="507"/>
      <c r="M199" s="507"/>
      <c r="N199" s="507"/>
      <c r="O199" s="506"/>
      <c r="P199" s="505"/>
    </row>
    <row r="200" spans="2:17" s="426" customFormat="1" ht="11.25" x14ac:dyDescent="0.2">
      <c r="B200" s="1239"/>
      <c r="C200" s="803"/>
      <c r="D200" s="524" t="s">
        <v>516</v>
      </c>
      <c r="E200" s="525">
        <f>IF('Detailed Matrix'!$L$17="Yes",$E$21,0)</f>
        <v>0</v>
      </c>
      <c r="F200" s="526" t="s">
        <v>9</v>
      </c>
      <c r="G200" s="527">
        <f t="shared" ref="G200:G203" si="28">G199</f>
        <v>150</v>
      </c>
      <c r="H200" s="509">
        <f t="shared" si="27"/>
        <v>0</v>
      </c>
      <c r="I200" s="505"/>
      <c r="J200" s="506"/>
      <c r="K200" s="507"/>
      <c r="L200" s="507"/>
      <c r="M200" s="507"/>
      <c r="N200" s="507"/>
      <c r="O200" s="506"/>
      <c r="P200" s="505"/>
    </row>
    <row r="201" spans="2:17" s="426" customFormat="1" ht="11.25" x14ac:dyDescent="0.2">
      <c r="B201" s="1239"/>
      <c r="C201" s="803"/>
      <c r="D201" s="524" t="s">
        <v>517</v>
      </c>
      <c r="E201" s="525">
        <f>IF('Detailed Matrix'!$L$18="Yes",$E$30,0)</f>
        <v>0</v>
      </c>
      <c r="F201" s="526" t="s">
        <v>9</v>
      </c>
      <c r="G201" s="527">
        <f t="shared" si="28"/>
        <v>150</v>
      </c>
      <c r="H201" s="509">
        <f t="shared" si="27"/>
        <v>0</v>
      </c>
      <c r="I201" s="505"/>
      <c r="J201" s="506"/>
      <c r="K201" s="507"/>
      <c r="L201" s="507"/>
      <c r="M201" s="507"/>
      <c r="N201" s="507"/>
      <c r="O201" s="506"/>
      <c r="P201" s="505"/>
    </row>
    <row r="202" spans="2:17" s="426" customFormat="1" ht="11.25" x14ac:dyDescent="0.2">
      <c r="B202" s="1239"/>
      <c r="C202" s="803"/>
      <c r="D202" s="524" t="s">
        <v>518</v>
      </c>
      <c r="E202" s="525">
        <f>IF('Detailed Matrix'!$L$19="Yes",$E$39,0)</f>
        <v>4531.8</v>
      </c>
      <c r="F202" s="526" t="s">
        <v>9</v>
      </c>
      <c r="G202" s="527">
        <f t="shared" si="28"/>
        <v>150</v>
      </c>
      <c r="H202" s="509">
        <f t="shared" si="27"/>
        <v>679770</v>
      </c>
      <c r="I202" s="505"/>
      <c r="J202" s="506"/>
      <c r="K202" s="507"/>
      <c r="L202" s="507"/>
      <c r="M202" s="507"/>
      <c r="N202" s="507"/>
      <c r="O202" s="506"/>
      <c r="P202" s="505"/>
    </row>
    <row r="203" spans="2:17" s="426" customFormat="1" ht="11.25" x14ac:dyDescent="0.2">
      <c r="B203" s="1239"/>
      <c r="C203" s="803"/>
      <c r="D203" s="524" t="s">
        <v>519</v>
      </c>
      <c r="E203" s="525">
        <f>IF('Detailed Matrix'!$L$20="Yes",$E$48,0)</f>
        <v>0</v>
      </c>
      <c r="F203" s="526" t="s">
        <v>9</v>
      </c>
      <c r="G203" s="527">
        <f t="shared" si="28"/>
        <v>150</v>
      </c>
      <c r="H203" s="509">
        <f t="shared" si="27"/>
        <v>0</v>
      </c>
      <c r="I203" s="512">
        <f>SUM(H197:H203)</f>
        <v>679770</v>
      </c>
      <c r="J203" s="513">
        <f>I203*$J$5</f>
        <v>88370.1</v>
      </c>
      <c r="K203" s="514">
        <f>SUM(I203:J203)*$K$5</f>
        <v>34566.304499999998</v>
      </c>
      <c r="L203" s="514">
        <f>SUM(I203:K203)*$L$5</f>
        <v>44148.852247499999</v>
      </c>
      <c r="M203" s="514">
        <f>SUM(I203:L203)*$M$5</f>
        <v>50811.315404849993</v>
      </c>
      <c r="N203" s="514">
        <f>SUM(I203:M203)*$N$5</f>
        <v>89766.657215234998</v>
      </c>
      <c r="O203" s="515">
        <f>SUM(I203:N203)</f>
        <v>987433.22936758492</v>
      </c>
      <c r="P203" s="512">
        <f>ROUND(O203,-3)</f>
        <v>987000</v>
      </c>
    </row>
    <row r="204" spans="2:17" s="426" customFormat="1" ht="12" thickBot="1" x14ac:dyDescent="0.25">
      <c r="B204" s="1234"/>
      <c r="C204" s="804"/>
      <c r="D204" s="516"/>
      <c r="E204" s="517"/>
      <c r="F204" s="518"/>
      <c r="G204" s="519"/>
      <c r="H204" s="520"/>
      <c r="I204" s="521"/>
      <c r="J204" s="522"/>
      <c r="K204" s="523"/>
      <c r="L204" s="523"/>
      <c r="M204" s="523"/>
      <c r="N204" s="523"/>
      <c r="O204" s="522"/>
      <c r="P204" s="521"/>
    </row>
    <row r="205" spans="2:17" s="426" customFormat="1" ht="10.5" customHeight="1" x14ac:dyDescent="0.2">
      <c r="B205" s="1231" t="str">
        <f>'Detailed Matrix'!E32</f>
        <v>Optimised External Shading</v>
      </c>
      <c r="C205" s="802" t="str">
        <f>'Detailed Matrix'!F32</f>
        <v>Physical solar shading - Moveable / Operable</v>
      </c>
      <c r="D205" s="492"/>
      <c r="E205" s="493"/>
      <c r="F205" s="494"/>
      <c r="G205" s="495"/>
      <c r="H205" s="496"/>
      <c r="I205" s="497"/>
      <c r="J205" s="498"/>
      <c r="K205" s="499"/>
      <c r="L205" s="499"/>
      <c r="M205" s="499"/>
      <c r="N205" s="499"/>
      <c r="O205" s="498"/>
      <c r="P205" s="497"/>
    </row>
    <row r="206" spans="2:17" s="426" customFormat="1" ht="11.25" x14ac:dyDescent="0.2">
      <c r="B206" s="1232"/>
      <c r="C206" s="803"/>
      <c r="D206" s="699" t="s">
        <v>154</v>
      </c>
      <c r="E206" s="501"/>
      <c r="F206" s="502"/>
      <c r="G206" s="503"/>
      <c r="H206" s="504"/>
      <c r="I206" s="505"/>
      <c r="J206" s="506"/>
      <c r="K206" s="507"/>
      <c r="L206" s="507"/>
      <c r="M206" s="507"/>
      <c r="N206" s="507"/>
      <c r="O206" s="506"/>
      <c r="P206" s="505"/>
    </row>
    <row r="207" spans="2:17" s="426" customFormat="1" ht="33.75" x14ac:dyDescent="0.2">
      <c r="B207" s="1233"/>
      <c r="C207" s="803" t="s">
        <v>555</v>
      </c>
      <c r="D207" s="524" t="s">
        <v>515</v>
      </c>
      <c r="E207" s="525">
        <f>IF('Detailed Matrix'!$L$16="Yes",$E$12,0)</f>
        <v>0</v>
      </c>
      <c r="F207" s="526" t="s">
        <v>9</v>
      </c>
      <c r="G207" s="527">
        <v>50</v>
      </c>
      <c r="H207" s="509">
        <f t="shared" ref="H207:H211" si="29">E207*G207</f>
        <v>0</v>
      </c>
      <c r="I207" s="505"/>
      <c r="J207" s="506"/>
      <c r="K207" s="507"/>
      <c r="L207" s="507"/>
      <c r="M207" s="507"/>
      <c r="N207" s="507"/>
      <c r="O207" s="506"/>
      <c r="P207" s="505"/>
    </row>
    <row r="208" spans="2:17" s="426" customFormat="1" ht="11.25" x14ac:dyDescent="0.2">
      <c r="B208" s="1239"/>
      <c r="C208" s="803"/>
      <c r="D208" s="524" t="s">
        <v>516</v>
      </c>
      <c r="E208" s="525">
        <f>IF('Detailed Matrix'!$L$17="Yes",$E$21,0)</f>
        <v>0</v>
      </c>
      <c r="F208" s="526" t="s">
        <v>9</v>
      </c>
      <c r="G208" s="527">
        <f t="shared" ref="G208:G211" si="30">G207</f>
        <v>50</v>
      </c>
      <c r="H208" s="509">
        <f t="shared" si="29"/>
        <v>0</v>
      </c>
      <c r="I208" s="505"/>
      <c r="J208" s="506"/>
      <c r="K208" s="507"/>
      <c r="L208" s="507"/>
      <c r="M208" s="507"/>
      <c r="N208" s="507"/>
      <c r="O208" s="506"/>
      <c r="P208" s="505"/>
    </row>
    <row r="209" spans="2:17" s="426" customFormat="1" ht="11.25" x14ac:dyDescent="0.2">
      <c r="B209" s="1239"/>
      <c r="C209" s="803"/>
      <c r="D209" s="524" t="s">
        <v>517</v>
      </c>
      <c r="E209" s="525">
        <f>IF('Detailed Matrix'!$L$18="Yes",$E$30,0)</f>
        <v>0</v>
      </c>
      <c r="F209" s="526" t="s">
        <v>9</v>
      </c>
      <c r="G209" s="527">
        <f t="shared" si="30"/>
        <v>50</v>
      </c>
      <c r="H209" s="509">
        <f t="shared" si="29"/>
        <v>0</v>
      </c>
      <c r="I209" s="505"/>
      <c r="J209" s="506"/>
      <c r="K209" s="507"/>
      <c r="L209" s="507"/>
      <c r="M209" s="507"/>
      <c r="N209" s="507"/>
      <c r="O209" s="506"/>
      <c r="P209" s="505"/>
    </row>
    <row r="210" spans="2:17" s="426" customFormat="1" ht="11.25" x14ac:dyDescent="0.2">
      <c r="B210" s="1239"/>
      <c r="C210" s="803"/>
      <c r="D210" s="524" t="s">
        <v>518</v>
      </c>
      <c r="E210" s="525">
        <f>IF('Detailed Matrix'!$L$19="Yes",$E$39,0)</f>
        <v>4531.8</v>
      </c>
      <c r="F210" s="526" t="s">
        <v>9</v>
      </c>
      <c r="G210" s="527">
        <f t="shared" si="30"/>
        <v>50</v>
      </c>
      <c r="H210" s="509">
        <f t="shared" si="29"/>
        <v>226590</v>
      </c>
      <c r="I210" s="505"/>
      <c r="J210" s="506"/>
      <c r="K210" s="507"/>
      <c r="L210" s="507"/>
      <c r="M210" s="507"/>
      <c r="N210" s="507"/>
      <c r="O210" s="506"/>
      <c r="P210" s="505"/>
    </row>
    <row r="211" spans="2:17" s="426" customFormat="1" ht="11.25" x14ac:dyDescent="0.2">
      <c r="B211" s="1239"/>
      <c r="C211" s="803"/>
      <c r="D211" s="524" t="s">
        <v>519</v>
      </c>
      <c r="E211" s="525">
        <f>IF('Detailed Matrix'!$L$20="Yes",$E$48,0)</f>
        <v>0</v>
      </c>
      <c r="F211" s="526" t="s">
        <v>9</v>
      </c>
      <c r="G211" s="527">
        <f t="shared" si="30"/>
        <v>50</v>
      </c>
      <c r="H211" s="509">
        <f t="shared" si="29"/>
        <v>0</v>
      </c>
      <c r="I211" s="512">
        <f>SUM(H205:H211)</f>
        <v>226590</v>
      </c>
      <c r="J211" s="513">
        <f>I211*$J$5</f>
        <v>29456.7</v>
      </c>
      <c r="K211" s="514">
        <f>SUM(I211:J211)*$K$5</f>
        <v>11522.101500000001</v>
      </c>
      <c r="L211" s="514">
        <f>SUM(I211:K211)*$L$5</f>
        <v>14716.2840825</v>
      </c>
      <c r="M211" s="514">
        <f>SUM(I211:L211)*$M$5</f>
        <v>16937.105134949998</v>
      </c>
      <c r="N211" s="514">
        <f>SUM(I211:M211)*$N$5</f>
        <v>29922.219071744999</v>
      </c>
      <c r="O211" s="515">
        <f>SUM(I211:N211)</f>
        <v>329144.40978919499</v>
      </c>
      <c r="P211" s="512">
        <f>ROUND(O211,-3)</f>
        <v>329000</v>
      </c>
      <c r="Q211" s="426" t="s">
        <v>514</v>
      </c>
    </row>
    <row r="212" spans="2:17" s="426" customFormat="1" ht="11.25" x14ac:dyDescent="0.2">
      <c r="B212" s="1239"/>
      <c r="C212" s="803"/>
      <c r="D212" s="571"/>
      <c r="E212" s="572"/>
      <c r="F212" s="573"/>
      <c r="G212" s="574"/>
      <c r="H212" s="575"/>
      <c r="I212" s="576"/>
      <c r="J212" s="577"/>
      <c r="K212" s="578"/>
      <c r="L212" s="578"/>
      <c r="M212" s="578"/>
      <c r="N212" s="578"/>
      <c r="O212" s="579"/>
      <c r="P212" s="576"/>
    </row>
    <row r="213" spans="2:17" s="426" customFormat="1" ht="11.25" x14ac:dyDescent="0.2">
      <c r="B213" s="1239"/>
      <c r="C213" s="803"/>
      <c r="D213" s="699" t="s">
        <v>155</v>
      </c>
      <c r="E213" s="572"/>
      <c r="F213" s="573"/>
      <c r="G213" s="574"/>
      <c r="H213" s="575"/>
      <c r="I213" s="576"/>
      <c r="J213" s="577"/>
      <c r="K213" s="578"/>
      <c r="L213" s="578"/>
      <c r="M213" s="578"/>
      <c r="N213" s="578"/>
      <c r="O213" s="579"/>
      <c r="P213" s="576"/>
    </row>
    <row r="214" spans="2:17" s="426" customFormat="1" ht="11.25" x14ac:dyDescent="0.2">
      <c r="B214" s="1239"/>
      <c r="C214" s="803"/>
      <c r="D214" s="524" t="s">
        <v>515</v>
      </c>
      <c r="E214" s="525">
        <f>IF('Detailed Matrix'!$L$16="Yes",$E$12,0)</f>
        <v>0</v>
      </c>
      <c r="F214" s="526" t="s">
        <v>9</v>
      </c>
      <c r="G214" s="527">
        <v>150</v>
      </c>
      <c r="H214" s="509">
        <f t="shared" ref="H214:H218" si="31">E214*G214</f>
        <v>0</v>
      </c>
      <c r="I214" s="505"/>
      <c r="J214" s="506"/>
      <c r="K214" s="507"/>
      <c r="L214" s="507"/>
      <c r="M214" s="507"/>
      <c r="N214" s="507"/>
      <c r="O214" s="506"/>
      <c r="P214" s="505"/>
    </row>
    <row r="215" spans="2:17" s="426" customFormat="1" ht="11.25" x14ac:dyDescent="0.2">
      <c r="B215" s="1239"/>
      <c r="C215" s="803"/>
      <c r="D215" s="524" t="s">
        <v>516</v>
      </c>
      <c r="E215" s="525">
        <f>IF('Detailed Matrix'!$L$17="Yes",$E$21,0)</f>
        <v>0</v>
      </c>
      <c r="F215" s="526" t="s">
        <v>9</v>
      </c>
      <c r="G215" s="527">
        <f t="shared" ref="G215:G218" si="32">G214</f>
        <v>150</v>
      </c>
      <c r="H215" s="509">
        <f t="shared" si="31"/>
        <v>0</v>
      </c>
      <c r="I215" s="505"/>
      <c r="J215" s="506"/>
      <c r="K215" s="507"/>
      <c r="L215" s="507"/>
      <c r="M215" s="507"/>
      <c r="N215" s="507"/>
      <c r="O215" s="506"/>
      <c r="P215" s="505"/>
    </row>
    <row r="216" spans="2:17" s="426" customFormat="1" ht="11.25" x14ac:dyDescent="0.2">
      <c r="B216" s="1239"/>
      <c r="C216" s="803"/>
      <c r="D216" s="524" t="s">
        <v>517</v>
      </c>
      <c r="E216" s="525">
        <f>IF('Detailed Matrix'!$L$18="Yes",$E$30,0)</f>
        <v>0</v>
      </c>
      <c r="F216" s="526" t="s">
        <v>9</v>
      </c>
      <c r="G216" s="527">
        <f t="shared" si="32"/>
        <v>150</v>
      </c>
      <c r="H216" s="509">
        <f t="shared" si="31"/>
        <v>0</v>
      </c>
      <c r="I216" s="505"/>
      <c r="J216" s="506"/>
      <c r="K216" s="507"/>
      <c r="L216" s="507"/>
      <c r="M216" s="507"/>
      <c r="N216" s="507"/>
      <c r="O216" s="506"/>
      <c r="P216" s="505"/>
    </row>
    <row r="217" spans="2:17" s="426" customFormat="1" ht="11.25" x14ac:dyDescent="0.2">
      <c r="B217" s="1239"/>
      <c r="C217" s="803"/>
      <c r="D217" s="524" t="s">
        <v>518</v>
      </c>
      <c r="E217" s="525">
        <f>IF('Detailed Matrix'!$L$19="Yes",$E$39,0)</f>
        <v>4531.8</v>
      </c>
      <c r="F217" s="526" t="s">
        <v>9</v>
      </c>
      <c r="G217" s="527">
        <f t="shared" si="32"/>
        <v>150</v>
      </c>
      <c r="H217" s="509">
        <f t="shared" si="31"/>
        <v>679770</v>
      </c>
      <c r="I217" s="505"/>
      <c r="J217" s="506"/>
      <c r="K217" s="507"/>
      <c r="L217" s="507"/>
      <c r="M217" s="507"/>
      <c r="N217" s="507"/>
      <c r="O217" s="506"/>
      <c r="P217" s="505"/>
    </row>
    <row r="218" spans="2:17" s="426" customFormat="1" ht="11.25" x14ac:dyDescent="0.2">
      <c r="B218" s="1239"/>
      <c r="C218" s="803"/>
      <c r="D218" s="524" t="s">
        <v>519</v>
      </c>
      <c r="E218" s="525">
        <f>IF('Detailed Matrix'!$L$20="Yes",$E$48,0)</f>
        <v>0</v>
      </c>
      <c r="F218" s="526" t="s">
        <v>9</v>
      </c>
      <c r="G218" s="527">
        <f t="shared" si="32"/>
        <v>150</v>
      </c>
      <c r="H218" s="509">
        <f t="shared" si="31"/>
        <v>0</v>
      </c>
      <c r="I218" s="512">
        <f>SUM(H212:H218)</f>
        <v>679770</v>
      </c>
      <c r="J218" s="513">
        <f>I218*$J$5</f>
        <v>88370.1</v>
      </c>
      <c r="K218" s="514">
        <f>SUM(I218:J218)*$K$5</f>
        <v>34566.304499999998</v>
      </c>
      <c r="L218" s="514">
        <f>SUM(I218:K218)*$L$5</f>
        <v>44148.852247499999</v>
      </c>
      <c r="M218" s="514">
        <f>SUM(I218:L218)*$M$5</f>
        <v>50811.315404849993</v>
      </c>
      <c r="N218" s="514">
        <f>SUM(I218:M218)*$N$5</f>
        <v>89766.657215234998</v>
      </c>
      <c r="O218" s="515">
        <f>SUM(I218:N218)</f>
        <v>987433.22936758492</v>
      </c>
      <c r="P218" s="512">
        <f>ROUND(O218,-3)</f>
        <v>987000</v>
      </c>
    </row>
    <row r="219" spans="2:17" s="426" customFormat="1" ht="12" thickBot="1" x14ac:dyDescent="0.25">
      <c r="B219" s="1234"/>
      <c r="C219" s="804"/>
      <c r="D219" s="516"/>
      <c r="E219" s="517"/>
      <c r="F219" s="518"/>
      <c r="G219" s="519"/>
      <c r="H219" s="520"/>
      <c r="I219" s="521"/>
      <c r="J219" s="522"/>
      <c r="K219" s="523"/>
      <c r="L219" s="523"/>
      <c r="M219" s="523"/>
      <c r="N219" s="523"/>
      <c r="O219" s="522"/>
      <c r="P219" s="521"/>
    </row>
    <row r="220" spans="2:17" s="426" customFormat="1" ht="11.25" x14ac:dyDescent="0.2">
      <c r="B220" s="1240" t="str">
        <f>'Detailed Matrix'!E34</f>
        <v>Provision of primary energy</v>
      </c>
      <c r="C220" s="1228" t="str">
        <f>'Detailed Matrix'!F34</f>
        <v>Stage 01: Provision in line with TRD</v>
      </c>
      <c r="D220" s="990" t="s">
        <v>556</v>
      </c>
      <c r="E220" s="790">
        <v>1</v>
      </c>
      <c r="F220" s="791"/>
      <c r="G220" s="584"/>
      <c r="H220" s="792">
        <f t="shared" ref="H220:H229" si="33">E220*G220</f>
        <v>0</v>
      </c>
      <c r="I220" s="793"/>
      <c r="J220" s="794"/>
      <c r="K220" s="795"/>
      <c r="L220" s="795"/>
      <c r="M220" s="795"/>
      <c r="N220" s="795"/>
      <c r="O220" s="794"/>
      <c r="P220" s="793"/>
    </row>
    <row r="221" spans="2:17" s="426" customFormat="1" ht="14.45" customHeight="1" x14ac:dyDescent="0.2">
      <c r="B221" s="1241"/>
      <c r="C221" s="1229"/>
      <c r="D221" s="986"/>
      <c r="E221" s="790">
        <v>1</v>
      </c>
      <c r="F221" s="791"/>
      <c r="G221" s="584"/>
      <c r="H221" s="792">
        <f t="shared" si="33"/>
        <v>0</v>
      </c>
      <c r="I221" s="793"/>
      <c r="J221" s="794"/>
      <c r="K221" s="795"/>
      <c r="L221" s="795"/>
      <c r="M221" s="795"/>
      <c r="N221" s="795"/>
      <c r="O221" s="794"/>
      <c r="P221" s="793"/>
    </row>
    <row r="222" spans="2:17" s="426" customFormat="1" ht="14.45" customHeight="1" x14ac:dyDescent="0.2">
      <c r="B222" s="1241"/>
      <c r="C222" s="1229"/>
      <c r="D222" s="986"/>
      <c r="E222" s="790">
        <v>1</v>
      </c>
      <c r="F222" s="791"/>
      <c r="G222" s="584"/>
      <c r="H222" s="792">
        <f t="shared" si="33"/>
        <v>0</v>
      </c>
      <c r="I222" s="793"/>
      <c r="J222" s="794"/>
      <c r="K222" s="795"/>
      <c r="L222" s="795"/>
      <c r="M222" s="795"/>
      <c r="N222" s="795"/>
      <c r="O222" s="794"/>
      <c r="P222" s="793"/>
    </row>
    <row r="223" spans="2:17" s="426" customFormat="1" ht="14.45" customHeight="1" x14ac:dyDescent="0.2">
      <c r="B223" s="1241"/>
      <c r="C223" s="1229"/>
      <c r="D223" s="986"/>
      <c r="E223" s="790">
        <v>1</v>
      </c>
      <c r="F223" s="791"/>
      <c r="G223" s="584"/>
      <c r="H223" s="792">
        <f t="shared" si="33"/>
        <v>0</v>
      </c>
      <c r="I223" s="793"/>
      <c r="J223" s="794"/>
      <c r="K223" s="795"/>
      <c r="L223" s="795"/>
      <c r="M223" s="795"/>
      <c r="N223" s="795"/>
      <c r="O223" s="794"/>
      <c r="P223" s="793"/>
    </row>
    <row r="224" spans="2:17" s="426" customFormat="1" ht="14.45" customHeight="1" x14ac:dyDescent="0.2">
      <c r="B224" s="1241"/>
      <c r="C224" s="1229"/>
      <c r="D224" s="986"/>
      <c r="E224" s="790">
        <v>1</v>
      </c>
      <c r="F224" s="791"/>
      <c r="G224" s="584"/>
      <c r="H224" s="792">
        <f t="shared" si="33"/>
        <v>0</v>
      </c>
      <c r="I224" s="978">
        <f>SUM(H220:H224)</f>
        <v>0</v>
      </c>
      <c r="J224" s="794">
        <f>I224*$J$5</f>
        <v>0</v>
      </c>
      <c r="K224" s="795">
        <f>SUM(I224:J224)*$K$5</f>
        <v>0</v>
      </c>
      <c r="L224" s="795">
        <f>SUM(I224:K224)*$L$5</f>
        <v>0</v>
      </c>
      <c r="M224" s="795">
        <f>SUM(I224:L224)*$M$5</f>
        <v>0</v>
      </c>
      <c r="N224" s="795">
        <f>SUM(I224:M224)*$N$5</f>
        <v>0</v>
      </c>
      <c r="O224" s="794">
        <f>SUM(I224:N224)</f>
        <v>0</v>
      </c>
      <c r="P224" s="793">
        <f>ROUND(O224,-3)</f>
        <v>0</v>
      </c>
    </row>
    <row r="225" spans="2:16" s="426" customFormat="1" ht="14.45" customHeight="1" x14ac:dyDescent="0.2">
      <c r="B225" s="1241"/>
      <c r="C225" s="1229"/>
      <c r="D225" s="986"/>
      <c r="E225" s="790"/>
      <c r="F225" s="791"/>
      <c r="G225" s="584"/>
      <c r="H225" s="792"/>
      <c r="I225" s="793"/>
      <c r="J225" s="794"/>
      <c r="K225" s="795"/>
      <c r="L225" s="795"/>
      <c r="M225" s="795"/>
      <c r="N225" s="795"/>
      <c r="O225" s="794"/>
      <c r="P225" s="793"/>
    </row>
    <row r="226" spans="2:16" s="426" customFormat="1" ht="14.45" customHeight="1" x14ac:dyDescent="0.2">
      <c r="B226" s="1241"/>
      <c r="C226" s="1229"/>
      <c r="D226" s="986" t="s">
        <v>557</v>
      </c>
      <c r="E226" s="790">
        <v>1</v>
      </c>
      <c r="F226" s="791"/>
      <c r="G226" s="584"/>
      <c r="H226" s="792">
        <f t="shared" si="33"/>
        <v>0</v>
      </c>
      <c r="I226" s="793"/>
      <c r="J226" s="794"/>
      <c r="K226" s="795"/>
      <c r="L226" s="795"/>
      <c r="M226" s="795"/>
      <c r="N226" s="795"/>
      <c r="O226" s="794"/>
      <c r="P226" s="793"/>
    </row>
    <row r="227" spans="2:16" s="426" customFormat="1" ht="14.45" customHeight="1" x14ac:dyDescent="0.2">
      <c r="B227" s="1241"/>
      <c r="C227" s="1229"/>
      <c r="D227" s="986"/>
      <c r="E227" s="790">
        <v>1</v>
      </c>
      <c r="F227" s="791"/>
      <c r="G227" s="584"/>
      <c r="H227" s="792">
        <f t="shared" si="33"/>
        <v>0</v>
      </c>
      <c r="I227" s="793"/>
      <c r="J227" s="794"/>
      <c r="K227" s="795"/>
      <c r="L227" s="795"/>
      <c r="M227" s="795"/>
      <c r="N227" s="795"/>
      <c r="O227" s="794"/>
      <c r="P227" s="793"/>
    </row>
    <row r="228" spans="2:16" s="426" customFormat="1" ht="14.45" customHeight="1" x14ac:dyDescent="0.2">
      <c r="B228" s="1241"/>
      <c r="C228" s="1229"/>
      <c r="D228" s="986"/>
      <c r="E228" s="790">
        <v>1</v>
      </c>
      <c r="F228" s="791"/>
      <c r="G228" s="584"/>
      <c r="H228" s="792">
        <f t="shared" si="33"/>
        <v>0</v>
      </c>
      <c r="I228" s="793"/>
      <c r="J228" s="794"/>
      <c r="K228" s="795"/>
      <c r="L228" s="795"/>
      <c r="M228" s="795"/>
      <c r="N228" s="795"/>
      <c r="O228" s="794"/>
      <c r="P228" s="793"/>
    </row>
    <row r="229" spans="2:16" s="426" customFormat="1" ht="14.45" customHeight="1" x14ac:dyDescent="0.2">
      <c r="B229" s="1241"/>
      <c r="C229" s="1229"/>
      <c r="D229" s="986"/>
      <c r="E229" s="790">
        <v>1</v>
      </c>
      <c r="F229" s="791"/>
      <c r="G229" s="584"/>
      <c r="H229" s="792">
        <f t="shared" si="33"/>
        <v>0</v>
      </c>
      <c r="I229" s="979">
        <f>SUM(H226:H229)</f>
        <v>0</v>
      </c>
      <c r="J229" s="794">
        <f>I229*$J$5</f>
        <v>0</v>
      </c>
      <c r="K229" s="795">
        <f>SUM(I229:J229)*$K$5</f>
        <v>0</v>
      </c>
      <c r="L229" s="795">
        <f>SUM(I229:K229)*$L$5</f>
        <v>0</v>
      </c>
      <c r="M229" s="795">
        <f>SUM(I229:L229)*$M$5</f>
        <v>0</v>
      </c>
      <c r="N229" s="795">
        <f>SUM(I229:M229)*$N$5</f>
        <v>0</v>
      </c>
      <c r="O229" s="794">
        <f>SUM(I229:N229)</f>
        <v>0</v>
      </c>
      <c r="P229" s="793">
        <f>ROUND(O229,-3)</f>
        <v>0</v>
      </c>
    </row>
    <row r="230" spans="2:16" s="426" customFormat="1" ht="15" customHeight="1" thickBot="1" x14ac:dyDescent="0.25">
      <c r="B230" s="1242"/>
      <c r="C230" s="1230"/>
      <c r="D230" s="987"/>
      <c r="E230" s="988"/>
      <c r="F230" s="796"/>
      <c r="G230" s="797"/>
      <c r="H230" s="798"/>
      <c r="I230" s="799"/>
      <c r="J230" s="800"/>
      <c r="K230" s="801"/>
      <c r="L230" s="801"/>
      <c r="M230" s="801"/>
      <c r="N230" s="801"/>
      <c r="O230" s="800"/>
      <c r="P230" s="799"/>
    </row>
    <row r="231" spans="2:16" s="426" customFormat="1" ht="31.5" customHeight="1" x14ac:dyDescent="0.2">
      <c r="B231" s="1240" t="str">
        <f>'Detailed Matrix'!E35</f>
        <v>Provision of primary energy</v>
      </c>
      <c r="C231" s="1228" t="str">
        <f>'Detailed Matrix'!F35</f>
        <v>Stage 02a: Minimise energy consumption through passive design measures, energy efficient systems and controls</v>
      </c>
      <c r="D231" s="989" t="s">
        <v>556</v>
      </c>
      <c r="E231" s="790"/>
      <c r="F231" s="791"/>
      <c r="G231" s="584"/>
      <c r="H231" s="792"/>
      <c r="I231" s="793"/>
      <c r="J231" s="794"/>
      <c r="K231" s="795"/>
      <c r="L231" s="795"/>
      <c r="M231" s="795"/>
      <c r="N231" s="795"/>
      <c r="O231" s="794"/>
      <c r="P231" s="793"/>
    </row>
    <row r="232" spans="2:16" s="426" customFormat="1" ht="11.25" x14ac:dyDescent="0.2">
      <c r="B232" s="1241"/>
      <c r="C232" s="1229"/>
      <c r="D232" s="986"/>
      <c r="E232" s="790">
        <v>1</v>
      </c>
      <c r="F232" s="791"/>
      <c r="G232" s="584"/>
      <c r="H232" s="792">
        <f t="shared" ref="H232:H235" si="34">E232*G232</f>
        <v>0</v>
      </c>
      <c r="I232" s="793"/>
      <c r="J232" s="794"/>
      <c r="K232" s="795"/>
      <c r="L232" s="795"/>
      <c r="M232" s="795"/>
      <c r="N232" s="795"/>
      <c r="O232" s="794"/>
      <c r="P232" s="793"/>
    </row>
    <row r="233" spans="2:16" s="426" customFormat="1" ht="11.25" x14ac:dyDescent="0.2">
      <c r="B233" s="1241"/>
      <c r="C233" s="1229"/>
      <c r="D233" s="986"/>
      <c r="E233" s="790">
        <v>1</v>
      </c>
      <c r="F233" s="791"/>
      <c r="G233" s="584"/>
      <c r="H233" s="792">
        <f t="shared" si="34"/>
        <v>0</v>
      </c>
      <c r="I233" s="793"/>
      <c r="J233" s="794"/>
      <c r="K233" s="795"/>
      <c r="L233" s="795"/>
      <c r="M233" s="795"/>
      <c r="N233" s="795"/>
      <c r="O233" s="794"/>
      <c r="P233" s="793"/>
    </row>
    <row r="234" spans="2:16" s="426" customFormat="1" ht="11.25" x14ac:dyDescent="0.2">
      <c r="B234" s="1241"/>
      <c r="C234" s="1229"/>
      <c r="D234" s="986" t="s">
        <v>558</v>
      </c>
      <c r="E234" s="790">
        <v>-1</v>
      </c>
      <c r="F234" s="791"/>
      <c r="G234" s="584">
        <f>I224</f>
        <v>0</v>
      </c>
      <c r="H234" s="792">
        <f t="shared" si="34"/>
        <v>0</v>
      </c>
      <c r="I234" s="793"/>
      <c r="J234" s="794"/>
      <c r="K234" s="795"/>
      <c r="L234" s="795"/>
      <c r="M234" s="795"/>
      <c r="N234" s="795"/>
      <c r="O234" s="794"/>
      <c r="P234" s="793"/>
    </row>
    <row r="235" spans="2:16" s="426" customFormat="1" ht="11.25" x14ac:dyDescent="0.2">
      <c r="B235" s="1241"/>
      <c r="C235" s="1229"/>
      <c r="D235" s="986"/>
      <c r="E235" s="790"/>
      <c r="F235" s="791"/>
      <c r="G235" s="584"/>
      <c r="H235" s="792">
        <f t="shared" si="34"/>
        <v>0</v>
      </c>
      <c r="I235" s="978">
        <f>SUM(H231:H235)</f>
        <v>0</v>
      </c>
      <c r="J235" s="794">
        <f>I235*$J$5</f>
        <v>0</v>
      </c>
      <c r="K235" s="795">
        <f>SUM(I235:J235)*$K$5</f>
        <v>0</v>
      </c>
      <c r="L235" s="795">
        <f>SUM(I235:K235)*$L$5</f>
        <v>0</v>
      </c>
      <c r="M235" s="795">
        <f>SUM(I235:L235)*$M$5</f>
        <v>0</v>
      </c>
      <c r="N235" s="795">
        <f>SUM(I235:M235)*$N$5</f>
        <v>0</v>
      </c>
      <c r="O235" s="794">
        <f>SUM(I235:N235)</f>
        <v>0</v>
      </c>
      <c r="P235" s="793">
        <f>ROUND(O235,-3)</f>
        <v>0</v>
      </c>
    </row>
    <row r="236" spans="2:16" s="426" customFormat="1" ht="11.25" x14ac:dyDescent="0.2">
      <c r="B236" s="1241"/>
      <c r="C236" s="1229"/>
      <c r="D236" s="986" t="s">
        <v>557</v>
      </c>
      <c r="E236" s="790"/>
      <c r="F236" s="791"/>
      <c r="G236" s="584"/>
      <c r="H236" s="792"/>
      <c r="I236" s="793"/>
      <c r="J236" s="794"/>
      <c r="K236" s="795"/>
      <c r="L236" s="795"/>
      <c r="M236" s="795"/>
      <c r="N236" s="795"/>
      <c r="O236" s="794"/>
      <c r="P236" s="793"/>
    </row>
    <row r="237" spans="2:16" s="426" customFormat="1" ht="11.25" x14ac:dyDescent="0.2">
      <c r="B237" s="1241"/>
      <c r="C237" s="1229"/>
      <c r="D237" s="986"/>
      <c r="E237" s="790">
        <v>1</v>
      </c>
      <c r="F237" s="791"/>
      <c r="G237" s="584"/>
      <c r="H237" s="792">
        <f>E237*G237</f>
        <v>0</v>
      </c>
      <c r="I237" s="793"/>
      <c r="J237" s="794"/>
      <c r="K237" s="795"/>
      <c r="L237" s="795"/>
      <c r="M237" s="795"/>
      <c r="N237" s="795"/>
      <c r="O237" s="794"/>
      <c r="P237" s="793"/>
    </row>
    <row r="238" spans="2:16" s="426" customFormat="1" ht="11.25" x14ac:dyDescent="0.2">
      <c r="B238" s="1241"/>
      <c r="C238" s="1229"/>
      <c r="D238" s="986"/>
      <c r="E238" s="790">
        <v>1</v>
      </c>
      <c r="F238" s="791"/>
      <c r="G238" s="584"/>
      <c r="H238" s="792">
        <f>E238*G238</f>
        <v>0</v>
      </c>
      <c r="I238" s="793"/>
      <c r="J238" s="794"/>
      <c r="K238" s="795"/>
      <c r="L238" s="795"/>
      <c r="M238" s="795"/>
      <c r="N238" s="795"/>
      <c r="O238" s="794"/>
      <c r="P238" s="793"/>
    </row>
    <row r="239" spans="2:16" s="426" customFormat="1" ht="11.25" x14ac:dyDescent="0.2">
      <c r="B239" s="1241"/>
      <c r="C239" s="1229"/>
      <c r="D239" s="986" t="s">
        <v>558</v>
      </c>
      <c r="E239" s="790">
        <v>-1</v>
      </c>
      <c r="F239" s="791"/>
      <c r="G239" s="584">
        <f>I229</f>
        <v>0</v>
      </c>
      <c r="H239" s="792">
        <f>E239*G239</f>
        <v>0</v>
      </c>
      <c r="I239" s="793"/>
      <c r="J239" s="794"/>
      <c r="K239" s="795"/>
      <c r="L239" s="795"/>
      <c r="M239" s="795"/>
      <c r="N239" s="795"/>
      <c r="O239" s="794"/>
      <c r="P239" s="793"/>
    </row>
    <row r="240" spans="2:16" s="426" customFormat="1" ht="11.25" x14ac:dyDescent="0.2">
      <c r="B240" s="1241"/>
      <c r="C240" s="1229"/>
      <c r="D240" s="986"/>
      <c r="E240" s="790">
        <v>1</v>
      </c>
      <c r="F240" s="791"/>
      <c r="G240" s="584"/>
      <c r="H240" s="792">
        <f t="shared" ref="H240" si="35">E240*G240</f>
        <v>0</v>
      </c>
      <c r="I240" s="979">
        <f>SUM(H236:H240)</f>
        <v>0</v>
      </c>
      <c r="J240" s="794">
        <f>I240*$J$5</f>
        <v>0</v>
      </c>
      <c r="K240" s="795">
        <f>SUM(I240:J240)*$K$5</f>
        <v>0</v>
      </c>
      <c r="L240" s="795">
        <f>SUM(I240:K240)*$L$5</f>
        <v>0</v>
      </c>
      <c r="M240" s="795">
        <f>SUM(I240:L240)*$M$5</f>
        <v>0</v>
      </c>
      <c r="N240" s="795">
        <f>SUM(I240:M240)*$N$5</f>
        <v>0</v>
      </c>
      <c r="O240" s="794">
        <f>SUM(I240:N240)</f>
        <v>0</v>
      </c>
      <c r="P240" s="793">
        <f>ROUND(O240,-3)</f>
        <v>0</v>
      </c>
    </row>
    <row r="241" spans="2:16" s="426" customFormat="1" ht="12" thickBot="1" x14ac:dyDescent="0.25">
      <c r="B241" s="1242"/>
      <c r="C241" s="1230"/>
      <c r="D241" s="987"/>
      <c r="E241" s="988"/>
      <c r="F241" s="796"/>
      <c r="G241" s="797"/>
      <c r="H241" s="798"/>
      <c r="I241" s="799"/>
      <c r="J241" s="800"/>
      <c r="K241" s="801"/>
      <c r="L241" s="801"/>
      <c r="M241" s="801"/>
      <c r="N241" s="801"/>
      <c r="O241" s="800"/>
      <c r="P241" s="799"/>
    </row>
    <row r="242" spans="2:16" s="426" customFormat="1" ht="18.600000000000001" customHeight="1" x14ac:dyDescent="0.2">
      <c r="B242" s="984" t="str">
        <f>'Detailed Matrix'!E36</f>
        <v>Provision of primary energy</v>
      </c>
      <c r="C242" s="981" t="str">
        <f>'Detailed Matrix'!F36</f>
        <v>Stage 02b: Utlisation of low carbon energy sources</v>
      </c>
      <c r="D242" s="986" t="s">
        <v>556</v>
      </c>
      <c r="E242" s="790"/>
      <c r="F242" s="791"/>
      <c r="G242" s="584"/>
      <c r="H242" s="792"/>
      <c r="I242" s="793"/>
      <c r="J242" s="794"/>
      <c r="K242" s="795"/>
      <c r="L242" s="795"/>
      <c r="M242" s="795"/>
      <c r="N242" s="795"/>
      <c r="O242" s="794"/>
      <c r="P242" s="793"/>
    </row>
    <row r="243" spans="2:16" s="426" customFormat="1" ht="11.25" x14ac:dyDescent="0.2">
      <c r="B243" s="984"/>
      <c r="C243" s="981"/>
      <c r="D243" s="986"/>
      <c r="E243" s="790">
        <v>1</v>
      </c>
      <c r="F243" s="791"/>
      <c r="G243" s="584"/>
      <c r="H243" s="792">
        <f t="shared" ref="H243:H246" si="36">E243*G243</f>
        <v>0</v>
      </c>
      <c r="I243" s="793"/>
      <c r="J243" s="794"/>
      <c r="K243" s="795"/>
      <c r="L243" s="795"/>
      <c r="M243" s="795"/>
      <c r="N243" s="795"/>
      <c r="O243" s="794"/>
      <c r="P243" s="793"/>
    </row>
    <row r="244" spans="2:16" s="426" customFormat="1" ht="11.25" x14ac:dyDescent="0.2">
      <c r="B244" s="984"/>
      <c r="C244" s="981"/>
      <c r="D244" s="986"/>
      <c r="E244" s="790">
        <v>1</v>
      </c>
      <c r="F244" s="791"/>
      <c r="G244" s="584"/>
      <c r="H244" s="792">
        <f t="shared" si="36"/>
        <v>0</v>
      </c>
      <c r="I244" s="793"/>
      <c r="J244" s="794"/>
      <c r="K244" s="795"/>
      <c r="L244" s="795"/>
      <c r="M244" s="795"/>
      <c r="N244" s="795"/>
      <c r="O244" s="794"/>
      <c r="P244" s="793"/>
    </row>
    <row r="245" spans="2:16" s="426" customFormat="1" ht="11.25" x14ac:dyDescent="0.2">
      <c r="B245" s="984"/>
      <c r="C245" s="981"/>
      <c r="D245" s="986" t="s">
        <v>559</v>
      </c>
      <c r="E245" s="790">
        <v>-1</v>
      </c>
      <c r="F245" s="791"/>
      <c r="G245" s="584">
        <f>I235+I224</f>
        <v>0</v>
      </c>
      <c r="H245" s="792">
        <f t="shared" si="36"/>
        <v>0</v>
      </c>
      <c r="I245" s="793"/>
      <c r="J245" s="794"/>
      <c r="K245" s="795"/>
      <c r="L245" s="795"/>
      <c r="M245" s="795"/>
      <c r="N245" s="795"/>
      <c r="O245" s="794"/>
      <c r="P245" s="793"/>
    </row>
    <row r="246" spans="2:16" s="426" customFormat="1" ht="11.25" x14ac:dyDescent="0.2">
      <c r="B246" s="984"/>
      <c r="C246" s="981"/>
      <c r="D246" s="986"/>
      <c r="E246" s="790"/>
      <c r="F246" s="791"/>
      <c r="G246" s="584"/>
      <c r="H246" s="792">
        <f t="shared" si="36"/>
        <v>0</v>
      </c>
      <c r="I246" s="978">
        <f>SUM(H242:H246)</f>
        <v>0</v>
      </c>
      <c r="J246" s="794">
        <f>I246*$J$5</f>
        <v>0</v>
      </c>
      <c r="K246" s="795">
        <f>SUM(I246:J246)*$K$5</f>
        <v>0</v>
      </c>
      <c r="L246" s="795">
        <f>SUM(I246:K246)*$L$5</f>
        <v>0</v>
      </c>
      <c r="M246" s="795">
        <f>SUM(I246:L246)*$M$5</f>
        <v>0</v>
      </c>
      <c r="N246" s="795">
        <f>SUM(I246:M246)*$N$5</f>
        <v>0</v>
      </c>
      <c r="O246" s="794">
        <f>SUM(I246:N246)</f>
        <v>0</v>
      </c>
      <c r="P246" s="793">
        <f>ROUND(O246,-3)</f>
        <v>0</v>
      </c>
    </row>
    <row r="247" spans="2:16" s="426" customFormat="1" ht="11.25" x14ac:dyDescent="0.2">
      <c r="B247" s="984"/>
      <c r="C247" s="981"/>
      <c r="D247" s="986" t="s">
        <v>557</v>
      </c>
      <c r="E247" s="790"/>
      <c r="F247" s="791"/>
      <c r="G247" s="584"/>
      <c r="H247" s="792"/>
      <c r="I247" s="793"/>
      <c r="J247" s="794"/>
      <c r="K247" s="795"/>
      <c r="L247" s="795"/>
      <c r="M247" s="795"/>
      <c r="N247" s="795"/>
      <c r="O247" s="794"/>
      <c r="P247" s="793"/>
    </row>
    <row r="248" spans="2:16" s="426" customFormat="1" ht="11.25" x14ac:dyDescent="0.2">
      <c r="B248" s="984"/>
      <c r="C248" s="981"/>
      <c r="D248" s="986"/>
      <c r="E248" s="790">
        <v>1</v>
      </c>
      <c r="F248" s="791"/>
      <c r="G248" s="584"/>
      <c r="H248" s="792">
        <f>E248*G248</f>
        <v>0</v>
      </c>
      <c r="I248" s="793"/>
      <c r="J248" s="794"/>
      <c r="K248" s="795"/>
      <c r="L248" s="795"/>
      <c r="M248" s="795"/>
      <c r="N248" s="795"/>
      <c r="O248" s="794"/>
      <c r="P248" s="793"/>
    </row>
    <row r="249" spans="2:16" s="426" customFormat="1" ht="11.25" x14ac:dyDescent="0.2">
      <c r="B249" s="984"/>
      <c r="C249" s="981"/>
      <c r="D249" s="986"/>
      <c r="E249" s="790">
        <v>1</v>
      </c>
      <c r="F249" s="791"/>
      <c r="G249" s="584"/>
      <c r="H249" s="792">
        <f>E249*G249</f>
        <v>0</v>
      </c>
      <c r="I249" s="793"/>
      <c r="J249" s="794"/>
      <c r="K249" s="795"/>
      <c r="L249" s="795"/>
      <c r="M249" s="795"/>
      <c r="N249" s="795"/>
      <c r="O249" s="794"/>
      <c r="P249" s="793"/>
    </row>
    <row r="250" spans="2:16" s="426" customFormat="1" ht="11.25" x14ac:dyDescent="0.2">
      <c r="B250" s="984"/>
      <c r="C250" s="981"/>
      <c r="D250" s="986" t="s">
        <v>559</v>
      </c>
      <c r="E250" s="790">
        <v>-1</v>
      </c>
      <c r="F250" s="791"/>
      <c r="G250" s="584">
        <f>I240+I229</f>
        <v>0</v>
      </c>
      <c r="H250" s="792">
        <f>E250*G250</f>
        <v>0</v>
      </c>
      <c r="I250" s="793"/>
      <c r="J250" s="794"/>
      <c r="K250" s="795"/>
      <c r="L250" s="795"/>
      <c r="M250" s="795"/>
      <c r="N250" s="795"/>
      <c r="O250" s="794"/>
      <c r="P250" s="793"/>
    </row>
    <row r="251" spans="2:16" s="426" customFormat="1" ht="11.25" x14ac:dyDescent="0.2">
      <c r="B251" s="984"/>
      <c r="C251" s="981"/>
      <c r="D251" s="986"/>
      <c r="E251" s="790">
        <v>1</v>
      </c>
      <c r="F251" s="791"/>
      <c r="G251" s="584"/>
      <c r="H251" s="792">
        <f t="shared" ref="H251" si="37">E251*G251</f>
        <v>0</v>
      </c>
      <c r="I251" s="979">
        <f>SUM(H247:H251)</f>
        <v>0</v>
      </c>
      <c r="J251" s="794">
        <f>I251*$J$5</f>
        <v>0</v>
      </c>
      <c r="K251" s="795">
        <f>SUM(I251:J251)*$K$5</f>
        <v>0</v>
      </c>
      <c r="L251" s="795">
        <f>SUM(I251:K251)*$L$5</f>
        <v>0</v>
      </c>
      <c r="M251" s="795">
        <f>SUM(I251:L251)*$M$5</f>
        <v>0</v>
      </c>
      <c r="N251" s="795">
        <f>SUM(I251:M251)*$N$5</f>
        <v>0</v>
      </c>
      <c r="O251" s="794">
        <f>SUM(I251:N251)</f>
        <v>0</v>
      </c>
      <c r="P251" s="793">
        <f>ROUND(O251,-3)</f>
        <v>0</v>
      </c>
    </row>
    <row r="252" spans="2:16" s="426" customFormat="1" ht="12" thickBot="1" x14ac:dyDescent="0.25">
      <c r="B252" s="984"/>
      <c r="C252" s="981"/>
      <c r="D252" s="986"/>
      <c r="E252" s="790"/>
      <c r="F252" s="791"/>
      <c r="G252" s="584"/>
      <c r="H252" s="792"/>
      <c r="I252" s="793"/>
      <c r="J252" s="794"/>
      <c r="K252" s="795"/>
      <c r="L252" s="795"/>
      <c r="M252" s="795"/>
      <c r="N252" s="795"/>
      <c r="O252" s="794"/>
      <c r="P252" s="793"/>
    </row>
    <row r="253" spans="2:16" s="426" customFormat="1" ht="22.5" x14ac:dyDescent="0.2">
      <c r="B253" s="983" t="str">
        <f>'Detailed Matrix'!E37</f>
        <v>Provision of primary energy</v>
      </c>
      <c r="C253" s="980" t="str">
        <f>'Detailed Matrix'!F37</f>
        <v>Stage 03a: Utilise existing district energy network</v>
      </c>
      <c r="D253" s="991" t="s">
        <v>556</v>
      </c>
      <c r="E253" s="992"/>
      <c r="F253" s="993"/>
      <c r="G253" s="994"/>
      <c r="H253" s="995"/>
      <c r="I253" s="996"/>
      <c r="J253" s="997"/>
      <c r="K253" s="998"/>
      <c r="L253" s="998"/>
      <c r="M253" s="998"/>
      <c r="N253" s="998"/>
      <c r="O253" s="997"/>
      <c r="P253" s="996"/>
    </row>
    <row r="254" spans="2:16" s="426" customFormat="1" ht="11.25" x14ac:dyDescent="0.2">
      <c r="B254" s="984"/>
      <c r="C254" s="981"/>
      <c r="D254" s="986"/>
      <c r="E254" s="790">
        <v>1</v>
      </c>
      <c r="F254" s="791"/>
      <c r="G254" s="584"/>
      <c r="H254" s="792">
        <f t="shared" ref="H254:H257" si="38">E254*G254</f>
        <v>0</v>
      </c>
      <c r="I254" s="793"/>
      <c r="J254" s="794"/>
      <c r="K254" s="795"/>
      <c r="L254" s="795"/>
      <c r="M254" s="795"/>
      <c r="N254" s="795"/>
      <c r="O254" s="794"/>
      <c r="P254" s="793"/>
    </row>
    <row r="255" spans="2:16" s="426" customFormat="1" ht="11.25" x14ac:dyDescent="0.2">
      <c r="B255" s="984"/>
      <c r="C255" s="981"/>
      <c r="D255" s="986"/>
      <c r="E255" s="790">
        <v>1</v>
      </c>
      <c r="F255" s="791"/>
      <c r="G255" s="584"/>
      <c r="H255" s="792">
        <f t="shared" si="38"/>
        <v>0</v>
      </c>
      <c r="I255" s="793"/>
      <c r="J255" s="794"/>
      <c r="K255" s="795"/>
      <c r="L255" s="795"/>
      <c r="M255" s="795"/>
      <c r="N255" s="795"/>
      <c r="O255" s="794"/>
      <c r="P255" s="793"/>
    </row>
    <row r="256" spans="2:16" s="426" customFormat="1" ht="11.25" x14ac:dyDescent="0.2">
      <c r="B256" s="984"/>
      <c r="C256" s="981"/>
      <c r="D256" s="986" t="s">
        <v>560</v>
      </c>
      <c r="E256" s="790">
        <v>-1</v>
      </c>
      <c r="F256" s="791"/>
      <c r="G256" s="584">
        <f>I246+I235+I224</f>
        <v>0</v>
      </c>
      <c r="H256" s="792">
        <f t="shared" si="38"/>
        <v>0</v>
      </c>
      <c r="I256" s="793"/>
      <c r="J256" s="794"/>
      <c r="K256" s="795"/>
      <c r="L256" s="795"/>
      <c r="M256" s="795"/>
      <c r="N256" s="795"/>
      <c r="O256" s="794"/>
      <c r="P256" s="793"/>
    </row>
    <row r="257" spans="2:16" s="426" customFormat="1" ht="11.25" x14ac:dyDescent="0.2">
      <c r="B257" s="984"/>
      <c r="C257" s="981"/>
      <c r="D257" s="986"/>
      <c r="E257" s="790"/>
      <c r="F257" s="791"/>
      <c r="G257" s="584"/>
      <c r="H257" s="792">
        <f t="shared" si="38"/>
        <v>0</v>
      </c>
      <c r="I257" s="978">
        <f>SUM(H253:H257)</f>
        <v>0</v>
      </c>
      <c r="J257" s="794">
        <f>I257*$J$5</f>
        <v>0</v>
      </c>
      <c r="K257" s="795">
        <f>SUM(I257:J257)*$K$5</f>
        <v>0</v>
      </c>
      <c r="L257" s="795">
        <f>SUM(I257:K257)*$L$5</f>
        <v>0</v>
      </c>
      <c r="M257" s="795">
        <f>SUM(I257:L257)*$M$5</f>
        <v>0</v>
      </c>
      <c r="N257" s="795">
        <f>SUM(I257:M257)*$N$5</f>
        <v>0</v>
      </c>
      <c r="O257" s="794">
        <f>SUM(I257:N257)</f>
        <v>0</v>
      </c>
      <c r="P257" s="793">
        <f>ROUND(O257,-3)</f>
        <v>0</v>
      </c>
    </row>
    <row r="258" spans="2:16" s="426" customFormat="1" ht="11.25" x14ac:dyDescent="0.2">
      <c r="B258" s="984"/>
      <c r="C258" s="981"/>
      <c r="D258" s="986" t="s">
        <v>557</v>
      </c>
      <c r="E258" s="790"/>
      <c r="F258" s="791"/>
      <c r="G258" s="584"/>
      <c r="H258" s="792"/>
      <c r="I258" s="793"/>
      <c r="J258" s="794"/>
      <c r="K258" s="795"/>
      <c r="L258" s="795"/>
      <c r="M258" s="795"/>
      <c r="N258" s="795"/>
      <c r="O258" s="794"/>
      <c r="P258" s="793"/>
    </row>
    <row r="259" spans="2:16" s="426" customFormat="1" ht="11.25" x14ac:dyDescent="0.2">
      <c r="B259" s="984"/>
      <c r="C259" s="981"/>
      <c r="D259" s="986"/>
      <c r="E259" s="790">
        <v>1</v>
      </c>
      <c r="F259" s="791"/>
      <c r="G259" s="584"/>
      <c r="H259" s="792">
        <f>E259*G259</f>
        <v>0</v>
      </c>
      <c r="I259" s="793"/>
      <c r="J259" s="794"/>
      <c r="K259" s="795"/>
      <c r="L259" s="795"/>
      <c r="M259" s="795"/>
      <c r="N259" s="795"/>
      <c r="O259" s="794"/>
      <c r="P259" s="793"/>
    </row>
    <row r="260" spans="2:16" s="426" customFormat="1" ht="11.25" x14ac:dyDescent="0.2">
      <c r="B260" s="984"/>
      <c r="C260" s="981"/>
      <c r="D260" s="986"/>
      <c r="E260" s="790">
        <v>1</v>
      </c>
      <c r="F260" s="791"/>
      <c r="G260" s="584"/>
      <c r="H260" s="792">
        <f>E260*G260</f>
        <v>0</v>
      </c>
      <c r="I260" s="793"/>
      <c r="J260" s="794"/>
      <c r="K260" s="795"/>
      <c r="L260" s="795"/>
      <c r="M260" s="795"/>
      <c r="N260" s="795"/>
      <c r="O260" s="794"/>
      <c r="P260" s="793"/>
    </row>
    <row r="261" spans="2:16" s="426" customFormat="1" ht="11.25" x14ac:dyDescent="0.2">
      <c r="B261" s="984"/>
      <c r="C261" s="981"/>
      <c r="D261" s="986" t="s">
        <v>560</v>
      </c>
      <c r="E261" s="790">
        <v>-1</v>
      </c>
      <c r="F261" s="791"/>
      <c r="G261" s="584">
        <f>I251+I240+I229</f>
        <v>0</v>
      </c>
      <c r="H261" s="792">
        <f>E261*G261</f>
        <v>0</v>
      </c>
      <c r="I261" s="793"/>
      <c r="J261" s="794"/>
      <c r="K261" s="795"/>
      <c r="L261" s="795"/>
      <c r="M261" s="795"/>
      <c r="N261" s="795"/>
      <c r="O261" s="794"/>
      <c r="P261" s="793"/>
    </row>
    <row r="262" spans="2:16" s="426" customFormat="1" ht="12" thickBot="1" x14ac:dyDescent="0.25">
      <c r="B262" s="985"/>
      <c r="C262" s="982"/>
      <c r="D262" s="987"/>
      <c r="E262" s="988">
        <v>1</v>
      </c>
      <c r="F262" s="796"/>
      <c r="G262" s="797"/>
      <c r="H262" s="798">
        <f t="shared" ref="H262" si="39">E262*G262</f>
        <v>0</v>
      </c>
      <c r="I262" s="999">
        <f>SUM(H258:H262)</f>
        <v>0</v>
      </c>
      <c r="J262" s="800">
        <f>I262*$J$5</f>
        <v>0</v>
      </c>
      <c r="K262" s="801">
        <f>SUM(I262:J262)*$K$5</f>
        <v>0</v>
      </c>
      <c r="L262" s="801">
        <f>SUM(I262:K262)*$L$5</f>
        <v>0</v>
      </c>
      <c r="M262" s="801">
        <f>SUM(I262:L262)*$M$5</f>
        <v>0</v>
      </c>
      <c r="N262" s="801">
        <f>SUM(I262:M262)*$N$5</f>
        <v>0</v>
      </c>
      <c r="O262" s="800">
        <f>SUM(I262:N262)</f>
        <v>0</v>
      </c>
      <c r="P262" s="799">
        <f>ROUND(O262,-3)</f>
        <v>0</v>
      </c>
    </row>
    <row r="263" spans="2:16" s="426" customFormat="1" ht="33.75" x14ac:dyDescent="0.2">
      <c r="B263" s="983" t="str">
        <f>'Detailed Matrix'!E38</f>
        <v>Provision of primary energy</v>
      </c>
      <c r="C263" s="980" t="str">
        <f>'Detailed Matrix'!F38</f>
        <v>Stage 03b: Utilise air source heat pumps to generate heating, cooling and domestic hot water</v>
      </c>
      <c r="D263" s="991" t="s">
        <v>556</v>
      </c>
      <c r="E263" s="992"/>
      <c r="F263" s="993"/>
      <c r="G263" s="994"/>
      <c r="H263" s="995"/>
      <c r="I263" s="996"/>
      <c r="J263" s="997"/>
      <c r="K263" s="998"/>
      <c r="L263" s="998"/>
      <c r="M263" s="998"/>
      <c r="N263" s="998"/>
      <c r="O263" s="997"/>
      <c r="P263" s="996"/>
    </row>
    <row r="264" spans="2:16" s="426" customFormat="1" ht="11.25" x14ac:dyDescent="0.2">
      <c r="B264" s="984"/>
      <c r="C264" s="981"/>
      <c r="D264" s="986"/>
      <c r="E264" s="790">
        <v>1</v>
      </c>
      <c r="F264" s="791"/>
      <c r="G264" s="584"/>
      <c r="H264" s="792">
        <f t="shared" ref="H264:H267" si="40">E264*G264</f>
        <v>0</v>
      </c>
      <c r="I264" s="793"/>
      <c r="J264" s="794"/>
      <c r="K264" s="795"/>
      <c r="L264" s="795"/>
      <c r="M264" s="795"/>
      <c r="N264" s="795"/>
      <c r="O264" s="794"/>
      <c r="P264" s="793"/>
    </row>
    <row r="265" spans="2:16" s="426" customFormat="1" ht="11.25" x14ac:dyDescent="0.2">
      <c r="B265" s="984"/>
      <c r="C265" s="981"/>
      <c r="D265" s="986"/>
      <c r="E265" s="790">
        <v>1</v>
      </c>
      <c r="F265" s="791"/>
      <c r="G265" s="584"/>
      <c r="H265" s="792">
        <f t="shared" si="40"/>
        <v>0</v>
      </c>
      <c r="I265" s="793"/>
      <c r="J265" s="794"/>
      <c r="K265" s="795"/>
      <c r="L265" s="795"/>
      <c r="M265" s="795"/>
      <c r="N265" s="795"/>
      <c r="O265" s="794"/>
      <c r="P265" s="793"/>
    </row>
    <row r="266" spans="2:16" s="426" customFormat="1" ht="11.25" x14ac:dyDescent="0.2">
      <c r="B266" s="984"/>
      <c r="C266" s="981"/>
      <c r="D266" s="986" t="s">
        <v>561</v>
      </c>
      <c r="E266" s="790">
        <v>-1</v>
      </c>
      <c r="F266" s="791"/>
      <c r="G266" s="584">
        <f>I257+I246+I235+I224</f>
        <v>0</v>
      </c>
      <c r="H266" s="792">
        <f t="shared" si="40"/>
        <v>0</v>
      </c>
      <c r="I266" s="793"/>
      <c r="J266" s="794"/>
      <c r="K266" s="795"/>
      <c r="L266" s="795"/>
      <c r="M266" s="795"/>
      <c r="N266" s="795"/>
      <c r="O266" s="794"/>
      <c r="P266" s="793"/>
    </row>
    <row r="267" spans="2:16" s="426" customFormat="1" ht="11.25" x14ac:dyDescent="0.2">
      <c r="B267" s="984"/>
      <c r="C267" s="981"/>
      <c r="D267" s="986"/>
      <c r="E267" s="790"/>
      <c r="F267" s="791"/>
      <c r="G267" s="584"/>
      <c r="H267" s="792">
        <f t="shared" si="40"/>
        <v>0</v>
      </c>
      <c r="I267" s="978">
        <f>SUM(H263:H267)</f>
        <v>0</v>
      </c>
      <c r="J267" s="794">
        <f>I267*$J$5</f>
        <v>0</v>
      </c>
      <c r="K267" s="795">
        <f>SUM(I267:J267)*$K$5</f>
        <v>0</v>
      </c>
      <c r="L267" s="795">
        <f>SUM(I267:K267)*$L$5</f>
        <v>0</v>
      </c>
      <c r="M267" s="795">
        <f>SUM(I267:L267)*$M$5</f>
        <v>0</v>
      </c>
      <c r="N267" s="795">
        <f>SUM(I267:M267)*$N$5</f>
        <v>0</v>
      </c>
      <c r="O267" s="794">
        <f>SUM(I267:N267)</f>
        <v>0</v>
      </c>
      <c r="P267" s="793">
        <f>ROUND(O267,-3)</f>
        <v>0</v>
      </c>
    </row>
    <row r="268" spans="2:16" s="426" customFormat="1" ht="11.25" x14ac:dyDescent="0.2">
      <c r="B268" s="984"/>
      <c r="C268" s="981"/>
      <c r="D268" s="986" t="s">
        <v>557</v>
      </c>
      <c r="E268" s="790"/>
      <c r="F268" s="791"/>
      <c r="G268" s="584"/>
      <c r="H268" s="792"/>
      <c r="I268" s="793"/>
      <c r="J268" s="794"/>
      <c r="K268" s="795"/>
      <c r="L268" s="795"/>
      <c r="M268" s="795"/>
      <c r="N268" s="795"/>
      <c r="O268" s="794"/>
      <c r="P268" s="793"/>
    </row>
    <row r="269" spans="2:16" s="426" customFormat="1" ht="11.25" x14ac:dyDescent="0.2">
      <c r="B269" s="984"/>
      <c r="C269" s="981"/>
      <c r="D269" s="986"/>
      <c r="E269" s="790">
        <v>1</v>
      </c>
      <c r="F269" s="791"/>
      <c r="G269" s="584"/>
      <c r="H269" s="792">
        <f>E269*G269</f>
        <v>0</v>
      </c>
      <c r="I269" s="793"/>
      <c r="J269" s="794"/>
      <c r="K269" s="795"/>
      <c r="L269" s="795"/>
      <c r="M269" s="795"/>
      <c r="N269" s="795"/>
      <c r="O269" s="794"/>
      <c r="P269" s="793"/>
    </row>
    <row r="270" spans="2:16" s="426" customFormat="1" ht="11.25" x14ac:dyDescent="0.2">
      <c r="B270" s="984"/>
      <c r="C270" s="981"/>
      <c r="D270" s="986"/>
      <c r="E270" s="790">
        <v>1</v>
      </c>
      <c r="F270" s="791"/>
      <c r="G270" s="584"/>
      <c r="H270" s="792">
        <f>E270*G270</f>
        <v>0</v>
      </c>
      <c r="I270" s="793"/>
      <c r="J270" s="794"/>
      <c r="K270" s="795"/>
      <c r="L270" s="795"/>
      <c r="M270" s="795"/>
      <c r="N270" s="795"/>
      <c r="O270" s="794"/>
      <c r="P270" s="793"/>
    </row>
    <row r="271" spans="2:16" s="426" customFormat="1" ht="11.25" x14ac:dyDescent="0.2">
      <c r="B271" s="984"/>
      <c r="C271" s="981"/>
      <c r="D271" s="986" t="s">
        <v>561</v>
      </c>
      <c r="E271" s="790">
        <v>-1</v>
      </c>
      <c r="F271" s="791"/>
      <c r="G271" s="584">
        <f>I262+I251+I240+I229</f>
        <v>0</v>
      </c>
      <c r="H271" s="792">
        <f>E271*G271</f>
        <v>0</v>
      </c>
      <c r="I271" s="793"/>
      <c r="J271" s="794"/>
      <c r="K271" s="795"/>
      <c r="L271" s="795"/>
      <c r="M271" s="795"/>
      <c r="N271" s="795"/>
      <c r="O271" s="794"/>
      <c r="P271" s="793"/>
    </row>
    <row r="272" spans="2:16" s="426" customFormat="1" ht="12" thickBot="1" x14ac:dyDescent="0.25">
      <c r="B272" s="985"/>
      <c r="C272" s="982"/>
      <c r="D272" s="987"/>
      <c r="E272" s="988">
        <v>1</v>
      </c>
      <c r="F272" s="796"/>
      <c r="G272" s="797"/>
      <c r="H272" s="798">
        <f t="shared" ref="H272" si="41">E272*G272</f>
        <v>0</v>
      </c>
      <c r="I272" s="999">
        <f>SUM(H268:H272)</f>
        <v>0</v>
      </c>
      <c r="J272" s="800">
        <f>I272*$J$5</f>
        <v>0</v>
      </c>
      <c r="K272" s="801">
        <f>SUM(I272:J272)*$K$5</f>
        <v>0</v>
      </c>
      <c r="L272" s="801">
        <f>SUM(I272:K272)*$L$5</f>
        <v>0</v>
      </c>
      <c r="M272" s="801">
        <f>SUM(I272:L272)*$M$5</f>
        <v>0</v>
      </c>
      <c r="N272" s="801">
        <f>SUM(I272:M272)*$N$5</f>
        <v>0</v>
      </c>
      <c r="O272" s="800">
        <f>SUM(I272:N272)</f>
        <v>0</v>
      </c>
      <c r="P272" s="799">
        <f>ROUND(O272,-3)</f>
        <v>0</v>
      </c>
    </row>
    <row r="273" spans="2:16" s="426" customFormat="1" ht="22.5" x14ac:dyDescent="0.2">
      <c r="B273" s="983" t="str">
        <f>'Detailed Matrix'!E39</f>
        <v>Provision of primary energy</v>
      </c>
      <c r="C273" s="980" t="str">
        <f>'Detailed Matrix'!F39</f>
        <v>Stage 04: Use simultaneous heating and colling heat pumps during mid-season loads</v>
      </c>
      <c r="D273" s="991" t="s">
        <v>556</v>
      </c>
      <c r="E273" s="992"/>
      <c r="F273" s="993"/>
      <c r="G273" s="994"/>
      <c r="H273" s="995"/>
      <c r="I273" s="996"/>
      <c r="J273" s="997"/>
      <c r="K273" s="998"/>
      <c r="L273" s="998"/>
      <c r="M273" s="998"/>
      <c r="N273" s="998"/>
      <c r="O273" s="997"/>
      <c r="P273" s="996"/>
    </row>
    <row r="274" spans="2:16" s="426" customFormat="1" ht="11.25" x14ac:dyDescent="0.2">
      <c r="B274" s="984"/>
      <c r="C274" s="981"/>
      <c r="D274" s="986"/>
      <c r="E274" s="790">
        <v>1</v>
      </c>
      <c r="F274" s="791"/>
      <c r="G274" s="584"/>
      <c r="H274" s="792">
        <f t="shared" ref="H274:H277" si="42">E274*G274</f>
        <v>0</v>
      </c>
      <c r="I274" s="793"/>
      <c r="J274" s="794"/>
      <c r="K274" s="795"/>
      <c r="L274" s="795"/>
      <c r="M274" s="795"/>
      <c r="N274" s="795"/>
      <c r="O274" s="794"/>
      <c r="P274" s="793"/>
    </row>
    <row r="275" spans="2:16" s="426" customFormat="1" ht="11.25" x14ac:dyDescent="0.2">
      <c r="B275" s="984"/>
      <c r="C275" s="981"/>
      <c r="D275" s="986"/>
      <c r="E275" s="790">
        <v>1</v>
      </c>
      <c r="F275" s="791"/>
      <c r="G275" s="584"/>
      <c r="H275" s="792">
        <f t="shared" si="42"/>
        <v>0</v>
      </c>
      <c r="I275" s="793"/>
      <c r="J275" s="794"/>
      <c r="K275" s="795"/>
      <c r="L275" s="795"/>
      <c r="M275" s="795"/>
      <c r="N275" s="795"/>
      <c r="O275" s="794"/>
      <c r="P275" s="793"/>
    </row>
    <row r="276" spans="2:16" s="426" customFormat="1" ht="11.25" x14ac:dyDescent="0.2">
      <c r="B276" s="984"/>
      <c r="C276" s="981"/>
      <c r="D276" s="986" t="s">
        <v>562</v>
      </c>
      <c r="E276" s="790">
        <v>-1</v>
      </c>
      <c r="F276" s="791"/>
      <c r="G276" s="584">
        <f>I257+I246+I235+I224+I267</f>
        <v>0</v>
      </c>
      <c r="H276" s="792">
        <f t="shared" si="42"/>
        <v>0</v>
      </c>
      <c r="I276" s="793"/>
      <c r="J276" s="794"/>
      <c r="K276" s="795"/>
      <c r="L276" s="795"/>
      <c r="M276" s="795"/>
      <c r="N276" s="795"/>
      <c r="O276" s="794"/>
      <c r="P276" s="793"/>
    </row>
    <row r="277" spans="2:16" s="426" customFormat="1" ht="11.25" x14ac:dyDescent="0.2">
      <c r="B277" s="984"/>
      <c r="C277" s="981"/>
      <c r="D277" s="986"/>
      <c r="E277" s="790"/>
      <c r="F277" s="791"/>
      <c r="G277" s="584"/>
      <c r="H277" s="792">
        <f t="shared" si="42"/>
        <v>0</v>
      </c>
      <c r="I277" s="978">
        <f>SUM(H273:H277)</f>
        <v>0</v>
      </c>
      <c r="J277" s="794">
        <f>I277*$J$5</f>
        <v>0</v>
      </c>
      <c r="K277" s="795">
        <f>SUM(I277:J277)*$K$5</f>
        <v>0</v>
      </c>
      <c r="L277" s="795">
        <f>SUM(I277:K277)*$L$5</f>
        <v>0</v>
      </c>
      <c r="M277" s="795">
        <f>SUM(I277:L277)*$M$5</f>
        <v>0</v>
      </c>
      <c r="N277" s="795">
        <f>SUM(I277:M277)*$N$5</f>
        <v>0</v>
      </c>
      <c r="O277" s="794">
        <f>SUM(I277:N277)</f>
        <v>0</v>
      </c>
      <c r="P277" s="793">
        <f>ROUND(O277,-3)</f>
        <v>0</v>
      </c>
    </row>
    <row r="278" spans="2:16" s="426" customFormat="1" ht="11.25" x14ac:dyDescent="0.2">
      <c r="B278" s="984"/>
      <c r="C278" s="981"/>
      <c r="D278" s="986" t="s">
        <v>557</v>
      </c>
      <c r="E278" s="790"/>
      <c r="F278" s="791"/>
      <c r="G278" s="584"/>
      <c r="H278" s="792"/>
      <c r="I278" s="793"/>
      <c r="J278" s="794"/>
      <c r="K278" s="795"/>
      <c r="L278" s="795"/>
      <c r="M278" s="795"/>
      <c r="N278" s="795"/>
      <c r="O278" s="794"/>
      <c r="P278" s="793"/>
    </row>
    <row r="279" spans="2:16" s="426" customFormat="1" ht="11.25" x14ac:dyDescent="0.2">
      <c r="B279" s="984"/>
      <c r="C279" s="981"/>
      <c r="D279" s="986"/>
      <c r="E279" s="790">
        <v>1</v>
      </c>
      <c r="F279" s="791"/>
      <c r="G279" s="584"/>
      <c r="H279" s="792">
        <f>E279*G279</f>
        <v>0</v>
      </c>
      <c r="I279" s="793"/>
      <c r="J279" s="794"/>
      <c r="K279" s="795"/>
      <c r="L279" s="795"/>
      <c r="M279" s="795"/>
      <c r="N279" s="795"/>
      <c r="O279" s="794"/>
      <c r="P279" s="793"/>
    </row>
    <row r="280" spans="2:16" s="426" customFormat="1" ht="11.25" x14ac:dyDescent="0.2">
      <c r="B280" s="984"/>
      <c r="C280" s="981"/>
      <c r="D280" s="986"/>
      <c r="E280" s="790">
        <v>1</v>
      </c>
      <c r="F280" s="791"/>
      <c r="G280" s="584"/>
      <c r="H280" s="792">
        <f>E280*G280</f>
        <v>0</v>
      </c>
      <c r="I280" s="793"/>
      <c r="J280" s="794"/>
      <c r="K280" s="795"/>
      <c r="L280" s="795"/>
      <c r="M280" s="795"/>
      <c r="N280" s="795"/>
      <c r="O280" s="794"/>
      <c r="P280" s="793"/>
    </row>
    <row r="281" spans="2:16" s="426" customFormat="1" ht="11.25" x14ac:dyDescent="0.2">
      <c r="B281" s="984"/>
      <c r="C281" s="981"/>
      <c r="D281" s="986" t="s">
        <v>562</v>
      </c>
      <c r="E281" s="790">
        <v>-1</v>
      </c>
      <c r="F281" s="791"/>
      <c r="G281" s="584">
        <f>I262+I251+I240+I229+I272</f>
        <v>0</v>
      </c>
      <c r="H281" s="792">
        <f>E281*G281</f>
        <v>0</v>
      </c>
      <c r="I281" s="793"/>
      <c r="J281" s="794"/>
      <c r="K281" s="795"/>
      <c r="L281" s="795"/>
      <c r="M281" s="795"/>
      <c r="N281" s="795"/>
      <c r="O281" s="794"/>
      <c r="P281" s="793"/>
    </row>
    <row r="282" spans="2:16" s="426" customFormat="1" ht="12" thickBot="1" x14ac:dyDescent="0.25">
      <c r="B282" s="985"/>
      <c r="C282" s="982"/>
      <c r="D282" s="987"/>
      <c r="E282" s="988">
        <v>1</v>
      </c>
      <c r="F282" s="796"/>
      <c r="G282" s="797"/>
      <c r="H282" s="798">
        <f t="shared" ref="H282:H287" si="43">E282*G282</f>
        <v>0</v>
      </c>
      <c r="I282" s="999">
        <f>SUM(H278:H282)</f>
        <v>0</v>
      </c>
      <c r="J282" s="800">
        <f>I282*$J$5</f>
        <v>0</v>
      </c>
      <c r="K282" s="801">
        <f>SUM(I282:J282)*$K$5</f>
        <v>0</v>
      </c>
      <c r="L282" s="801">
        <f>SUM(I282:K282)*$L$5</f>
        <v>0</v>
      </c>
      <c r="M282" s="801">
        <f>SUM(I282:L282)*$M$5</f>
        <v>0</v>
      </c>
      <c r="N282" s="801">
        <f>SUM(I282:M282)*$N$5</f>
        <v>0</v>
      </c>
      <c r="O282" s="800">
        <f>SUM(I282:N282)</f>
        <v>0</v>
      </c>
      <c r="P282" s="799">
        <f>ROUND(O282,-3)</f>
        <v>0</v>
      </c>
    </row>
    <row r="283" spans="2:16" s="426" customFormat="1" ht="11.25" x14ac:dyDescent="0.2">
      <c r="B283" s="983" t="str">
        <f>'Detailed Matrix'!E41</f>
        <v>Heating &amp; colling to building</v>
      </c>
      <c r="C283" s="980" t="str">
        <f>'Detailed Matrix'!F41</f>
        <v>Stage 01: VRF or HVRF system in line with TRD</v>
      </c>
      <c r="D283" s="991" t="s">
        <v>556</v>
      </c>
      <c r="E283" s="992">
        <v>1</v>
      </c>
      <c r="F283" s="993"/>
      <c r="G283" s="994"/>
      <c r="H283" s="995">
        <f t="shared" si="43"/>
        <v>0</v>
      </c>
      <c r="I283" s="996"/>
      <c r="J283" s="997"/>
      <c r="K283" s="998"/>
      <c r="L283" s="998"/>
      <c r="M283" s="998"/>
      <c r="N283" s="998"/>
      <c r="O283" s="997"/>
      <c r="P283" s="996"/>
    </row>
    <row r="284" spans="2:16" s="426" customFormat="1" ht="11.25" x14ac:dyDescent="0.2">
      <c r="B284" s="984"/>
      <c r="C284" s="981"/>
      <c r="D284" s="986"/>
      <c r="E284" s="790">
        <v>1</v>
      </c>
      <c r="F284" s="791"/>
      <c r="G284" s="584"/>
      <c r="H284" s="792">
        <f t="shared" si="43"/>
        <v>0</v>
      </c>
      <c r="I284" s="793"/>
      <c r="J284" s="794"/>
      <c r="K284" s="795"/>
      <c r="L284" s="795"/>
      <c r="M284" s="795"/>
      <c r="N284" s="795"/>
      <c r="O284" s="794"/>
      <c r="P284" s="793"/>
    </row>
    <row r="285" spans="2:16" s="426" customFormat="1" ht="11.25" x14ac:dyDescent="0.2">
      <c r="B285" s="984"/>
      <c r="C285" s="981"/>
      <c r="D285" s="986"/>
      <c r="E285" s="790">
        <v>1</v>
      </c>
      <c r="F285" s="791"/>
      <c r="G285" s="584"/>
      <c r="H285" s="792">
        <f t="shared" si="43"/>
        <v>0</v>
      </c>
      <c r="I285" s="793"/>
      <c r="J285" s="794"/>
      <c r="K285" s="795"/>
      <c r="L285" s="795"/>
      <c r="M285" s="795"/>
      <c r="N285" s="795"/>
      <c r="O285" s="794"/>
      <c r="P285" s="793"/>
    </row>
    <row r="286" spans="2:16" s="426" customFormat="1" ht="11.25" x14ac:dyDescent="0.2">
      <c r="B286" s="984"/>
      <c r="C286" s="981"/>
      <c r="D286" s="986"/>
      <c r="E286" s="790">
        <v>1</v>
      </c>
      <c r="F286" s="791"/>
      <c r="G286" s="584"/>
      <c r="H286" s="792">
        <f t="shared" si="43"/>
        <v>0</v>
      </c>
      <c r="I286" s="793"/>
      <c r="J286" s="794"/>
      <c r="K286" s="795"/>
      <c r="L286" s="795"/>
      <c r="M286" s="795"/>
      <c r="N286" s="795"/>
      <c r="O286" s="794"/>
      <c r="P286" s="793"/>
    </row>
    <row r="287" spans="2:16" s="426" customFormat="1" ht="11.25" x14ac:dyDescent="0.2">
      <c r="B287" s="984"/>
      <c r="C287" s="981"/>
      <c r="D287" s="986"/>
      <c r="E287" s="790">
        <v>1</v>
      </c>
      <c r="F287" s="791"/>
      <c r="G287" s="584"/>
      <c r="H287" s="792">
        <f t="shared" si="43"/>
        <v>0</v>
      </c>
      <c r="I287" s="978">
        <f>SUM(H283:H287)</f>
        <v>0</v>
      </c>
      <c r="J287" s="794">
        <f>I287*$J$5</f>
        <v>0</v>
      </c>
      <c r="K287" s="795">
        <f>SUM(I287:J287)*$K$5</f>
        <v>0</v>
      </c>
      <c r="L287" s="795">
        <f>SUM(I287:K287)*$L$5</f>
        <v>0</v>
      </c>
      <c r="M287" s="795">
        <f>SUM(I287:L287)*$M$5</f>
        <v>0</v>
      </c>
      <c r="N287" s="795">
        <f>SUM(I287:M287)*$N$5</f>
        <v>0</v>
      </c>
      <c r="O287" s="794">
        <f>SUM(I287:N287)</f>
        <v>0</v>
      </c>
      <c r="P287" s="793">
        <f>ROUND(O287,-3)</f>
        <v>0</v>
      </c>
    </row>
    <row r="289" spans="2:16" s="426" customFormat="1" ht="11.25" x14ac:dyDescent="0.2">
      <c r="B289" s="984"/>
      <c r="C289" s="981"/>
      <c r="D289" s="986" t="s">
        <v>557</v>
      </c>
      <c r="E289" s="790">
        <v>1</v>
      </c>
      <c r="F289" s="791"/>
      <c r="G289" s="584"/>
      <c r="H289" s="792">
        <f t="shared" ref="H289:H292" si="44">E289*G289</f>
        <v>0</v>
      </c>
      <c r="I289" s="793"/>
      <c r="J289" s="794"/>
      <c r="K289" s="795"/>
      <c r="L289" s="795"/>
      <c r="M289" s="795"/>
      <c r="N289" s="795"/>
      <c r="O289" s="794"/>
      <c r="P289" s="793"/>
    </row>
    <row r="290" spans="2:16" s="426" customFormat="1" ht="11.25" x14ac:dyDescent="0.2">
      <c r="B290" s="984"/>
      <c r="C290" s="981"/>
      <c r="D290" s="986"/>
      <c r="E290" s="790">
        <v>1</v>
      </c>
      <c r="F290" s="791"/>
      <c r="G290" s="584"/>
      <c r="H290" s="792">
        <f t="shared" si="44"/>
        <v>0</v>
      </c>
      <c r="I290" s="793"/>
      <c r="J290" s="794"/>
      <c r="K290" s="795"/>
      <c r="L290" s="795"/>
      <c r="M290" s="795"/>
      <c r="N290" s="795"/>
      <c r="O290" s="794"/>
      <c r="P290" s="793"/>
    </row>
    <row r="291" spans="2:16" s="426" customFormat="1" ht="11.25" x14ac:dyDescent="0.2">
      <c r="B291" s="984"/>
      <c r="C291" s="981"/>
      <c r="D291" s="986"/>
      <c r="E291" s="790">
        <v>1</v>
      </c>
      <c r="F291" s="791"/>
      <c r="G291" s="584"/>
      <c r="H291" s="792">
        <f t="shared" si="44"/>
        <v>0</v>
      </c>
      <c r="I291" s="793"/>
      <c r="J291" s="794"/>
      <c r="K291" s="795"/>
      <c r="L291" s="795"/>
      <c r="M291" s="795"/>
      <c r="N291" s="795"/>
      <c r="O291" s="794"/>
      <c r="P291" s="793"/>
    </row>
    <row r="292" spans="2:16" s="426" customFormat="1" ht="11.25" x14ac:dyDescent="0.2">
      <c r="B292" s="984"/>
      <c r="C292" s="981"/>
      <c r="D292" s="986"/>
      <c r="E292" s="790">
        <v>1</v>
      </c>
      <c r="F292" s="791"/>
      <c r="G292" s="584"/>
      <c r="H292" s="792">
        <f t="shared" si="44"/>
        <v>0</v>
      </c>
      <c r="I292" s="979">
        <f>SUM(H289:H292)</f>
        <v>0</v>
      </c>
      <c r="J292" s="794">
        <f>I292*$J$5</f>
        <v>0</v>
      </c>
      <c r="K292" s="795">
        <f>SUM(I292:J292)*$K$5</f>
        <v>0</v>
      </c>
      <c r="L292" s="795">
        <f>SUM(I292:K292)*$L$5</f>
        <v>0</v>
      </c>
      <c r="M292" s="795">
        <f>SUM(I292:L292)*$M$5</f>
        <v>0</v>
      </c>
      <c r="N292" s="795">
        <f>SUM(I292:M292)*$N$5</f>
        <v>0</v>
      </c>
      <c r="O292" s="794">
        <f>SUM(I292:N292)</f>
        <v>0</v>
      </c>
      <c r="P292" s="793">
        <f>ROUND(O292,-3)</f>
        <v>0</v>
      </c>
    </row>
    <row r="293" spans="2:16" s="426" customFormat="1" ht="12" thickBot="1" x14ac:dyDescent="0.25">
      <c r="B293" s="985"/>
      <c r="C293" s="982"/>
      <c r="D293" s="987"/>
      <c r="E293" s="988"/>
      <c r="F293" s="796"/>
      <c r="G293" s="797"/>
      <c r="H293" s="798"/>
      <c r="I293" s="799"/>
      <c r="J293" s="800"/>
      <c r="K293" s="801"/>
      <c r="L293" s="801"/>
      <c r="M293" s="801"/>
      <c r="N293" s="801"/>
      <c r="O293" s="800"/>
      <c r="P293" s="799"/>
    </row>
    <row r="294" spans="2:16" s="426" customFormat="1" ht="22.5" x14ac:dyDescent="0.2">
      <c r="B294" s="983" t="str">
        <f>'Detailed Matrix'!E43</f>
        <v>Heating &amp; colling to building</v>
      </c>
      <c r="C294" s="980" t="str">
        <f>'Detailed Matrix'!F42</f>
        <v>Stage 02a: Upgrades to Facades (heat retention &amp; air leakages)</v>
      </c>
      <c r="D294" s="991" t="s">
        <v>556</v>
      </c>
      <c r="E294" s="992"/>
      <c r="F294" s="993"/>
      <c r="G294" s="994"/>
      <c r="H294" s="995"/>
      <c r="I294" s="996"/>
      <c r="J294" s="997"/>
      <c r="K294" s="998"/>
      <c r="L294" s="998"/>
      <c r="M294" s="998"/>
      <c r="N294" s="998"/>
      <c r="O294" s="997"/>
      <c r="P294" s="996"/>
    </row>
    <row r="295" spans="2:16" s="426" customFormat="1" ht="11.25" x14ac:dyDescent="0.2">
      <c r="B295" s="984"/>
      <c r="C295" s="981"/>
      <c r="D295" s="986"/>
      <c r="E295" s="790">
        <v>1</v>
      </c>
      <c r="F295" s="791"/>
      <c r="G295" s="584"/>
      <c r="H295" s="792">
        <f t="shared" ref="H295:H298" si="45">E295*G295</f>
        <v>0</v>
      </c>
      <c r="I295" s="793"/>
      <c r="J295" s="794"/>
      <c r="K295" s="795"/>
      <c r="L295" s="795"/>
      <c r="M295" s="795"/>
      <c r="N295" s="795"/>
      <c r="O295" s="794"/>
      <c r="P295" s="793"/>
    </row>
    <row r="296" spans="2:16" s="426" customFormat="1" ht="11.25" x14ac:dyDescent="0.2">
      <c r="B296" s="984"/>
      <c r="C296" s="981"/>
      <c r="D296" s="986"/>
      <c r="E296" s="790">
        <v>1</v>
      </c>
      <c r="F296" s="791"/>
      <c r="G296" s="584"/>
      <c r="H296" s="792">
        <f t="shared" si="45"/>
        <v>0</v>
      </c>
      <c r="I296" s="793"/>
      <c r="J296" s="794"/>
      <c r="K296" s="795"/>
      <c r="L296" s="795"/>
      <c r="M296" s="795"/>
      <c r="N296" s="795"/>
      <c r="O296" s="794"/>
      <c r="P296" s="793"/>
    </row>
    <row r="297" spans="2:16" s="426" customFormat="1" ht="11.25" x14ac:dyDescent="0.2">
      <c r="B297" s="984"/>
      <c r="C297" s="981"/>
      <c r="D297" s="986" t="s">
        <v>558</v>
      </c>
      <c r="E297" s="790">
        <v>-1</v>
      </c>
      <c r="F297" s="791"/>
      <c r="G297" s="584">
        <f>I287</f>
        <v>0</v>
      </c>
      <c r="H297" s="792">
        <f t="shared" si="45"/>
        <v>0</v>
      </c>
      <c r="I297" s="793"/>
      <c r="J297" s="794"/>
      <c r="K297" s="795"/>
      <c r="L297" s="795"/>
      <c r="M297" s="795"/>
      <c r="N297" s="795"/>
      <c r="O297" s="794"/>
      <c r="P297" s="793"/>
    </row>
    <row r="298" spans="2:16" s="426" customFormat="1" ht="11.25" x14ac:dyDescent="0.2">
      <c r="B298" s="984"/>
      <c r="C298" s="981"/>
      <c r="D298" s="986"/>
      <c r="E298" s="790"/>
      <c r="F298" s="791"/>
      <c r="G298" s="584"/>
      <c r="H298" s="792">
        <f t="shared" si="45"/>
        <v>0</v>
      </c>
      <c r="I298" s="978">
        <f>SUM(H294:H298)</f>
        <v>0</v>
      </c>
      <c r="J298" s="794">
        <f>I298*$J$5</f>
        <v>0</v>
      </c>
      <c r="K298" s="795">
        <f>SUM(I298:J298)*$K$5</f>
        <v>0</v>
      </c>
      <c r="L298" s="795">
        <f>SUM(I298:K298)*$L$5</f>
        <v>0</v>
      </c>
      <c r="M298" s="795">
        <f>SUM(I298:L298)*$M$5</f>
        <v>0</v>
      </c>
      <c r="N298" s="795">
        <f>SUM(I298:M298)*$N$5</f>
        <v>0</v>
      </c>
      <c r="O298" s="794">
        <f>SUM(I298:N298)</f>
        <v>0</v>
      </c>
      <c r="P298" s="793">
        <f>ROUND(O298,-3)</f>
        <v>0</v>
      </c>
    </row>
    <row r="299" spans="2:16" s="426" customFormat="1" ht="11.25" x14ac:dyDescent="0.2">
      <c r="B299" s="984"/>
      <c r="C299" s="981"/>
      <c r="D299" s="986" t="s">
        <v>557</v>
      </c>
      <c r="E299" s="790"/>
      <c r="F299" s="791"/>
      <c r="G299" s="584"/>
      <c r="H299" s="792"/>
      <c r="I299" s="793"/>
      <c r="J299" s="794"/>
      <c r="K299" s="795"/>
      <c r="L299" s="795"/>
      <c r="M299" s="795"/>
      <c r="N299" s="795"/>
      <c r="O299" s="794"/>
      <c r="P299" s="793"/>
    </row>
    <row r="300" spans="2:16" s="426" customFormat="1" ht="11.25" x14ac:dyDescent="0.2">
      <c r="B300" s="984"/>
      <c r="C300" s="981"/>
      <c r="D300" s="986"/>
      <c r="E300" s="790">
        <v>1</v>
      </c>
      <c r="F300" s="791"/>
      <c r="G300" s="584"/>
      <c r="H300" s="792">
        <f>E300*G300</f>
        <v>0</v>
      </c>
      <c r="I300" s="793"/>
      <c r="J300" s="794"/>
      <c r="K300" s="795"/>
      <c r="L300" s="795"/>
      <c r="M300" s="795"/>
      <c r="N300" s="795"/>
      <c r="O300" s="794"/>
      <c r="P300" s="793"/>
    </row>
    <row r="301" spans="2:16" s="426" customFormat="1" ht="11.25" x14ac:dyDescent="0.2">
      <c r="B301" s="984"/>
      <c r="C301" s="981"/>
      <c r="D301" s="986"/>
      <c r="E301" s="790">
        <v>1</v>
      </c>
      <c r="F301" s="791"/>
      <c r="G301" s="584"/>
      <c r="H301" s="792">
        <f>E301*G301</f>
        <v>0</v>
      </c>
      <c r="I301" s="793"/>
      <c r="J301" s="794"/>
      <c r="K301" s="795"/>
      <c r="L301" s="795"/>
      <c r="M301" s="795"/>
      <c r="N301" s="795"/>
      <c r="O301" s="794"/>
      <c r="P301" s="793"/>
    </row>
    <row r="302" spans="2:16" s="426" customFormat="1" ht="11.25" x14ac:dyDescent="0.2">
      <c r="B302" s="984"/>
      <c r="C302" s="981"/>
      <c r="D302" s="986" t="s">
        <v>558</v>
      </c>
      <c r="E302" s="790">
        <v>-1</v>
      </c>
      <c r="F302" s="791"/>
      <c r="G302" s="584">
        <f>I292</f>
        <v>0</v>
      </c>
      <c r="H302" s="792">
        <f>E302*G302</f>
        <v>0</v>
      </c>
      <c r="I302" s="793"/>
      <c r="J302" s="794"/>
      <c r="K302" s="795"/>
      <c r="L302" s="795"/>
      <c r="M302" s="795"/>
      <c r="N302" s="795"/>
      <c r="O302" s="794"/>
      <c r="P302" s="793"/>
    </row>
    <row r="303" spans="2:16" s="426" customFormat="1" ht="11.25" x14ac:dyDescent="0.2">
      <c r="B303" s="984"/>
      <c r="C303" s="981"/>
      <c r="D303" s="986"/>
      <c r="E303" s="790">
        <v>1</v>
      </c>
      <c r="F303" s="791"/>
      <c r="G303" s="584"/>
      <c r="H303" s="792">
        <f t="shared" ref="H303" si="46">E303*G303</f>
        <v>0</v>
      </c>
      <c r="I303" s="979">
        <f>SUM(H299:H303)</f>
        <v>0</v>
      </c>
      <c r="J303" s="794">
        <f>I303*$J$5</f>
        <v>0</v>
      </c>
      <c r="K303" s="795">
        <f>SUM(I303:J303)*$K$5</f>
        <v>0</v>
      </c>
      <c r="L303" s="795">
        <f>SUM(I303:K303)*$L$5</f>
        <v>0</v>
      </c>
      <c r="M303" s="795">
        <f>SUM(I303:L303)*$M$5</f>
        <v>0</v>
      </c>
      <c r="N303" s="795">
        <f>SUM(I303:M303)*$N$5</f>
        <v>0</v>
      </c>
      <c r="O303" s="794">
        <f>SUM(I303:N303)</f>
        <v>0</v>
      </c>
      <c r="P303" s="793">
        <f>ROUND(O303,-3)</f>
        <v>0</v>
      </c>
    </row>
    <row r="305" spans="2:16" s="426" customFormat="1" ht="11.25" x14ac:dyDescent="0.2">
      <c r="B305" s="983" t="str">
        <f>'Detailed Matrix'!E44</f>
        <v>Heating &amp; colling to building</v>
      </c>
      <c r="C305" s="980" t="str">
        <f>'Detailed Matrix'!F43</f>
        <v>Stage 02b: Utilisation of natural ventilation</v>
      </c>
      <c r="D305" s="991" t="s">
        <v>556</v>
      </c>
      <c r="E305" s="992"/>
      <c r="F305" s="993"/>
      <c r="G305" s="994"/>
      <c r="H305" s="995"/>
      <c r="I305" s="996"/>
      <c r="J305" s="997"/>
      <c r="K305" s="998"/>
      <c r="L305" s="998"/>
      <c r="M305" s="998"/>
      <c r="N305" s="998"/>
      <c r="O305" s="997"/>
      <c r="P305" s="996"/>
    </row>
    <row r="306" spans="2:16" s="426" customFormat="1" ht="11.25" x14ac:dyDescent="0.2">
      <c r="B306" s="984"/>
      <c r="C306" s="981"/>
      <c r="D306" s="986"/>
      <c r="E306" s="790">
        <v>1</v>
      </c>
      <c r="F306" s="791"/>
      <c r="G306" s="584"/>
      <c r="H306" s="792">
        <f t="shared" ref="H306:H309" si="47">E306*G306</f>
        <v>0</v>
      </c>
      <c r="I306" s="793"/>
      <c r="J306" s="794"/>
      <c r="K306" s="795"/>
      <c r="L306" s="795"/>
      <c r="M306" s="795"/>
      <c r="N306" s="795"/>
      <c r="O306" s="794"/>
      <c r="P306" s="793"/>
    </row>
    <row r="307" spans="2:16" s="426" customFormat="1" ht="11.25" x14ac:dyDescent="0.2">
      <c r="B307" s="984"/>
      <c r="C307" s="981"/>
      <c r="D307" s="986"/>
      <c r="E307" s="790">
        <v>1</v>
      </c>
      <c r="F307" s="791"/>
      <c r="G307" s="584"/>
      <c r="H307" s="792">
        <f t="shared" si="47"/>
        <v>0</v>
      </c>
      <c r="I307" s="793"/>
      <c r="J307" s="794"/>
      <c r="K307" s="795"/>
      <c r="L307" s="795"/>
      <c r="M307" s="795"/>
      <c r="N307" s="795"/>
      <c r="O307" s="794"/>
      <c r="P307" s="793"/>
    </row>
    <row r="308" spans="2:16" s="426" customFormat="1" ht="11.25" x14ac:dyDescent="0.2">
      <c r="B308" s="984"/>
      <c r="C308" s="981"/>
      <c r="D308" s="986" t="s">
        <v>559</v>
      </c>
      <c r="E308" s="790">
        <v>-1</v>
      </c>
      <c r="F308" s="791"/>
      <c r="G308" s="584">
        <f>I298+I287</f>
        <v>0</v>
      </c>
      <c r="H308" s="792">
        <f t="shared" si="47"/>
        <v>0</v>
      </c>
      <c r="I308" s="793"/>
      <c r="J308" s="794"/>
      <c r="K308" s="795"/>
      <c r="L308" s="795"/>
      <c r="M308" s="795"/>
      <c r="N308" s="795"/>
      <c r="O308" s="794"/>
      <c r="P308" s="793"/>
    </row>
    <row r="309" spans="2:16" s="426" customFormat="1" ht="11.25" x14ac:dyDescent="0.2">
      <c r="B309" s="984"/>
      <c r="C309" s="981"/>
      <c r="D309" s="986"/>
      <c r="E309" s="790"/>
      <c r="F309" s="791"/>
      <c r="G309" s="584"/>
      <c r="H309" s="792">
        <f t="shared" si="47"/>
        <v>0</v>
      </c>
      <c r="I309" s="978">
        <f>SUM(H305:H309)</f>
        <v>0</v>
      </c>
      <c r="J309" s="794">
        <f>I309*$J$5</f>
        <v>0</v>
      </c>
      <c r="K309" s="795">
        <f>SUM(I309:J309)*$K$5</f>
        <v>0</v>
      </c>
      <c r="L309" s="795">
        <f>SUM(I309:K309)*$L$5</f>
        <v>0</v>
      </c>
      <c r="M309" s="795">
        <f>SUM(I309:L309)*$M$5</f>
        <v>0</v>
      </c>
      <c r="N309" s="795">
        <f>SUM(I309:M309)*$N$5</f>
        <v>0</v>
      </c>
      <c r="O309" s="794">
        <f>SUM(I309:N309)</f>
        <v>0</v>
      </c>
      <c r="P309" s="793">
        <f>ROUND(O309,-3)</f>
        <v>0</v>
      </c>
    </row>
    <row r="310" spans="2:16" s="426" customFormat="1" ht="11.25" x14ac:dyDescent="0.2">
      <c r="B310" s="984"/>
      <c r="C310" s="981"/>
      <c r="D310" s="986" t="s">
        <v>557</v>
      </c>
      <c r="E310" s="790"/>
      <c r="F310" s="791"/>
      <c r="G310" s="584"/>
      <c r="H310" s="792"/>
      <c r="I310" s="793"/>
      <c r="J310" s="794"/>
      <c r="K310" s="795"/>
      <c r="L310" s="795"/>
      <c r="M310" s="795"/>
      <c r="N310" s="795"/>
      <c r="O310" s="794"/>
      <c r="P310" s="793"/>
    </row>
    <row r="311" spans="2:16" s="426" customFormat="1" ht="11.25" x14ac:dyDescent="0.2">
      <c r="B311" s="984"/>
      <c r="C311" s="981"/>
      <c r="D311" s="986"/>
      <c r="E311" s="790">
        <v>1</v>
      </c>
      <c r="F311" s="791"/>
      <c r="G311" s="584"/>
      <c r="H311" s="792">
        <f>E311*G311</f>
        <v>0</v>
      </c>
      <c r="I311" s="793"/>
      <c r="J311" s="794"/>
      <c r="K311" s="795"/>
      <c r="L311" s="795"/>
      <c r="M311" s="795"/>
      <c r="N311" s="795"/>
      <c r="O311" s="794"/>
      <c r="P311" s="793"/>
    </row>
    <row r="312" spans="2:16" s="426" customFormat="1" ht="11.25" x14ac:dyDescent="0.2">
      <c r="B312" s="984"/>
      <c r="C312" s="981"/>
      <c r="D312" s="986"/>
      <c r="E312" s="790">
        <v>1</v>
      </c>
      <c r="F312" s="791"/>
      <c r="G312" s="584"/>
      <c r="H312" s="792">
        <f>E312*G312</f>
        <v>0</v>
      </c>
      <c r="I312" s="793"/>
      <c r="J312" s="794"/>
      <c r="K312" s="795"/>
      <c r="L312" s="795"/>
      <c r="M312" s="795"/>
      <c r="N312" s="795"/>
      <c r="O312" s="794"/>
      <c r="P312" s="793"/>
    </row>
    <row r="313" spans="2:16" s="426" customFormat="1" ht="11.25" x14ac:dyDescent="0.2">
      <c r="B313" s="984"/>
      <c r="C313" s="981"/>
      <c r="D313" s="986" t="s">
        <v>559</v>
      </c>
      <c r="E313" s="790">
        <v>-1</v>
      </c>
      <c r="F313" s="791"/>
      <c r="G313" s="584">
        <f>I303+I292</f>
        <v>0</v>
      </c>
      <c r="H313" s="792">
        <f>E313*G313</f>
        <v>0</v>
      </c>
      <c r="I313" s="793"/>
      <c r="J313" s="794"/>
      <c r="K313" s="795"/>
      <c r="L313" s="795"/>
      <c r="M313" s="795"/>
      <c r="N313" s="795"/>
      <c r="O313" s="794"/>
      <c r="P313" s="793"/>
    </row>
    <row r="314" spans="2:16" s="426" customFormat="1" ht="11.25" x14ac:dyDescent="0.2">
      <c r="B314" s="984"/>
      <c r="C314" s="981"/>
      <c r="D314" s="986"/>
      <c r="E314" s="790">
        <v>1</v>
      </c>
      <c r="F314" s="791"/>
      <c r="G314" s="584"/>
      <c r="H314" s="792">
        <f t="shared" ref="H314" si="48">E314*G314</f>
        <v>0</v>
      </c>
      <c r="I314" s="979">
        <f>SUM(H310:H314)</f>
        <v>0</v>
      </c>
      <c r="J314" s="794">
        <f>I314*$J$5</f>
        <v>0</v>
      </c>
      <c r="K314" s="795">
        <f>SUM(I314:J314)*$K$5</f>
        <v>0</v>
      </c>
      <c r="L314" s="795">
        <f>SUM(I314:K314)*$L$5</f>
        <v>0</v>
      </c>
      <c r="M314" s="795">
        <f>SUM(I314:L314)*$M$5</f>
        <v>0</v>
      </c>
      <c r="N314" s="795">
        <f>SUM(I314:M314)*$N$5</f>
        <v>0</v>
      </c>
      <c r="O314" s="794">
        <f>SUM(I314:N314)</f>
        <v>0</v>
      </c>
      <c r="P314" s="793">
        <f>ROUND(O314,-3)</f>
        <v>0</v>
      </c>
    </row>
    <row r="315" spans="2:16" s="426" customFormat="1" ht="12" thickBot="1" x14ac:dyDescent="0.25">
      <c r="B315" s="985"/>
      <c r="C315" s="982"/>
      <c r="D315" s="987"/>
      <c r="E315" s="988"/>
      <c r="F315" s="796"/>
      <c r="G315" s="797"/>
      <c r="H315" s="798"/>
      <c r="I315" s="799"/>
      <c r="J315" s="800"/>
      <c r="K315" s="801"/>
      <c r="L315" s="801"/>
      <c r="M315" s="801"/>
      <c r="N315" s="801"/>
      <c r="O315" s="800"/>
      <c r="P315" s="799"/>
    </row>
    <row r="316" spans="2:16" s="426" customFormat="1" ht="22.5" x14ac:dyDescent="0.2">
      <c r="B316" s="983" t="str">
        <f>'Detailed Matrix'!E45</f>
        <v>Heating &amp; colling to building</v>
      </c>
      <c r="C316" s="980" t="str">
        <f>'Detailed Matrix'!F44</f>
        <v>Stage 03: Low SFP 4 pipe fan coil units utilising collth available from district energy networkl</v>
      </c>
      <c r="D316" s="991" t="s">
        <v>556</v>
      </c>
      <c r="E316" s="992"/>
      <c r="F316" s="993"/>
      <c r="G316" s="994"/>
      <c r="H316" s="995"/>
      <c r="I316" s="996"/>
      <c r="J316" s="997"/>
      <c r="K316" s="998"/>
      <c r="L316" s="998"/>
      <c r="M316" s="998"/>
      <c r="N316" s="998"/>
      <c r="O316" s="997"/>
      <c r="P316" s="996"/>
    </row>
    <row r="317" spans="2:16" s="426" customFormat="1" ht="11.25" x14ac:dyDescent="0.2">
      <c r="B317" s="984"/>
      <c r="C317" s="981"/>
      <c r="D317" s="986"/>
      <c r="E317" s="790">
        <v>1</v>
      </c>
      <c r="F317" s="791"/>
      <c r="G317" s="584"/>
      <c r="H317" s="792">
        <f t="shared" ref="H317:H320" si="49">E317*G317</f>
        <v>0</v>
      </c>
      <c r="I317" s="793"/>
      <c r="J317" s="794"/>
      <c r="K317" s="795"/>
      <c r="L317" s="795"/>
      <c r="M317" s="795"/>
      <c r="N317" s="795"/>
      <c r="O317" s="794"/>
      <c r="P317" s="793"/>
    </row>
    <row r="318" spans="2:16" s="426" customFormat="1" ht="11.25" x14ac:dyDescent="0.2">
      <c r="B318" s="984"/>
      <c r="C318" s="981"/>
      <c r="D318" s="986"/>
      <c r="E318" s="790">
        <v>1</v>
      </c>
      <c r="F318" s="791"/>
      <c r="G318" s="584"/>
      <c r="H318" s="792">
        <f t="shared" si="49"/>
        <v>0</v>
      </c>
      <c r="I318" s="793"/>
      <c r="J318" s="794"/>
      <c r="K318" s="795"/>
      <c r="L318" s="795"/>
      <c r="M318" s="795"/>
      <c r="N318" s="795"/>
      <c r="O318" s="794"/>
      <c r="P318" s="793"/>
    </row>
    <row r="319" spans="2:16" s="426" customFormat="1" ht="11.25" x14ac:dyDescent="0.2">
      <c r="B319" s="984"/>
      <c r="C319" s="981"/>
      <c r="D319" s="986" t="s">
        <v>560</v>
      </c>
      <c r="E319" s="790">
        <v>-1</v>
      </c>
      <c r="F319" s="791"/>
      <c r="G319" s="584">
        <f>I309+I298+I287</f>
        <v>0</v>
      </c>
      <c r="H319" s="792">
        <f t="shared" si="49"/>
        <v>0</v>
      </c>
      <c r="I319" s="793"/>
      <c r="J319" s="794"/>
      <c r="K319" s="795"/>
      <c r="L319" s="795"/>
      <c r="M319" s="795"/>
      <c r="N319" s="795"/>
      <c r="O319" s="794"/>
      <c r="P319" s="793"/>
    </row>
    <row r="320" spans="2:16" s="426" customFormat="1" ht="11.25" x14ac:dyDescent="0.2">
      <c r="B320" s="984"/>
      <c r="C320" s="981"/>
      <c r="D320" s="986"/>
      <c r="E320" s="790"/>
      <c r="F320" s="791"/>
      <c r="G320" s="584"/>
      <c r="H320" s="792">
        <f t="shared" si="49"/>
        <v>0</v>
      </c>
      <c r="I320" s="978">
        <f>SUM(H316:H320)</f>
        <v>0</v>
      </c>
      <c r="J320" s="794">
        <f>I320*$J$5</f>
        <v>0</v>
      </c>
      <c r="K320" s="795">
        <f>SUM(I320:J320)*$K$5</f>
        <v>0</v>
      </c>
      <c r="L320" s="795">
        <f>SUM(I320:K320)*$L$5</f>
        <v>0</v>
      </c>
      <c r="M320" s="795">
        <f>SUM(I320:L320)*$M$5</f>
        <v>0</v>
      </c>
      <c r="N320" s="795">
        <f>SUM(I320:M320)*$N$5</f>
        <v>0</v>
      </c>
      <c r="O320" s="794">
        <f>SUM(I320:N320)</f>
        <v>0</v>
      </c>
      <c r="P320" s="793">
        <f>ROUND(O320,-3)</f>
        <v>0</v>
      </c>
    </row>
    <row r="321" spans="2:16" s="426" customFormat="1" ht="11.25" x14ac:dyDescent="0.2">
      <c r="B321" s="984"/>
      <c r="C321" s="981"/>
      <c r="D321" s="986" t="s">
        <v>557</v>
      </c>
      <c r="E321" s="790"/>
      <c r="F321" s="791"/>
      <c r="G321" s="584"/>
      <c r="H321" s="792"/>
      <c r="I321" s="793"/>
      <c r="J321" s="794"/>
      <c r="K321" s="795"/>
      <c r="L321" s="795"/>
      <c r="M321" s="795"/>
      <c r="N321" s="795"/>
      <c r="O321" s="794"/>
      <c r="P321" s="793"/>
    </row>
    <row r="322" spans="2:16" s="426" customFormat="1" ht="11.25" x14ac:dyDescent="0.2">
      <c r="B322" s="984"/>
      <c r="C322" s="981"/>
      <c r="D322" s="986"/>
      <c r="E322" s="790">
        <v>1</v>
      </c>
      <c r="F322" s="791"/>
      <c r="G322" s="584"/>
      <c r="H322" s="792">
        <f>E322*G322</f>
        <v>0</v>
      </c>
      <c r="I322" s="793"/>
      <c r="J322" s="794"/>
      <c r="K322" s="795"/>
      <c r="L322" s="795"/>
      <c r="M322" s="795"/>
      <c r="N322" s="795"/>
      <c r="O322" s="794"/>
      <c r="P322" s="793"/>
    </row>
    <row r="323" spans="2:16" s="426" customFormat="1" ht="11.25" x14ac:dyDescent="0.2">
      <c r="B323" s="984"/>
      <c r="C323" s="981"/>
      <c r="D323" s="986"/>
      <c r="E323" s="790">
        <v>1</v>
      </c>
      <c r="F323" s="791"/>
      <c r="G323" s="584"/>
      <c r="H323" s="792">
        <f>E323*G323</f>
        <v>0</v>
      </c>
      <c r="I323" s="793"/>
      <c r="J323" s="794"/>
      <c r="K323" s="795"/>
      <c r="L323" s="795"/>
      <c r="M323" s="795"/>
      <c r="N323" s="795"/>
      <c r="O323" s="794"/>
      <c r="P323" s="793"/>
    </row>
    <row r="324" spans="2:16" s="426" customFormat="1" ht="11.25" x14ac:dyDescent="0.2">
      <c r="B324" s="984"/>
      <c r="C324" s="981"/>
      <c r="D324" s="986" t="s">
        <v>560</v>
      </c>
      <c r="E324" s="790">
        <v>-1</v>
      </c>
      <c r="F324" s="791"/>
      <c r="G324" s="584">
        <f>I314+I303+I292</f>
        <v>0</v>
      </c>
      <c r="H324" s="792">
        <f>E324*G324</f>
        <v>0</v>
      </c>
      <c r="I324" s="793"/>
      <c r="J324" s="794"/>
      <c r="K324" s="795"/>
      <c r="L324" s="795"/>
      <c r="M324" s="795"/>
      <c r="N324" s="795"/>
      <c r="O324" s="794"/>
      <c r="P324" s="793"/>
    </row>
    <row r="325" spans="2:16" s="426" customFormat="1" ht="12" thickBot="1" x14ac:dyDescent="0.25">
      <c r="B325" s="985"/>
      <c r="C325" s="982"/>
      <c r="D325" s="987"/>
      <c r="E325" s="988">
        <v>1</v>
      </c>
      <c r="F325" s="796"/>
      <c r="G325" s="797"/>
      <c r="H325" s="798">
        <f t="shared" ref="H325" si="50">E325*G325</f>
        <v>0</v>
      </c>
      <c r="I325" s="999">
        <f>SUM(H321:H325)</f>
        <v>0</v>
      </c>
      <c r="J325" s="800">
        <f>I325*$J$5</f>
        <v>0</v>
      </c>
      <c r="K325" s="801">
        <f>SUM(I325:J325)*$K$5</f>
        <v>0</v>
      </c>
      <c r="L325" s="801">
        <f>SUM(I325:K325)*$L$5</f>
        <v>0</v>
      </c>
      <c r="M325" s="801">
        <f>SUM(I325:L325)*$M$5</f>
        <v>0</v>
      </c>
      <c r="N325" s="801">
        <f>SUM(I325:M325)*$N$5</f>
        <v>0</v>
      </c>
      <c r="O325" s="800">
        <f>SUM(I325:N325)</f>
        <v>0</v>
      </c>
      <c r="P325" s="799">
        <f>ROUND(O325,-3)</f>
        <v>0</v>
      </c>
    </row>
    <row r="326" spans="2:16" s="426" customFormat="1" ht="22.5" x14ac:dyDescent="0.2">
      <c r="B326" s="983" t="str">
        <f>'Detailed Matrix'!E46</f>
        <v>Heating &amp; colling to building</v>
      </c>
      <c r="C326" s="980" t="str">
        <f>'Detailed Matrix'!F45</f>
        <v>Stage 04: Low SFP 4 pipe fan coil units utilising collth available from ASHPs/Chillers</v>
      </c>
      <c r="D326" s="991" t="s">
        <v>556</v>
      </c>
      <c r="E326" s="992"/>
      <c r="F326" s="993"/>
      <c r="G326" s="994"/>
      <c r="H326" s="995"/>
      <c r="I326" s="996"/>
      <c r="J326" s="997"/>
      <c r="K326" s="998"/>
      <c r="L326" s="998"/>
      <c r="M326" s="998"/>
      <c r="N326" s="998"/>
      <c r="O326" s="997"/>
      <c r="P326" s="996"/>
    </row>
    <row r="327" spans="2:16" s="426" customFormat="1" ht="11.25" x14ac:dyDescent="0.2">
      <c r="B327" s="984"/>
      <c r="C327" s="981"/>
      <c r="D327" s="986"/>
      <c r="E327" s="790">
        <v>1</v>
      </c>
      <c r="F327" s="791"/>
      <c r="G327" s="584"/>
      <c r="H327" s="792">
        <f t="shared" ref="H327:H330" si="51">E327*G327</f>
        <v>0</v>
      </c>
      <c r="I327" s="793"/>
      <c r="J327" s="794"/>
      <c r="K327" s="795"/>
      <c r="L327" s="795"/>
      <c r="M327" s="795"/>
      <c r="N327" s="795"/>
      <c r="O327" s="794"/>
      <c r="P327" s="793"/>
    </row>
    <row r="328" spans="2:16" s="426" customFormat="1" ht="11.25" x14ac:dyDescent="0.2">
      <c r="B328" s="984"/>
      <c r="C328" s="981"/>
      <c r="D328" s="986"/>
      <c r="E328" s="790">
        <v>1</v>
      </c>
      <c r="F328" s="791"/>
      <c r="G328" s="584"/>
      <c r="H328" s="792">
        <f t="shared" si="51"/>
        <v>0</v>
      </c>
      <c r="I328" s="793"/>
      <c r="J328" s="794"/>
      <c r="K328" s="795"/>
      <c r="L328" s="795"/>
      <c r="M328" s="795"/>
      <c r="N328" s="795"/>
      <c r="O328" s="794"/>
      <c r="P328" s="793"/>
    </row>
    <row r="329" spans="2:16" s="426" customFormat="1" ht="11.25" x14ac:dyDescent="0.2">
      <c r="B329" s="984"/>
      <c r="C329" s="981"/>
      <c r="D329" s="986" t="s">
        <v>561</v>
      </c>
      <c r="E329" s="790">
        <v>-1</v>
      </c>
      <c r="F329" s="791"/>
      <c r="G329" s="584">
        <f>I320+I309+I298+I287</f>
        <v>0</v>
      </c>
      <c r="H329" s="792">
        <f t="shared" si="51"/>
        <v>0</v>
      </c>
      <c r="I329" s="793"/>
      <c r="J329" s="794"/>
      <c r="K329" s="795"/>
      <c r="L329" s="795"/>
      <c r="M329" s="795"/>
      <c r="N329" s="795"/>
      <c r="O329" s="794"/>
      <c r="P329" s="793"/>
    </row>
    <row r="330" spans="2:16" s="426" customFormat="1" ht="11.25" x14ac:dyDescent="0.2">
      <c r="B330" s="984"/>
      <c r="C330" s="981"/>
      <c r="D330" s="986"/>
      <c r="E330" s="790"/>
      <c r="F330" s="791"/>
      <c r="G330" s="584"/>
      <c r="H330" s="792">
        <f t="shared" si="51"/>
        <v>0</v>
      </c>
      <c r="I330" s="978">
        <f>SUM(H326:H330)</f>
        <v>0</v>
      </c>
      <c r="J330" s="794">
        <f>I330*$J$5</f>
        <v>0</v>
      </c>
      <c r="K330" s="795">
        <f>SUM(I330:J330)*$K$5</f>
        <v>0</v>
      </c>
      <c r="L330" s="795">
        <f>SUM(I330:K330)*$L$5</f>
        <v>0</v>
      </c>
      <c r="M330" s="795">
        <f>SUM(I330:L330)*$M$5</f>
        <v>0</v>
      </c>
      <c r="N330" s="795">
        <f>SUM(I330:M330)*$N$5</f>
        <v>0</v>
      </c>
      <c r="O330" s="794">
        <f>SUM(I330:N330)</f>
        <v>0</v>
      </c>
      <c r="P330" s="793">
        <f>ROUND(O330,-3)</f>
        <v>0</v>
      </c>
    </row>
    <row r="331" spans="2:16" s="426" customFormat="1" ht="11.25" x14ac:dyDescent="0.2">
      <c r="B331" s="984"/>
      <c r="C331" s="981"/>
      <c r="D331" s="986" t="s">
        <v>557</v>
      </c>
      <c r="E331" s="790"/>
      <c r="F331" s="791"/>
      <c r="G331" s="584"/>
      <c r="H331" s="792"/>
      <c r="I331" s="793"/>
      <c r="J331" s="794"/>
      <c r="K331" s="795"/>
      <c r="L331" s="795"/>
      <c r="M331" s="795"/>
      <c r="N331" s="795"/>
      <c r="O331" s="794"/>
      <c r="P331" s="793"/>
    </row>
    <row r="332" spans="2:16" s="426" customFormat="1" ht="11.25" x14ac:dyDescent="0.2">
      <c r="B332" s="984"/>
      <c r="C332" s="981"/>
      <c r="D332" s="986"/>
      <c r="E332" s="790">
        <v>1</v>
      </c>
      <c r="F332" s="791"/>
      <c r="G332" s="584"/>
      <c r="H332" s="792">
        <f>E332*G332</f>
        <v>0</v>
      </c>
      <c r="I332" s="793"/>
      <c r="J332" s="794"/>
      <c r="K332" s="795"/>
      <c r="L332" s="795"/>
      <c r="M332" s="795"/>
      <c r="N332" s="795"/>
      <c r="O332" s="794"/>
      <c r="P332" s="793"/>
    </row>
    <row r="333" spans="2:16" s="426" customFormat="1" ht="11.25" x14ac:dyDescent="0.2">
      <c r="B333" s="984"/>
      <c r="C333" s="981"/>
      <c r="D333" s="986"/>
      <c r="E333" s="790">
        <v>1</v>
      </c>
      <c r="F333" s="791"/>
      <c r="G333" s="584"/>
      <c r="H333" s="792">
        <f>E333*G333</f>
        <v>0</v>
      </c>
      <c r="I333" s="793"/>
      <c r="J333" s="794"/>
      <c r="K333" s="795"/>
      <c r="L333" s="795"/>
      <c r="M333" s="795"/>
      <c r="N333" s="795"/>
      <c r="O333" s="794"/>
      <c r="P333" s="793"/>
    </row>
    <row r="334" spans="2:16" s="426" customFormat="1" ht="11.25" x14ac:dyDescent="0.2">
      <c r="B334" s="984"/>
      <c r="C334" s="981"/>
      <c r="D334" s="986" t="s">
        <v>561</v>
      </c>
      <c r="E334" s="790">
        <v>-1</v>
      </c>
      <c r="F334" s="791"/>
      <c r="G334" s="584">
        <f>I325+I314+I303+I292</f>
        <v>0</v>
      </c>
      <c r="H334" s="792">
        <f>E334*G334</f>
        <v>0</v>
      </c>
      <c r="I334" s="793"/>
      <c r="J334" s="794"/>
      <c r="K334" s="795"/>
      <c r="L334" s="795"/>
      <c r="M334" s="795"/>
      <c r="N334" s="795"/>
      <c r="O334" s="794"/>
      <c r="P334" s="793"/>
    </row>
    <row r="335" spans="2:16" s="426" customFormat="1" ht="12" thickBot="1" x14ac:dyDescent="0.25">
      <c r="B335" s="985"/>
      <c r="C335" s="982"/>
      <c r="D335" s="987"/>
      <c r="E335" s="988">
        <v>1</v>
      </c>
      <c r="F335" s="796"/>
      <c r="G335" s="797"/>
      <c r="H335" s="798">
        <f t="shared" ref="H335" si="52">E335*G335</f>
        <v>0</v>
      </c>
      <c r="I335" s="999">
        <f>SUM(H331:H335)</f>
        <v>0</v>
      </c>
      <c r="J335" s="800">
        <f>I335*$J$5</f>
        <v>0</v>
      </c>
      <c r="K335" s="801">
        <f>SUM(I335:J335)*$K$5</f>
        <v>0</v>
      </c>
      <c r="L335" s="801">
        <f>SUM(I335:K335)*$L$5</f>
        <v>0</v>
      </c>
      <c r="M335" s="801">
        <f>SUM(I335:L335)*$M$5</f>
        <v>0</v>
      </c>
      <c r="N335" s="801">
        <f>SUM(I335:M335)*$N$5</f>
        <v>0</v>
      </c>
      <c r="O335" s="800">
        <f>SUM(I335:N335)</f>
        <v>0</v>
      </c>
      <c r="P335" s="799">
        <f>ROUND(O335,-3)</f>
        <v>0</v>
      </c>
    </row>
    <row r="336" spans="2:16" s="426" customFormat="1" ht="22.5" x14ac:dyDescent="0.2">
      <c r="B336" s="983" t="str">
        <f>'Detailed Matrix'!E46</f>
        <v>Heating &amp; colling to building</v>
      </c>
      <c r="C336" s="980" t="str">
        <f>'Detailed Matrix'!F46</f>
        <v>Stage 05: LTHW radiant heating in large communal areas</v>
      </c>
      <c r="D336" s="991" t="s">
        <v>556</v>
      </c>
      <c r="E336" s="992"/>
      <c r="F336" s="993"/>
      <c r="G336" s="994"/>
      <c r="H336" s="995"/>
      <c r="I336" s="996"/>
      <c r="J336" s="997"/>
      <c r="K336" s="998"/>
      <c r="L336" s="998"/>
      <c r="M336" s="998"/>
      <c r="N336" s="998"/>
      <c r="O336" s="997"/>
      <c r="P336" s="996"/>
    </row>
    <row r="337" spans="2:16" s="426" customFormat="1" ht="11.25" x14ac:dyDescent="0.2">
      <c r="B337" s="984"/>
      <c r="C337" s="981"/>
      <c r="D337" s="986"/>
      <c r="E337" s="790">
        <v>1</v>
      </c>
      <c r="F337" s="791"/>
      <c r="G337" s="584"/>
      <c r="H337" s="792">
        <f t="shared" ref="H337:H340" si="53">E337*G337</f>
        <v>0</v>
      </c>
      <c r="I337" s="793"/>
      <c r="J337" s="794"/>
      <c r="K337" s="795"/>
      <c r="L337" s="795"/>
      <c r="M337" s="795"/>
      <c r="N337" s="795"/>
      <c r="O337" s="794"/>
      <c r="P337" s="793"/>
    </row>
    <row r="338" spans="2:16" s="426" customFormat="1" ht="11.25" x14ac:dyDescent="0.2">
      <c r="B338" s="984"/>
      <c r="C338" s="981"/>
      <c r="D338" s="986"/>
      <c r="E338" s="790">
        <v>1</v>
      </c>
      <c r="F338" s="791"/>
      <c r="G338" s="584"/>
      <c r="H338" s="792">
        <f t="shared" si="53"/>
        <v>0</v>
      </c>
      <c r="I338" s="793"/>
      <c r="J338" s="794"/>
      <c r="K338" s="795"/>
      <c r="L338" s="795"/>
      <c r="M338" s="795"/>
      <c r="N338" s="795"/>
      <c r="O338" s="794"/>
      <c r="P338" s="793"/>
    </row>
    <row r="339" spans="2:16" s="426" customFormat="1" ht="11.25" x14ac:dyDescent="0.2">
      <c r="B339" s="984"/>
      <c r="C339" s="981"/>
      <c r="D339" s="986" t="s">
        <v>563</v>
      </c>
      <c r="E339" s="790">
        <v>-1</v>
      </c>
      <c r="F339" s="791"/>
      <c r="G339" s="584">
        <f>I330+I320+I309+I298+I287</f>
        <v>0</v>
      </c>
      <c r="H339" s="792">
        <f t="shared" si="53"/>
        <v>0</v>
      </c>
      <c r="I339" s="793"/>
      <c r="J339" s="794"/>
      <c r="K339" s="795"/>
      <c r="L339" s="795"/>
      <c r="M339" s="795"/>
      <c r="N339" s="795"/>
      <c r="O339" s="794"/>
      <c r="P339" s="793"/>
    </row>
    <row r="340" spans="2:16" s="426" customFormat="1" ht="11.25" x14ac:dyDescent="0.2">
      <c r="B340" s="984"/>
      <c r="C340" s="981"/>
      <c r="D340" s="986"/>
      <c r="E340" s="790"/>
      <c r="F340" s="791"/>
      <c r="G340" s="584"/>
      <c r="H340" s="792">
        <f t="shared" si="53"/>
        <v>0</v>
      </c>
      <c r="I340" s="978">
        <f>SUM(H336:H340)</f>
        <v>0</v>
      </c>
      <c r="J340" s="794">
        <f>I340*$J$5</f>
        <v>0</v>
      </c>
      <c r="K340" s="795">
        <f>SUM(I340:J340)*$K$5</f>
        <v>0</v>
      </c>
      <c r="L340" s="795">
        <f>SUM(I340:K340)*$L$5</f>
        <v>0</v>
      </c>
      <c r="M340" s="795">
        <f>SUM(I340:L340)*$M$5</f>
        <v>0</v>
      </c>
      <c r="N340" s="795">
        <f>SUM(I340:M340)*$N$5</f>
        <v>0</v>
      </c>
      <c r="O340" s="794">
        <f>SUM(I340:N340)</f>
        <v>0</v>
      </c>
      <c r="P340" s="793">
        <f>ROUND(O340,-3)</f>
        <v>0</v>
      </c>
    </row>
    <row r="341" spans="2:16" s="426" customFormat="1" ht="11.25" x14ac:dyDescent="0.2">
      <c r="B341" s="984"/>
      <c r="C341" s="981"/>
      <c r="D341" s="986" t="s">
        <v>557</v>
      </c>
      <c r="E341" s="790"/>
      <c r="F341" s="791"/>
      <c r="G341" s="584"/>
      <c r="H341" s="792"/>
      <c r="I341" s="793"/>
      <c r="J341" s="794"/>
      <c r="K341" s="795"/>
      <c r="L341" s="795"/>
      <c r="M341" s="795"/>
      <c r="N341" s="795"/>
      <c r="O341" s="794"/>
      <c r="P341" s="793"/>
    </row>
    <row r="342" spans="2:16" s="426" customFormat="1" ht="11.25" x14ac:dyDescent="0.2">
      <c r="B342" s="984"/>
      <c r="C342" s="981"/>
      <c r="D342" s="986"/>
      <c r="E342" s="790">
        <v>1</v>
      </c>
      <c r="F342" s="791"/>
      <c r="G342" s="584"/>
      <c r="H342" s="792">
        <f>E342*G342</f>
        <v>0</v>
      </c>
      <c r="I342" s="793"/>
      <c r="J342" s="794"/>
      <c r="K342" s="795"/>
      <c r="L342" s="795"/>
      <c r="M342" s="795"/>
      <c r="N342" s="795"/>
      <c r="O342" s="794"/>
      <c r="P342" s="793"/>
    </row>
    <row r="343" spans="2:16" s="426" customFormat="1" ht="11.25" x14ac:dyDescent="0.2">
      <c r="B343" s="984"/>
      <c r="C343" s="981"/>
      <c r="D343" s="986"/>
      <c r="E343" s="790">
        <v>1</v>
      </c>
      <c r="F343" s="791"/>
      <c r="G343" s="584"/>
      <c r="H343" s="792">
        <f>E343*G343</f>
        <v>0</v>
      </c>
      <c r="I343" s="793"/>
      <c r="J343" s="794"/>
      <c r="K343" s="795"/>
      <c r="L343" s="795"/>
      <c r="M343" s="795"/>
      <c r="N343" s="795"/>
      <c r="O343" s="794"/>
      <c r="P343" s="793"/>
    </row>
    <row r="344" spans="2:16" s="426" customFormat="1" ht="11.25" x14ac:dyDescent="0.2">
      <c r="B344" s="984"/>
      <c r="C344" s="981"/>
      <c r="D344" s="986" t="s">
        <v>563</v>
      </c>
      <c r="E344" s="790">
        <v>-1</v>
      </c>
      <c r="F344" s="791"/>
      <c r="G344" s="584">
        <f>I335+I325+I314+I303+I292</f>
        <v>0</v>
      </c>
      <c r="H344" s="792">
        <f>E344*G344</f>
        <v>0</v>
      </c>
      <c r="I344" s="793"/>
      <c r="J344" s="794"/>
      <c r="K344" s="795"/>
      <c r="L344" s="795"/>
      <c r="M344" s="795"/>
      <c r="N344" s="795"/>
      <c r="O344" s="794"/>
      <c r="P344" s="793"/>
    </row>
    <row r="345" spans="2:16" s="426" customFormat="1" ht="12" thickBot="1" x14ac:dyDescent="0.25">
      <c r="B345" s="985"/>
      <c r="C345" s="982"/>
      <c r="D345" s="987"/>
      <c r="E345" s="988">
        <v>1</v>
      </c>
      <c r="F345" s="796"/>
      <c r="G345" s="797"/>
      <c r="H345" s="798">
        <f t="shared" ref="H345:H350" si="54">E345*G345</f>
        <v>0</v>
      </c>
      <c r="I345" s="999">
        <f>SUM(H341:H345)</f>
        <v>0</v>
      </c>
      <c r="J345" s="800">
        <f>I345*$J$5</f>
        <v>0</v>
      </c>
      <c r="K345" s="801">
        <f>SUM(I345:J345)*$K$5</f>
        <v>0</v>
      </c>
      <c r="L345" s="801">
        <f>SUM(I345:K345)*$L$5</f>
        <v>0</v>
      </c>
      <c r="M345" s="801">
        <f>SUM(I345:L345)*$M$5</f>
        <v>0</v>
      </c>
      <c r="N345" s="801">
        <f>SUM(I345:M345)*$N$5</f>
        <v>0</v>
      </c>
      <c r="O345" s="800">
        <f>SUM(I345:N345)</f>
        <v>0</v>
      </c>
      <c r="P345" s="799">
        <f>ROUND(O345,-3)</f>
        <v>0</v>
      </c>
    </row>
    <row r="346" spans="2:16" s="426" customFormat="1" ht="22.5" x14ac:dyDescent="0.2">
      <c r="B346" s="983" t="str">
        <f>'Detailed Matrix'!E48</f>
        <v>Ventilation Systems</v>
      </c>
      <c r="C346" s="980" t="str">
        <f>'Detailed Matrix'!F48</f>
        <v>TRD Option 01: Local MVHR units with PHX heat recovery operating on trickle/ boost basis</v>
      </c>
      <c r="D346" s="991" t="s">
        <v>556</v>
      </c>
      <c r="E346" s="992">
        <v>1</v>
      </c>
      <c r="F346" s="993"/>
      <c r="G346" s="994"/>
      <c r="H346" s="995">
        <f t="shared" si="54"/>
        <v>0</v>
      </c>
      <c r="I346" s="996"/>
      <c r="J346" s="997"/>
      <c r="K346" s="998"/>
      <c r="L346" s="998"/>
      <c r="M346" s="998"/>
      <c r="N346" s="998"/>
      <c r="O346" s="997"/>
      <c r="P346" s="996"/>
    </row>
    <row r="347" spans="2:16" s="426" customFormat="1" ht="11.25" x14ac:dyDescent="0.2">
      <c r="B347" s="984"/>
      <c r="C347" s="981"/>
      <c r="D347" s="986"/>
      <c r="E347" s="790">
        <v>1</v>
      </c>
      <c r="F347" s="791"/>
      <c r="G347" s="584"/>
      <c r="H347" s="792">
        <f t="shared" si="54"/>
        <v>0</v>
      </c>
      <c r="I347" s="793"/>
      <c r="J347" s="794"/>
      <c r="K347" s="795"/>
      <c r="L347" s="795"/>
      <c r="M347" s="795"/>
      <c r="N347" s="795"/>
      <c r="O347" s="794"/>
      <c r="P347" s="793"/>
    </row>
    <row r="348" spans="2:16" s="426" customFormat="1" ht="11.25" x14ac:dyDescent="0.2">
      <c r="B348" s="984"/>
      <c r="C348" s="981"/>
      <c r="D348" s="986"/>
      <c r="E348" s="790">
        <v>1</v>
      </c>
      <c r="F348" s="791"/>
      <c r="G348" s="584"/>
      <c r="H348" s="792">
        <f t="shared" si="54"/>
        <v>0</v>
      </c>
      <c r="I348" s="793"/>
      <c r="J348" s="794"/>
      <c r="K348" s="795"/>
      <c r="L348" s="795"/>
      <c r="M348" s="795"/>
      <c r="N348" s="795"/>
      <c r="O348" s="794"/>
      <c r="P348" s="793"/>
    </row>
    <row r="349" spans="2:16" s="426" customFormat="1" ht="11.25" x14ac:dyDescent="0.2">
      <c r="B349" s="984"/>
      <c r="C349" s="981"/>
      <c r="D349" s="986"/>
      <c r="E349" s="790">
        <v>1</v>
      </c>
      <c r="F349" s="791"/>
      <c r="G349" s="584"/>
      <c r="H349" s="792">
        <f t="shared" si="54"/>
        <v>0</v>
      </c>
      <c r="I349" s="793"/>
      <c r="J349" s="794"/>
      <c r="K349" s="795"/>
      <c r="L349" s="795"/>
      <c r="M349" s="795"/>
      <c r="N349" s="795"/>
      <c r="O349" s="794"/>
      <c r="P349" s="793"/>
    </row>
    <row r="350" spans="2:16" s="426" customFormat="1" ht="11.25" x14ac:dyDescent="0.2">
      <c r="B350" s="984"/>
      <c r="C350" s="981"/>
      <c r="D350" s="986"/>
      <c r="E350" s="790">
        <v>1</v>
      </c>
      <c r="F350" s="791"/>
      <c r="G350" s="584"/>
      <c r="H350" s="792">
        <f t="shared" si="54"/>
        <v>0</v>
      </c>
      <c r="I350" s="793">
        <f>SUM(H346:H350)</f>
        <v>0</v>
      </c>
      <c r="J350" s="794">
        <f>I350*$J$5</f>
        <v>0</v>
      </c>
      <c r="K350" s="795">
        <f>SUM(I350:J350)*$K$5</f>
        <v>0</v>
      </c>
      <c r="L350" s="795">
        <f>SUM(I350:K350)*$L$5</f>
        <v>0</v>
      </c>
      <c r="M350" s="795">
        <f>SUM(I350:L350)*$M$5</f>
        <v>0</v>
      </c>
      <c r="N350" s="795">
        <f>SUM(I350:M350)*$N$5</f>
        <v>0</v>
      </c>
      <c r="O350" s="794">
        <f>SUM(I350:N350)</f>
        <v>0</v>
      </c>
      <c r="P350" s="793">
        <f>ROUND(O350,-3)</f>
        <v>0</v>
      </c>
    </row>
    <row r="351" spans="2:16" s="426" customFormat="1" ht="11.25" x14ac:dyDescent="0.2">
      <c r="B351" s="984"/>
      <c r="C351" s="981"/>
      <c r="D351" s="986"/>
      <c r="E351" s="790"/>
      <c r="F351" s="791"/>
      <c r="G351" s="584"/>
      <c r="H351" s="792"/>
      <c r="I351" s="793"/>
      <c r="J351" s="794"/>
      <c r="K351" s="795"/>
      <c r="L351" s="795"/>
      <c r="M351" s="795"/>
      <c r="N351" s="795"/>
      <c r="O351" s="794"/>
      <c r="P351" s="793"/>
    </row>
    <row r="352" spans="2:16" s="426" customFormat="1" ht="11.25" x14ac:dyDescent="0.2">
      <c r="B352" s="984"/>
      <c r="C352" s="981"/>
      <c r="D352" s="986" t="s">
        <v>557</v>
      </c>
      <c r="E352" s="790">
        <v>1</v>
      </c>
      <c r="F352" s="791"/>
      <c r="G352" s="584"/>
      <c r="H352" s="792">
        <f t="shared" ref="H352:H355" si="55">E352*G352</f>
        <v>0</v>
      </c>
      <c r="I352" s="793"/>
      <c r="J352" s="794"/>
      <c r="K352" s="795"/>
      <c r="L352" s="795"/>
      <c r="M352" s="795"/>
      <c r="N352" s="795"/>
      <c r="O352" s="794"/>
      <c r="P352" s="793"/>
    </row>
    <row r="353" spans="2:16" s="426" customFormat="1" ht="11.25" x14ac:dyDescent="0.2">
      <c r="B353" s="984"/>
      <c r="C353" s="981"/>
      <c r="D353" s="986"/>
      <c r="E353" s="790">
        <v>1</v>
      </c>
      <c r="F353" s="791"/>
      <c r="G353" s="584"/>
      <c r="H353" s="792">
        <f t="shared" si="55"/>
        <v>0</v>
      </c>
      <c r="I353" s="793"/>
      <c r="J353" s="794"/>
      <c r="K353" s="795"/>
      <c r="L353" s="795"/>
      <c r="M353" s="795"/>
      <c r="N353" s="795"/>
      <c r="O353" s="794"/>
      <c r="P353" s="793"/>
    </row>
    <row r="354" spans="2:16" s="426" customFormat="1" ht="11.25" x14ac:dyDescent="0.2">
      <c r="B354" s="984"/>
      <c r="C354" s="981"/>
      <c r="D354" s="986"/>
      <c r="E354" s="790">
        <v>1</v>
      </c>
      <c r="F354" s="791"/>
      <c r="G354" s="584"/>
      <c r="H354" s="792">
        <f t="shared" si="55"/>
        <v>0</v>
      </c>
      <c r="I354" s="793"/>
      <c r="J354" s="794"/>
      <c r="K354" s="795"/>
      <c r="L354" s="795"/>
      <c r="M354" s="795"/>
      <c r="N354" s="795"/>
      <c r="O354" s="794"/>
      <c r="P354" s="793"/>
    </row>
    <row r="355" spans="2:16" s="426" customFormat="1" ht="11.25" x14ac:dyDescent="0.2">
      <c r="B355" s="984"/>
      <c r="C355" s="981"/>
      <c r="D355" s="986"/>
      <c r="E355" s="790">
        <v>1</v>
      </c>
      <c r="F355" s="791"/>
      <c r="G355" s="584"/>
      <c r="H355" s="792">
        <f t="shared" si="55"/>
        <v>0</v>
      </c>
      <c r="I355" s="793">
        <f>SUM(H352:H355)</f>
        <v>0</v>
      </c>
      <c r="J355" s="794">
        <f>I355*$J$5</f>
        <v>0</v>
      </c>
      <c r="K355" s="795">
        <f>SUM(I355:J355)*$K$5</f>
        <v>0</v>
      </c>
      <c r="L355" s="795">
        <f>SUM(I355:K355)*$L$5</f>
        <v>0</v>
      </c>
      <c r="M355" s="795">
        <f>SUM(I355:L355)*$M$5</f>
        <v>0</v>
      </c>
      <c r="N355" s="795">
        <f>SUM(I355:M355)*$N$5</f>
        <v>0</v>
      </c>
      <c r="O355" s="794">
        <f>SUM(I355:N355)</f>
        <v>0</v>
      </c>
      <c r="P355" s="793">
        <f>ROUND(O355,-3)</f>
        <v>0</v>
      </c>
    </row>
    <row r="356" spans="2:16" s="426" customFormat="1" ht="12" thickBot="1" x14ac:dyDescent="0.25">
      <c r="B356" s="985"/>
      <c r="C356" s="982"/>
      <c r="D356" s="987"/>
      <c r="E356" s="988"/>
      <c r="F356" s="796"/>
      <c r="G356" s="797"/>
      <c r="H356" s="798"/>
      <c r="I356" s="799"/>
      <c r="J356" s="800"/>
      <c r="K356" s="801"/>
      <c r="L356" s="801"/>
      <c r="M356" s="801"/>
      <c r="N356" s="801"/>
      <c r="O356" s="800"/>
      <c r="P356" s="799"/>
    </row>
    <row r="357" spans="2:16" s="426" customFormat="1" ht="45" x14ac:dyDescent="0.2">
      <c r="B357" s="983" t="str">
        <f>'Detailed Matrix'!E49</f>
        <v>Ventilation Systems</v>
      </c>
      <c r="C357" s="980" t="str">
        <f>'Detailed Matrix'!F49</f>
        <v>Stage 01: Minimising volume of air that needs to be moved (with consideration to wellbeing) including fan power consumption and use of natural ventilation</v>
      </c>
      <c r="D357" s="991" t="s">
        <v>556</v>
      </c>
      <c r="E357" s="992">
        <v>1</v>
      </c>
      <c r="F357" s="993"/>
      <c r="G357" s="994"/>
      <c r="H357" s="995">
        <f t="shared" ref="H357:H361" si="56">E357*G357</f>
        <v>0</v>
      </c>
      <c r="I357" s="996"/>
      <c r="J357" s="997"/>
      <c r="K357" s="998"/>
      <c r="L357" s="998"/>
      <c r="M357" s="998"/>
      <c r="N357" s="998"/>
      <c r="O357" s="997"/>
      <c r="P357" s="996"/>
    </row>
    <row r="358" spans="2:16" s="426" customFormat="1" ht="11.25" x14ac:dyDescent="0.2">
      <c r="B358" s="984"/>
      <c r="C358" s="981"/>
      <c r="D358" s="986"/>
      <c r="E358" s="790">
        <v>1</v>
      </c>
      <c r="F358" s="791"/>
      <c r="G358" s="584"/>
      <c r="H358" s="792">
        <f t="shared" si="56"/>
        <v>0</v>
      </c>
      <c r="I358" s="793"/>
      <c r="J358" s="794"/>
      <c r="K358" s="795"/>
      <c r="L358" s="795"/>
      <c r="M358" s="795"/>
      <c r="N358" s="795"/>
      <c r="O358" s="794"/>
      <c r="P358" s="793"/>
    </row>
    <row r="359" spans="2:16" s="426" customFormat="1" ht="11.25" x14ac:dyDescent="0.2">
      <c r="B359" s="984"/>
      <c r="C359" s="981"/>
      <c r="D359" s="986"/>
      <c r="E359" s="790">
        <v>1</v>
      </c>
      <c r="F359" s="791"/>
      <c r="G359" s="584"/>
      <c r="H359" s="792">
        <f t="shared" si="56"/>
        <v>0</v>
      </c>
      <c r="I359" s="793"/>
      <c r="J359" s="794"/>
      <c r="K359" s="795"/>
      <c r="L359" s="795"/>
      <c r="M359" s="795"/>
      <c r="N359" s="795"/>
      <c r="O359" s="794"/>
      <c r="P359" s="793"/>
    </row>
    <row r="360" spans="2:16" s="426" customFormat="1" ht="11.25" x14ac:dyDescent="0.2">
      <c r="B360" s="984"/>
      <c r="C360" s="981"/>
      <c r="D360" s="986"/>
      <c r="E360" s="790">
        <v>1</v>
      </c>
      <c r="F360" s="791"/>
      <c r="G360" s="584"/>
      <c r="H360" s="792">
        <f t="shared" si="56"/>
        <v>0</v>
      </c>
      <c r="I360" s="793"/>
      <c r="J360" s="794"/>
      <c r="K360" s="795"/>
      <c r="L360" s="795"/>
      <c r="M360" s="795"/>
      <c r="N360" s="795"/>
      <c r="O360" s="794"/>
      <c r="P360" s="793"/>
    </row>
    <row r="361" spans="2:16" s="426" customFormat="1" ht="11.25" x14ac:dyDescent="0.2">
      <c r="B361" s="984"/>
      <c r="C361" s="981"/>
      <c r="D361" s="986"/>
      <c r="E361" s="790">
        <v>1</v>
      </c>
      <c r="F361" s="791"/>
      <c r="G361" s="584"/>
      <c r="H361" s="792">
        <f t="shared" si="56"/>
        <v>0</v>
      </c>
      <c r="I361" s="793">
        <f>SUM(H357:H361)</f>
        <v>0</v>
      </c>
      <c r="J361" s="794">
        <f>I361*$J$5</f>
        <v>0</v>
      </c>
      <c r="K361" s="795">
        <f>SUM(I361:J361)*$K$5</f>
        <v>0</v>
      </c>
      <c r="L361" s="795">
        <f>SUM(I361:K361)*$L$5</f>
        <v>0</v>
      </c>
      <c r="M361" s="795">
        <f>SUM(I361:L361)*$M$5</f>
        <v>0</v>
      </c>
      <c r="N361" s="795">
        <f>SUM(I361:M361)*$N$5</f>
        <v>0</v>
      </c>
      <c r="O361" s="794">
        <f>SUM(I361:N361)</f>
        <v>0</v>
      </c>
      <c r="P361" s="793">
        <f>ROUND(O361,-3)</f>
        <v>0</v>
      </c>
    </row>
    <row r="362" spans="2:16" s="426" customFormat="1" ht="11.25" x14ac:dyDescent="0.2">
      <c r="B362" s="984"/>
      <c r="C362" s="981"/>
      <c r="D362" s="986"/>
      <c r="E362" s="790"/>
      <c r="F362" s="791"/>
      <c r="G362" s="584"/>
      <c r="H362" s="792"/>
      <c r="I362" s="793"/>
      <c r="J362" s="794"/>
      <c r="K362" s="795"/>
      <c r="L362" s="795"/>
      <c r="M362" s="795"/>
      <c r="N362" s="795"/>
      <c r="O362" s="794"/>
      <c r="P362" s="793"/>
    </row>
    <row r="363" spans="2:16" s="426" customFormat="1" ht="11.25" x14ac:dyDescent="0.2">
      <c r="B363" s="984"/>
      <c r="C363" s="981"/>
      <c r="D363" s="986" t="s">
        <v>557</v>
      </c>
      <c r="E363" s="790">
        <v>1</v>
      </c>
      <c r="F363" s="791"/>
      <c r="G363" s="584"/>
      <c r="H363" s="792">
        <f t="shared" ref="H363:H366" si="57">E363*G363</f>
        <v>0</v>
      </c>
      <c r="I363" s="793"/>
      <c r="J363" s="794"/>
      <c r="K363" s="795"/>
      <c r="L363" s="795"/>
      <c r="M363" s="795"/>
      <c r="N363" s="795"/>
      <c r="O363" s="794"/>
      <c r="P363" s="793"/>
    </row>
    <row r="364" spans="2:16" s="426" customFormat="1" ht="11.25" x14ac:dyDescent="0.2">
      <c r="B364" s="984"/>
      <c r="C364" s="981"/>
      <c r="D364" s="986"/>
      <c r="E364" s="790">
        <v>1</v>
      </c>
      <c r="F364" s="791"/>
      <c r="G364" s="584"/>
      <c r="H364" s="792">
        <f t="shared" si="57"/>
        <v>0</v>
      </c>
      <c r="I364" s="793"/>
      <c r="J364" s="794"/>
      <c r="K364" s="795"/>
      <c r="L364" s="795"/>
      <c r="M364" s="795"/>
      <c r="N364" s="795"/>
      <c r="O364" s="794"/>
      <c r="P364" s="793"/>
    </row>
    <row r="365" spans="2:16" s="426" customFormat="1" ht="11.25" x14ac:dyDescent="0.2">
      <c r="B365" s="984"/>
      <c r="C365" s="981"/>
      <c r="D365" s="986"/>
      <c r="E365" s="790">
        <v>1</v>
      </c>
      <c r="F365" s="791"/>
      <c r="G365" s="584"/>
      <c r="H365" s="792">
        <f t="shared" si="57"/>
        <v>0</v>
      </c>
      <c r="I365" s="793"/>
      <c r="J365" s="794"/>
      <c r="K365" s="795"/>
      <c r="L365" s="795"/>
      <c r="M365" s="795"/>
      <c r="N365" s="795"/>
      <c r="O365" s="794"/>
      <c r="P365" s="793"/>
    </row>
    <row r="366" spans="2:16" s="426" customFormat="1" ht="12" thickBot="1" x14ac:dyDescent="0.25">
      <c r="B366" s="985"/>
      <c r="C366" s="982"/>
      <c r="D366" s="987"/>
      <c r="E366" s="988">
        <v>1</v>
      </c>
      <c r="F366" s="796"/>
      <c r="G366" s="797"/>
      <c r="H366" s="798">
        <f t="shared" si="57"/>
        <v>0</v>
      </c>
      <c r="I366" s="799">
        <f>SUM(H363:H366)</f>
        <v>0</v>
      </c>
      <c r="J366" s="800">
        <f>I366*$J$5</f>
        <v>0</v>
      </c>
      <c r="K366" s="801">
        <f>SUM(I366:J366)*$K$5</f>
        <v>0</v>
      </c>
      <c r="L366" s="801">
        <f>SUM(I366:K366)*$L$5</f>
        <v>0</v>
      </c>
      <c r="M366" s="801">
        <f>SUM(I366:L366)*$M$5</f>
        <v>0</v>
      </c>
      <c r="N366" s="801">
        <f>SUM(I366:M366)*$N$5</f>
        <v>0</v>
      </c>
      <c r="O366" s="800">
        <f>SUM(I366:N366)</f>
        <v>0</v>
      </c>
      <c r="P366" s="799">
        <f>ROUND(O366,-3)</f>
        <v>0</v>
      </c>
    </row>
    <row r="367" spans="2:16" s="426" customFormat="1" ht="33.75" x14ac:dyDescent="0.2">
      <c r="B367" s="983" t="str">
        <f>'Detailed Matrix'!E49</f>
        <v>Ventilation Systems</v>
      </c>
      <c r="C367" s="980" t="str">
        <f>'Detailed Matrix'!F50</f>
        <v>Stage 02: Mixed mode ventilation with smart controls to minimise reliance on mechanical ventilation (may also provide cooling benfit)</v>
      </c>
      <c r="D367" s="991" t="s">
        <v>556</v>
      </c>
      <c r="E367" s="992"/>
      <c r="F367" s="993"/>
      <c r="G367" s="994"/>
      <c r="H367" s="995"/>
      <c r="I367" s="996"/>
      <c r="J367" s="997"/>
      <c r="K367" s="998"/>
      <c r="L367" s="998"/>
      <c r="M367" s="998"/>
      <c r="N367" s="998"/>
      <c r="O367" s="997"/>
      <c r="P367" s="996"/>
    </row>
    <row r="368" spans="2:16" s="426" customFormat="1" ht="11.25" x14ac:dyDescent="0.2">
      <c r="B368" s="984"/>
      <c r="C368" s="981"/>
      <c r="D368" s="986"/>
      <c r="E368" s="790">
        <v>1</v>
      </c>
      <c r="F368" s="791"/>
      <c r="G368" s="584"/>
      <c r="H368" s="792">
        <f t="shared" ref="H368:H371" si="58">E368*G368</f>
        <v>0</v>
      </c>
      <c r="I368" s="793"/>
      <c r="J368" s="794"/>
      <c r="K368" s="795"/>
      <c r="L368" s="795"/>
      <c r="M368" s="795"/>
      <c r="N368" s="795"/>
      <c r="O368" s="794"/>
      <c r="P368" s="793"/>
    </row>
    <row r="369" spans="2:16" s="426" customFormat="1" ht="11.25" x14ac:dyDescent="0.2">
      <c r="B369" s="984"/>
      <c r="C369" s="981"/>
      <c r="D369" s="986"/>
      <c r="E369" s="790">
        <v>1</v>
      </c>
      <c r="F369" s="791"/>
      <c r="G369" s="584"/>
      <c r="H369" s="792">
        <f t="shared" si="58"/>
        <v>0</v>
      </c>
      <c r="I369" s="793"/>
      <c r="J369" s="794"/>
      <c r="K369" s="795"/>
      <c r="L369" s="795"/>
      <c r="M369" s="795"/>
      <c r="N369" s="795"/>
      <c r="O369" s="794"/>
      <c r="P369" s="793"/>
    </row>
    <row r="370" spans="2:16" s="426" customFormat="1" ht="11.25" x14ac:dyDescent="0.2">
      <c r="B370" s="984"/>
      <c r="C370" s="981"/>
      <c r="D370" s="986" t="s">
        <v>558</v>
      </c>
      <c r="E370" s="790">
        <v>-1</v>
      </c>
      <c r="F370" s="791"/>
      <c r="G370" s="584">
        <f>I361</f>
        <v>0</v>
      </c>
      <c r="H370" s="792">
        <f t="shared" si="58"/>
        <v>0</v>
      </c>
      <c r="I370" s="793"/>
      <c r="J370" s="794"/>
      <c r="K370" s="795"/>
      <c r="L370" s="795"/>
      <c r="M370" s="795"/>
      <c r="N370" s="795"/>
      <c r="O370" s="794"/>
      <c r="P370" s="793"/>
    </row>
    <row r="371" spans="2:16" s="426" customFormat="1" ht="11.25" x14ac:dyDescent="0.2">
      <c r="B371" s="984"/>
      <c r="C371" s="981"/>
      <c r="D371" s="986"/>
      <c r="E371" s="790"/>
      <c r="F371" s="791"/>
      <c r="G371" s="584"/>
      <c r="H371" s="792">
        <f t="shared" si="58"/>
        <v>0</v>
      </c>
      <c r="I371" s="978">
        <f>SUM(H367:H371)</f>
        <v>0</v>
      </c>
      <c r="J371" s="794">
        <f>I371*$J$5</f>
        <v>0</v>
      </c>
      <c r="K371" s="795">
        <f>SUM(I371:J371)*$K$5</f>
        <v>0</v>
      </c>
      <c r="L371" s="795">
        <f>SUM(I371:K371)*$L$5</f>
        <v>0</v>
      </c>
      <c r="M371" s="795">
        <f>SUM(I371:L371)*$M$5</f>
        <v>0</v>
      </c>
      <c r="N371" s="795">
        <f>SUM(I371:M371)*$N$5</f>
        <v>0</v>
      </c>
      <c r="O371" s="794">
        <f>SUM(I371:N371)</f>
        <v>0</v>
      </c>
      <c r="P371" s="793">
        <f>ROUND(O371,-3)</f>
        <v>0</v>
      </c>
    </row>
    <row r="372" spans="2:16" s="426" customFormat="1" ht="11.25" x14ac:dyDescent="0.2">
      <c r="B372" s="984"/>
      <c r="C372" s="981"/>
      <c r="D372" s="986" t="s">
        <v>557</v>
      </c>
      <c r="E372" s="790"/>
      <c r="F372" s="791"/>
      <c r="G372" s="584"/>
      <c r="H372" s="792"/>
      <c r="I372" s="793"/>
      <c r="J372" s="794"/>
      <c r="K372" s="795"/>
      <c r="L372" s="795"/>
      <c r="M372" s="795"/>
      <c r="N372" s="795"/>
      <c r="O372" s="794"/>
      <c r="P372" s="793"/>
    </row>
    <row r="373" spans="2:16" s="426" customFormat="1" ht="11.25" x14ac:dyDescent="0.2">
      <c r="B373" s="984"/>
      <c r="C373" s="981"/>
      <c r="D373" s="986"/>
      <c r="E373" s="790">
        <v>1</v>
      </c>
      <c r="F373" s="791"/>
      <c r="G373" s="584"/>
      <c r="H373" s="792">
        <f>E373*G373</f>
        <v>0</v>
      </c>
      <c r="I373" s="793"/>
      <c r="J373" s="794"/>
      <c r="K373" s="795"/>
      <c r="L373" s="795"/>
      <c r="M373" s="795"/>
      <c r="N373" s="795"/>
      <c r="O373" s="794"/>
      <c r="P373" s="793"/>
    </row>
    <row r="374" spans="2:16" s="426" customFormat="1" ht="11.25" x14ac:dyDescent="0.2">
      <c r="B374" s="984"/>
      <c r="C374" s="981"/>
      <c r="D374" s="986"/>
      <c r="E374" s="790">
        <v>1</v>
      </c>
      <c r="F374" s="791"/>
      <c r="G374" s="584"/>
      <c r="H374" s="792">
        <f>E374*G374</f>
        <v>0</v>
      </c>
      <c r="I374" s="793"/>
      <c r="J374" s="794"/>
      <c r="K374" s="795"/>
      <c r="L374" s="795"/>
      <c r="M374" s="795"/>
      <c r="N374" s="795"/>
      <c r="O374" s="794"/>
      <c r="P374" s="793"/>
    </row>
    <row r="375" spans="2:16" s="426" customFormat="1" ht="11.25" x14ac:dyDescent="0.2">
      <c r="B375" s="984"/>
      <c r="C375" s="981"/>
      <c r="D375" s="986" t="s">
        <v>558</v>
      </c>
      <c r="E375" s="790">
        <v>-1</v>
      </c>
      <c r="F375" s="791"/>
      <c r="G375" s="584">
        <f>I366</f>
        <v>0</v>
      </c>
      <c r="H375" s="792">
        <f>E375*G375</f>
        <v>0</v>
      </c>
      <c r="I375" s="793"/>
      <c r="J375" s="794"/>
      <c r="K375" s="795"/>
      <c r="L375" s="795"/>
      <c r="M375" s="795"/>
      <c r="N375" s="795"/>
      <c r="O375" s="794"/>
      <c r="P375" s="793"/>
    </row>
    <row r="376" spans="2:16" s="426" customFormat="1" ht="11.25" x14ac:dyDescent="0.2">
      <c r="B376" s="984"/>
      <c r="C376" s="981"/>
      <c r="D376" s="986"/>
      <c r="E376" s="790">
        <v>1</v>
      </c>
      <c r="F376" s="791"/>
      <c r="G376" s="584"/>
      <c r="H376" s="792">
        <f t="shared" ref="H376" si="59">E376*G376</f>
        <v>0</v>
      </c>
      <c r="I376" s="979">
        <f>SUM(H372:H376)</f>
        <v>0</v>
      </c>
      <c r="J376" s="794">
        <f>I376*$J$5</f>
        <v>0</v>
      </c>
      <c r="K376" s="795">
        <f>SUM(I376:J376)*$K$5</f>
        <v>0</v>
      </c>
      <c r="L376" s="795">
        <f>SUM(I376:K376)*$L$5</f>
        <v>0</v>
      </c>
      <c r="M376" s="795">
        <f>SUM(I376:L376)*$M$5</f>
        <v>0</v>
      </c>
      <c r="N376" s="795">
        <f>SUM(I376:M376)*$N$5</f>
        <v>0</v>
      </c>
      <c r="O376" s="794">
        <f>SUM(I376:N376)</f>
        <v>0</v>
      </c>
      <c r="P376" s="793">
        <f>ROUND(O376,-3)</f>
        <v>0</v>
      </c>
    </row>
    <row r="377" spans="2:16" s="426" customFormat="1" ht="12" thickBot="1" x14ac:dyDescent="0.25">
      <c r="B377" s="985"/>
      <c r="C377" s="982"/>
      <c r="D377" s="987"/>
      <c r="E377" s="988"/>
      <c r="F377" s="796"/>
      <c r="G377" s="797"/>
      <c r="H377" s="798"/>
      <c r="I377" s="799"/>
      <c r="J377" s="800"/>
      <c r="K377" s="801"/>
      <c r="L377" s="801"/>
      <c r="M377" s="801"/>
      <c r="N377" s="801"/>
      <c r="O377" s="800"/>
      <c r="P377" s="799"/>
    </row>
    <row r="378" spans="2:16" s="426" customFormat="1" ht="33.75" x14ac:dyDescent="0.2">
      <c r="B378" s="983" t="str">
        <f>'Detailed Matrix'!E50</f>
        <v>Ventilation Systems</v>
      </c>
      <c r="C378" s="980" t="str">
        <f>'Detailed Matrix'!F51</f>
        <v>Stage 03: Lowe SFP local MVHR units with high efficiency heat recovery and demand driven controls interfaced with natural ventilation</v>
      </c>
      <c r="D378" s="991" t="s">
        <v>556</v>
      </c>
      <c r="E378" s="992"/>
      <c r="F378" s="993"/>
      <c r="G378" s="994"/>
      <c r="H378" s="995"/>
      <c r="I378" s="996"/>
      <c r="J378" s="997"/>
      <c r="K378" s="998"/>
      <c r="L378" s="998"/>
      <c r="M378" s="998"/>
      <c r="N378" s="998"/>
      <c r="O378" s="997"/>
      <c r="P378" s="996"/>
    </row>
    <row r="379" spans="2:16" s="426" customFormat="1" ht="11.25" x14ac:dyDescent="0.2">
      <c r="B379" s="984"/>
      <c r="C379" s="981"/>
      <c r="D379" s="986"/>
      <c r="E379" s="790">
        <v>1</v>
      </c>
      <c r="F379" s="791"/>
      <c r="G379" s="584"/>
      <c r="H379" s="792">
        <f t="shared" ref="H379:H382" si="60">E379*G379</f>
        <v>0</v>
      </c>
      <c r="I379" s="793"/>
      <c r="J379" s="794"/>
      <c r="K379" s="795"/>
      <c r="L379" s="795"/>
      <c r="M379" s="795"/>
      <c r="N379" s="795"/>
      <c r="O379" s="794"/>
      <c r="P379" s="793"/>
    </row>
    <row r="380" spans="2:16" s="426" customFormat="1" ht="11.25" x14ac:dyDescent="0.2">
      <c r="B380" s="984"/>
      <c r="C380" s="981"/>
      <c r="D380" s="986"/>
      <c r="E380" s="790">
        <v>1</v>
      </c>
      <c r="F380" s="791"/>
      <c r="G380" s="584"/>
      <c r="H380" s="792">
        <f t="shared" si="60"/>
        <v>0</v>
      </c>
      <c r="I380" s="793"/>
      <c r="J380" s="794"/>
      <c r="K380" s="795"/>
      <c r="L380" s="795"/>
      <c r="M380" s="795"/>
      <c r="N380" s="795"/>
      <c r="O380" s="794"/>
      <c r="P380" s="793"/>
    </row>
    <row r="381" spans="2:16" s="426" customFormat="1" ht="11.25" x14ac:dyDescent="0.2">
      <c r="B381" s="984"/>
      <c r="C381" s="981"/>
      <c r="D381" s="986" t="s">
        <v>564</v>
      </c>
      <c r="E381" s="790">
        <v>-1</v>
      </c>
      <c r="F381" s="791"/>
      <c r="G381" s="584">
        <f>I371+I361+I349</f>
        <v>0</v>
      </c>
      <c r="H381" s="792">
        <f t="shared" si="60"/>
        <v>0</v>
      </c>
      <c r="I381" s="793"/>
      <c r="J381" s="794"/>
      <c r="K381" s="795"/>
      <c r="L381" s="795"/>
      <c r="M381" s="795"/>
      <c r="N381" s="795"/>
      <c r="O381" s="794"/>
      <c r="P381" s="793"/>
    </row>
    <row r="382" spans="2:16" s="426" customFormat="1" ht="11.25" x14ac:dyDescent="0.2">
      <c r="B382" s="984"/>
      <c r="C382" s="981"/>
      <c r="D382" s="986"/>
      <c r="E382" s="790"/>
      <c r="F382" s="791"/>
      <c r="G382" s="584"/>
      <c r="H382" s="792">
        <f t="shared" si="60"/>
        <v>0</v>
      </c>
      <c r="I382" s="978">
        <f>SUM(H378:H382)</f>
        <v>0</v>
      </c>
      <c r="J382" s="794">
        <f>I382*$J$5</f>
        <v>0</v>
      </c>
      <c r="K382" s="795">
        <f>SUM(I382:J382)*$K$5</f>
        <v>0</v>
      </c>
      <c r="L382" s="795">
        <f>SUM(I382:K382)*$L$5</f>
        <v>0</v>
      </c>
      <c r="M382" s="795">
        <f>SUM(I382:L382)*$M$5</f>
        <v>0</v>
      </c>
      <c r="N382" s="795">
        <f>SUM(I382:M382)*$N$5</f>
        <v>0</v>
      </c>
      <c r="O382" s="794">
        <f>SUM(I382:N382)</f>
        <v>0</v>
      </c>
      <c r="P382" s="793">
        <f>ROUND(O382,-3)</f>
        <v>0</v>
      </c>
    </row>
    <row r="383" spans="2:16" s="426" customFormat="1" ht="11.25" x14ac:dyDescent="0.2">
      <c r="B383" s="984"/>
      <c r="C383" s="981"/>
      <c r="D383" s="986" t="s">
        <v>557</v>
      </c>
      <c r="E383" s="790"/>
      <c r="F383" s="791"/>
      <c r="G383" s="584"/>
      <c r="H383" s="792"/>
      <c r="I383" s="793"/>
      <c r="J383" s="794"/>
      <c r="K383" s="795"/>
      <c r="L383" s="795"/>
      <c r="M383" s="795"/>
      <c r="N383" s="795"/>
      <c r="O383" s="794"/>
      <c r="P383" s="793"/>
    </row>
    <row r="384" spans="2:16" s="426" customFormat="1" ht="11.25" x14ac:dyDescent="0.2">
      <c r="B384" s="984"/>
      <c r="C384" s="981"/>
      <c r="D384" s="986"/>
      <c r="E384" s="790">
        <v>1</v>
      </c>
      <c r="F384" s="791"/>
      <c r="G384" s="584"/>
      <c r="H384" s="792">
        <f>E384*G384</f>
        <v>0</v>
      </c>
      <c r="I384" s="793"/>
      <c r="J384" s="794"/>
      <c r="K384" s="795"/>
      <c r="L384" s="795"/>
      <c r="M384" s="795"/>
      <c r="N384" s="795"/>
      <c r="O384" s="794"/>
      <c r="P384" s="793"/>
    </row>
    <row r="385" spans="2:16" s="426" customFormat="1" ht="11.25" x14ac:dyDescent="0.2">
      <c r="B385" s="984"/>
      <c r="C385" s="981"/>
      <c r="D385" s="986"/>
      <c r="E385" s="790">
        <v>1</v>
      </c>
      <c r="F385" s="791"/>
      <c r="G385" s="584"/>
      <c r="H385" s="792">
        <f>E385*G385</f>
        <v>0</v>
      </c>
      <c r="I385" s="793"/>
      <c r="J385" s="794"/>
      <c r="K385" s="795"/>
      <c r="L385" s="795"/>
      <c r="M385" s="795"/>
      <c r="N385" s="795"/>
      <c r="O385" s="794"/>
      <c r="P385" s="793"/>
    </row>
    <row r="386" spans="2:16" s="426" customFormat="1" ht="11.25" x14ac:dyDescent="0.2">
      <c r="B386" s="984"/>
      <c r="C386" s="981"/>
      <c r="D386" s="986" t="s">
        <v>564</v>
      </c>
      <c r="E386" s="790">
        <v>-1</v>
      </c>
      <c r="F386" s="791"/>
      <c r="G386" s="584">
        <f>I376+I366</f>
        <v>0</v>
      </c>
      <c r="H386" s="792">
        <f>E386*G386</f>
        <v>0</v>
      </c>
      <c r="I386" s="793"/>
      <c r="J386" s="794"/>
      <c r="K386" s="795"/>
      <c r="L386" s="795"/>
      <c r="M386" s="795"/>
      <c r="N386" s="795"/>
      <c r="O386" s="794"/>
      <c r="P386" s="793"/>
    </row>
    <row r="387" spans="2:16" s="426" customFormat="1" ht="12" thickBot="1" x14ac:dyDescent="0.25">
      <c r="B387" s="985"/>
      <c r="C387" s="982"/>
      <c r="D387" s="987"/>
      <c r="E387" s="988">
        <v>1</v>
      </c>
      <c r="F387" s="796"/>
      <c r="G387" s="797"/>
      <c r="H387" s="798">
        <f t="shared" ref="H387" si="61">E387*G387</f>
        <v>0</v>
      </c>
      <c r="I387" s="999">
        <f>SUM(H383:H387)</f>
        <v>0</v>
      </c>
      <c r="J387" s="800">
        <f>I387*$J$5</f>
        <v>0</v>
      </c>
      <c r="K387" s="801">
        <f>SUM(I387:J387)*$K$5</f>
        <v>0</v>
      </c>
      <c r="L387" s="801">
        <f>SUM(I387:K387)*$L$5</f>
        <v>0</v>
      </c>
      <c r="M387" s="801">
        <f>SUM(I387:L387)*$M$5</f>
        <v>0</v>
      </c>
      <c r="N387" s="801">
        <f>SUM(I387:M387)*$N$5</f>
        <v>0</v>
      </c>
      <c r="O387" s="800">
        <f>SUM(I387:N387)</f>
        <v>0</v>
      </c>
      <c r="P387" s="799">
        <f>ROUND(O387,-3)</f>
        <v>0</v>
      </c>
    </row>
    <row r="388" spans="2:16" s="426" customFormat="1" ht="33.75" x14ac:dyDescent="0.2">
      <c r="B388" s="983" t="str">
        <f>'Detailed Matrix'!E52</f>
        <v>Ventilation Systems</v>
      </c>
      <c r="C388" s="980" t="str">
        <f>'Detailed Matrix'!F52</f>
        <v>Stage 04: Extract Only ventilation combined with fresh air supply ventialtion incorporating local heating &amp; cooling</v>
      </c>
      <c r="D388" s="991" t="s">
        <v>556</v>
      </c>
      <c r="E388" s="992"/>
      <c r="F388" s="993"/>
      <c r="G388" s="994"/>
      <c r="H388" s="995"/>
      <c r="I388" s="996"/>
      <c r="J388" s="997"/>
      <c r="K388" s="998"/>
      <c r="L388" s="998"/>
      <c r="M388" s="998"/>
      <c r="N388" s="998"/>
      <c r="O388" s="997"/>
      <c r="P388" s="996"/>
    </row>
    <row r="389" spans="2:16" s="426" customFormat="1" ht="11.25" x14ac:dyDescent="0.2">
      <c r="B389" s="984"/>
      <c r="C389" s="981"/>
      <c r="D389" s="986"/>
      <c r="E389" s="790">
        <v>1</v>
      </c>
      <c r="F389" s="791"/>
      <c r="G389" s="584"/>
      <c r="H389" s="792">
        <f t="shared" ref="H389:H392" si="62">E389*G389</f>
        <v>0</v>
      </c>
      <c r="I389" s="793"/>
      <c r="J389" s="794"/>
      <c r="K389" s="795"/>
      <c r="L389" s="795"/>
      <c r="M389" s="795"/>
      <c r="N389" s="795"/>
      <c r="O389" s="794"/>
      <c r="P389" s="793"/>
    </row>
    <row r="390" spans="2:16" s="426" customFormat="1" ht="11.25" x14ac:dyDescent="0.2">
      <c r="B390" s="984"/>
      <c r="C390" s="981"/>
      <c r="D390" s="986"/>
      <c r="E390" s="790">
        <v>1</v>
      </c>
      <c r="F390" s="791"/>
      <c r="G390" s="584"/>
      <c r="H390" s="792">
        <f t="shared" si="62"/>
        <v>0</v>
      </c>
      <c r="I390" s="793"/>
      <c r="J390" s="794"/>
      <c r="K390" s="795"/>
      <c r="L390" s="795"/>
      <c r="M390" s="795"/>
      <c r="N390" s="795"/>
      <c r="O390" s="794"/>
      <c r="P390" s="793"/>
    </row>
    <row r="391" spans="2:16" s="426" customFormat="1" ht="11.25" x14ac:dyDescent="0.2">
      <c r="B391" s="984"/>
      <c r="C391" s="981"/>
      <c r="D391" s="986" t="s">
        <v>565</v>
      </c>
      <c r="E391" s="790">
        <v>-1</v>
      </c>
      <c r="F391" s="791"/>
      <c r="G391" s="584">
        <f>I382+I371+I361</f>
        <v>0</v>
      </c>
      <c r="H391" s="792">
        <f t="shared" si="62"/>
        <v>0</v>
      </c>
      <c r="I391" s="793"/>
      <c r="J391" s="794"/>
      <c r="K391" s="795"/>
      <c r="L391" s="795"/>
      <c r="M391" s="795"/>
      <c r="N391" s="795"/>
      <c r="O391" s="794"/>
      <c r="P391" s="793"/>
    </row>
    <row r="392" spans="2:16" s="426" customFormat="1" ht="11.25" x14ac:dyDescent="0.2">
      <c r="B392" s="984"/>
      <c r="C392" s="981"/>
      <c r="D392" s="986"/>
      <c r="E392" s="790"/>
      <c r="F392" s="791"/>
      <c r="G392" s="584"/>
      <c r="H392" s="792">
        <f t="shared" si="62"/>
        <v>0</v>
      </c>
      <c r="I392" s="978">
        <f>SUM(H388:H392)</f>
        <v>0</v>
      </c>
      <c r="J392" s="794">
        <f>I392*$J$5</f>
        <v>0</v>
      </c>
      <c r="K392" s="795">
        <f>SUM(I392:J392)*$K$5</f>
        <v>0</v>
      </c>
      <c r="L392" s="795">
        <f>SUM(I392:K392)*$L$5</f>
        <v>0</v>
      </c>
      <c r="M392" s="795">
        <f>SUM(I392:L392)*$M$5</f>
        <v>0</v>
      </c>
      <c r="N392" s="795">
        <f>SUM(I392:M392)*$N$5</f>
        <v>0</v>
      </c>
      <c r="O392" s="794">
        <f>SUM(I392:N392)</f>
        <v>0</v>
      </c>
      <c r="P392" s="793">
        <f>ROUND(O392,-3)</f>
        <v>0</v>
      </c>
    </row>
    <row r="393" spans="2:16" s="426" customFormat="1" ht="11.25" x14ac:dyDescent="0.2">
      <c r="B393" s="984"/>
      <c r="C393" s="981"/>
      <c r="D393" s="986" t="s">
        <v>557</v>
      </c>
      <c r="E393" s="790"/>
      <c r="F393" s="791"/>
      <c r="G393" s="584"/>
      <c r="H393" s="792"/>
      <c r="I393" s="793"/>
      <c r="J393" s="794"/>
      <c r="K393" s="795"/>
      <c r="L393" s="795"/>
      <c r="M393" s="795"/>
      <c r="N393" s="795"/>
      <c r="O393" s="794"/>
      <c r="P393" s="793"/>
    </row>
    <row r="394" spans="2:16" s="426" customFormat="1" ht="11.25" x14ac:dyDescent="0.2">
      <c r="B394" s="984"/>
      <c r="C394" s="981"/>
      <c r="D394" s="986"/>
      <c r="E394" s="790">
        <v>1</v>
      </c>
      <c r="F394" s="791"/>
      <c r="G394" s="584"/>
      <c r="H394" s="792">
        <f>E394*G394</f>
        <v>0</v>
      </c>
      <c r="I394" s="793"/>
      <c r="J394" s="794"/>
      <c r="K394" s="795"/>
      <c r="L394" s="795"/>
      <c r="M394" s="795"/>
      <c r="N394" s="795"/>
      <c r="O394" s="794"/>
      <c r="P394" s="793"/>
    </row>
    <row r="395" spans="2:16" s="426" customFormat="1" ht="11.25" x14ac:dyDescent="0.2">
      <c r="B395" s="984"/>
      <c r="C395" s="981"/>
      <c r="D395" s="986"/>
      <c r="E395" s="790">
        <v>1</v>
      </c>
      <c r="F395" s="791"/>
      <c r="G395" s="584"/>
      <c r="H395" s="792">
        <f>E395*G395</f>
        <v>0</v>
      </c>
      <c r="I395" s="793"/>
      <c r="J395" s="794"/>
      <c r="K395" s="795"/>
      <c r="L395" s="795"/>
      <c r="M395" s="795"/>
      <c r="N395" s="795"/>
      <c r="O395" s="794"/>
      <c r="P395" s="793"/>
    </row>
    <row r="396" spans="2:16" s="426" customFormat="1" ht="11.25" x14ac:dyDescent="0.2">
      <c r="B396" s="984"/>
      <c r="C396" s="981"/>
      <c r="D396" s="986" t="s">
        <v>565</v>
      </c>
      <c r="E396" s="790">
        <v>-1</v>
      </c>
      <c r="F396" s="791"/>
      <c r="G396" s="584">
        <f>I387+I376+I366</f>
        <v>0</v>
      </c>
      <c r="H396" s="792">
        <f>E396*G396</f>
        <v>0</v>
      </c>
      <c r="I396" s="793"/>
      <c r="J396" s="794"/>
      <c r="K396" s="795"/>
      <c r="L396" s="795"/>
      <c r="M396" s="795"/>
      <c r="N396" s="795"/>
      <c r="O396" s="794"/>
      <c r="P396" s="793"/>
    </row>
    <row r="397" spans="2:16" s="426" customFormat="1" ht="12" thickBot="1" x14ac:dyDescent="0.25">
      <c r="B397" s="985"/>
      <c r="C397" s="982"/>
      <c r="D397" s="987"/>
      <c r="E397" s="988">
        <v>1</v>
      </c>
      <c r="F397" s="796"/>
      <c r="G397" s="797"/>
      <c r="H397" s="798">
        <f t="shared" ref="H397:H402" si="63">E397*G397</f>
        <v>0</v>
      </c>
      <c r="I397" s="999">
        <f>SUM(H393:H397)</f>
        <v>0</v>
      </c>
      <c r="J397" s="800">
        <f>I397*$J$5</f>
        <v>0</v>
      </c>
      <c r="K397" s="801">
        <f>SUM(I397:J397)*$K$5</f>
        <v>0</v>
      </c>
      <c r="L397" s="801">
        <f>SUM(I397:K397)*$L$5</f>
        <v>0</v>
      </c>
      <c r="M397" s="801">
        <f>SUM(I397:L397)*$M$5</f>
        <v>0</v>
      </c>
      <c r="N397" s="801">
        <f>SUM(I397:M397)*$N$5</f>
        <v>0</v>
      </c>
      <c r="O397" s="800">
        <f>SUM(I397:N397)</f>
        <v>0</v>
      </c>
      <c r="P397" s="799">
        <f>ROUND(O397,-3)</f>
        <v>0</v>
      </c>
    </row>
    <row r="398" spans="2:16" s="426" customFormat="1" ht="11.25" x14ac:dyDescent="0.2">
      <c r="B398" s="983" t="str">
        <f>'Detailed Matrix'!E54</f>
        <v>Domestic Hot Water</v>
      </c>
      <c r="C398" s="980" t="str">
        <f>'Detailed Matrix'!F54</f>
        <v>Stage 01: Provision in line with TRD</v>
      </c>
      <c r="D398" s="991" t="s">
        <v>556</v>
      </c>
      <c r="E398" s="992">
        <v>1</v>
      </c>
      <c r="F398" s="993"/>
      <c r="G398" s="994"/>
      <c r="H398" s="995">
        <f t="shared" si="63"/>
        <v>0</v>
      </c>
      <c r="I398" s="996"/>
      <c r="J398" s="997"/>
      <c r="K398" s="998"/>
      <c r="L398" s="998"/>
      <c r="M398" s="998"/>
      <c r="N398" s="998"/>
      <c r="O398" s="997"/>
      <c r="P398" s="996"/>
    </row>
    <row r="399" spans="2:16" s="426" customFormat="1" ht="11.25" x14ac:dyDescent="0.2">
      <c r="B399" s="984"/>
      <c r="C399" s="981"/>
      <c r="D399" s="986"/>
      <c r="E399" s="790">
        <v>1</v>
      </c>
      <c r="F399" s="791"/>
      <c r="G399" s="584"/>
      <c r="H399" s="792">
        <f t="shared" si="63"/>
        <v>0</v>
      </c>
      <c r="I399" s="793"/>
      <c r="J399" s="794"/>
      <c r="K399" s="795"/>
      <c r="L399" s="795"/>
      <c r="M399" s="795"/>
      <c r="N399" s="795"/>
      <c r="O399" s="794"/>
      <c r="P399" s="793"/>
    </row>
    <row r="400" spans="2:16" s="426" customFormat="1" ht="11.25" x14ac:dyDescent="0.2">
      <c r="B400" s="984"/>
      <c r="C400" s="981"/>
      <c r="D400" s="986"/>
      <c r="E400" s="790">
        <v>1</v>
      </c>
      <c r="F400" s="791"/>
      <c r="G400" s="584"/>
      <c r="H400" s="792">
        <f t="shared" si="63"/>
        <v>0</v>
      </c>
      <c r="I400" s="793"/>
      <c r="J400" s="794"/>
      <c r="K400" s="795"/>
      <c r="L400" s="795"/>
      <c r="M400" s="795"/>
      <c r="N400" s="795"/>
      <c r="O400" s="794"/>
      <c r="P400" s="793"/>
    </row>
    <row r="401" spans="2:16" s="426" customFormat="1" ht="11.25" x14ac:dyDescent="0.2">
      <c r="B401" s="984"/>
      <c r="C401" s="981"/>
      <c r="D401" s="986"/>
      <c r="E401" s="790">
        <v>1</v>
      </c>
      <c r="F401" s="791"/>
      <c r="G401" s="584"/>
      <c r="H401" s="792">
        <f t="shared" si="63"/>
        <v>0</v>
      </c>
      <c r="I401" s="793"/>
      <c r="J401" s="794"/>
      <c r="K401" s="795"/>
      <c r="L401" s="795"/>
      <c r="M401" s="795"/>
      <c r="N401" s="795"/>
      <c r="O401" s="794"/>
      <c r="P401" s="793"/>
    </row>
    <row r="402" spans="2:16" s="426" customFormat="1" ht="11.25" x14ac:dyDescent="0.2">
      <c r="B402" s="984"/>
      <c r="C402" s="981"/>
      <c r="D402" s="986" t="s">
        <v>566</v>
      </c>
      <c r="E402" s="790">
        <v>1</v>
      </c>
      <c r="F402" s="791"/>
      <c r="G402" s="584"/>
      <c r="H402" s="792">
        <f t="shared" si="63"/>
        <v>0</v>
      </c>
      <c r="I402" s="793">
        <f>SUM(H398:H402)</f>
        <v>0</v>
      </c>
      <c r="J402" s="794">
        <f>I402*$J$5</f>
        <v>0</v>
      </c>
      <c r="K402" s="795">
        <f>SUM(I402:J402)*$K$5</f>
        <v>0</v>
      </c>
      <c r="L402" s="795">
        <f>SUM(I402:K402)*$L$5</f>
        <v>0</v>
      </c>
      <c r="M402" s="795">
        <f>SUM(I402:L402)*$M$5</f>
        <v>0</v>
      </c>
      <c r="N402" s="795">
        <f>SUM(I402:M402)*$N$5</f>
        <v>0</v>
      </c>
      <c r="O402" s="794">
        <f>SUM(I402:N402)</f>
        <v>0</v>
      </c>
      <c r="P402" s="793">
        <f>ROUND(O402,-3)</f>
        <v>0</v>
      </c>
    </row>
    <row r="403" spans="2:16" s="426" customFormat="1" ht="11.25" x14ac:dyDescent="0.2">
      <c r="B403" s="984"/>
      <c r="C403" s="981"/>
      <c r="D403" s="986"/>
      <c r="E403" s="790"/>
      <c r="F403" s="791"/>
      <c r="G403" s="584"/>
      <c r="H403" s="792"/>
      <c r="I403" s="793"/>
      <c r="J403" s="794"/>
      <c r="K403" s="795"/>
      <c r="L403" s="795"/>
      <c r="M403" s="795"/>
      <c r="N403" s="795"/>
      <c r="O403" s="794"/>
      <c r="P403" s="793"/>
    </row>
    <row r="404" spans="2:16" s="426" customFormat="1" ht="11.25" x14ac:dyDescent="0.2">
      <c r="B404" s="984"/>
      <c r="C404" s="981"/>
      <c r="D404" s="986" t="s">
        <v>557</v>
      </c>
      <c r="E404" s="790">
        <v>1</v>
      </c>
      <c r="F404" s="791"/>
      <c r="G404" s="584"/>
      <c r="H404" s="792">
        <f t="shared" ref="H404:H407" si="64">E404*G404</f>
        <v>0</v>
      </c>
      <c r="I404" s="793"/>
      <c r="J404" s="794"/>
      <c r="K404" s="795"/>
      <c r="L404" s="795"/>
      <c r="M404" s="795"/>
      <c r="N404" s="795"/>
      <c r="O404" s="794"/>
      <c r="P404" s="793"/>
    </row>
    <row r="405" spans="2:16" s="426" customFormat="1" ht="11.25" x14ac:dyDescent="0.2">
      <c r="B405" s="984"/>
      <c r="C405" s="981"/>
      <c r="D405" s="986"/>
      <c r="E405" s="790">
        <v>1</v>
      </c>
      <c r="F405" s="791"/>
      <c r="G405" s="584"/>
      <c r="H405" s="792">
        <f t="shared" si="64"/>
        <v>0</v>
      </c>
      <c r="I405" s="793"/>
      <c r="J405" s="794"/>
      <c r="K405" s="795"/>
      <c r="L405" s="795"/>
      <c r="M405" s="795"/>
      <c r="N405" s="795"/>
      <c r="O405" s="794"/>
      <c r="P405" s="793"/>
    </row>
    <row r="406" spans="2:16" s="426" customFormat="1" ht="11.25" x14ac:dyDescent="0.2">
      <c r="B406" s="984"/>
      <c r="C406" s="981"/>
      <c r="D406" s="986"/>
      <c r="E406" s="790">
        <v>1</v>
      </c>
      <c r="F406" s="791"/>
      <c r="G406" s="584"/>
      <c r="H406" s="792">
        <f t="shared" si="64"/>
        <v>0</v>
      </c>
      <c r="I406" s="793"/>
      <c r="J406" s="794"/>
      <c r="K406" s="795"/>
      <c r="L406" s="795"/>
      <c r="M406" s="795"/>
      <c r="N406" s="795"/>
      <c r="O406" s="794"/>
      <c r="P406" s="793"/>
    </row>
    <row r="407" spans="2:16" s="426" customFormat="1" ht="12" thickBot="1" x14ac:dyDescent="0.25">
      <c r="B407" s="985"/>
      <c r="C407" s="982"/>
      <c r="D407" s="986" t="s">
        <v>566</v>
      </c>
      <c r="E407" s="988">
        <v>1</v>
      </c>
      <c r="F407" s="796"/>
      <c r="G407" s="797"/>
      <c r="H407" s="798">
        <f t="shared" si="64"/>
        <v>0</v>
      </c>
      <c r="I407" s="799">
        <f>SUM(H404:H407)</f>
        <v>0</v>
      </c>
      <c r="J407" s="800">
        <f>I407*$J$5</f>
        <v>0</v>
      </c>
      <c r="K407" s="801">
        <f>SUM(I407:J407)*$K$5</f>
        <v>0</v>
      </c>
      <c r="L407" s="801">
        <f>SUM(I407:K407)*$L$5</f>
        <v>0</v>
      </c>
      <c r="M407" s="801">
        <f>SUM(I407:L407)*$M$5</f>
        <v>0</v>
      </c>
      <c r="N407" s="801">
        <f>SUM(I407:M407)*$N$5</f>
        <v>0</v>
      </c>
      <c r="O407" s="800">
        <f>SUM(I407:N407)</f>
        <v>0</v>
      </c>
      <c r="P407" s="799">
        <f>ROUND(O407,-3)</f>
        <v>0</v>
      </c>
    </row>
    <row r="408" spans="2:16" s="426" customFormat="1" ht="22.5" x14ac:dyDescent="0.2">
      <c r="B408" s="983" t="str">
        <f>'Detailed Matrix'!E55</f>
        <v>Domestic Hot Water</v>
      </c>
      <c r="C408" s="980" t="str">
        <f>'Detailed Matrix'!F55</f>
        <v>Stage 02a: Minimise unnecessary storage and distribution losses</v>
      </c>
      <c r="D408" s="991" t="s">
        <v>556</v>
      </c>
      <c r="E408" s="992"/>
      <c r="F408" s="993"/>
      <c r="G408" s="994"/>
      <c r="H408" s="995"/>
      <c r="I408" s="996"/>
      <c r="J408" s="997"/>
      <c r="K408" s="998"/>
      <c r="L408" s="998"/>
      <c r="M408" s="998"/>
      <c r="N408" s="998"/>
      <c r="O408" s="997"/>
      <c r="P408" s="996"/>
    </row>
    <row r="409" spans="2:16" s="426" customFormat="1" ht="11.25" x14ac:dyDescent="0.2">
      <c r="B409" s="984"/>
      <c r="C409" s="981"/>
      <c r="D409" s="986"/>
      <c r="E409" s="790">
        <v>1</v>
      </c>
      <c r="F409" s="791"/>
      <c r="G409" s="584"/>
      <c r="H409" s="792">
        <f t="shared" ref="H409:H412" si="65">E409*G409</f>
        <v>0</v>
      </c>
      <c r="I409" s="793"/>
      <c r="J409" s="794"/>
      <c r="K409" s="795"/>
      <c r="L409" s="795"/>
      <c r="M409" s="795"/>
      <c r="N409" s="795"/>
      <c r="O409" s="794"/>
      <c r="P409" s="793"/>
    </row>
    <row r="410" spans="2:16" s="426" customFormat="1" ht="11.25" x14ac:dyDescent="0.2">
      <c r="B410" s="984"/>
      <c r="C410" s="981"/>
      <c r="D410" s="986"/>
      <c r="E410" s="790">
        <v>1</v>
      </c>
      <c r="F410" s="791"/>
      <c r="G410" s="584"/>
      <c r="H410" s="792">
        <f t="shared" si="65"/>
        <v>0</v>
      </c>
      <c r="I410" s="793"/>
      <c r="J410" s="794"/>
      <c r="K410" s="795"/>
      <c r="L410" s="795"/>
      <c r="M410" s="795"/>
      <c r="N410" s="795"/>
      <c r="O410" s="794"/>
      <c r="P410" s="793"/>
    </row>
    <row r="411" spans="2:16" s="426" customFormat="1" ht="11.25" x14ac:dyDescent="0.2">
      <c r="B411" s="984"/>
      <c r="C411" s="981"/>
      <c r="D411" s="986" t="s">
        <v>558</v>
      </c>
      <c r="E411" s="790">
        <v>-1</v>
      </c>
      <c r="F411" s="791"/>
      <c r="G411" s="584">
        <f>I402</f>
        <v>0</v>
      </c>
      <c r="H411" s="792">
        <f t="shared" si="65"/>
        <v>0</v>
      </c>
      <c r="I411" s="793"/>
      <c r="J411" s="794"/>
      <c r="K411" s="795"/>
      <c r="L411" s="795"/>
      <c r="M411" s="795"/>
      <c r="N411" s="795"/>
      <c r="O411" s="794"/>
      <c r="P411" s="793"/>
    </row>
    <row r="412" spans="2:16" s="426" customFormat="1" ht="11.25" x14ac:dyDescent="0.2">
      <c r="B412" s="984"/>
      <c r="C412" s="981"/>
      <c r="D412" s="986"/>
      <c r="E412" s="790"/>
      <c r="F412" s="791"/>
      <c r="G412" s="584"/>
      <c r="H412" s="792">
        <f t="shared" si="65"/>
        <v>0</v>
      </c>
      <c r="I412" s="793">
        <f>SUM(H408:H412)</f>
        <v>0</v>
      </c>
      <c r="J412" s="794">
        <f>I412*$J$5</f>
        <v>0</v>
      </c>
      <c r="K412" s="795">
        <f>SUM(I412:J412)*$K$5</f>
        <v>0</v>
      </c>
      <c r="L412" s="795">
        <f>SUM(I412:K412)*$L$5</f>
        <v>0</v>
      </c>
      <c r="M412" s="795">
        <f>SUM(I412:L412)*$M$5</f>
        <v>0</v>
      </c>
      <c r="N412" s="795">
        <f>SUM(I412:M412)*$N$5</f>
        <v>0</v>
      </c>
      <c r="O412" s="794">
        <f>SUM(I412:N412)</f>
        <v>0</v>
      </c>
      <c r="P412" s="793">
        <f>ROUND(O412,-3)</f>
        <v>0</v>
      </c>
    </row>
    <row r="413" spans="2:16" s="426" customFormat="1" ht="11.25" x14ac:dyDescent="0.2">
      <c r="B413" s="984"/>
      <c r="C413" s="981"/>
      <c r="D413" s="986" t="s">
        <v>557</v>
      </c>
      <c r="E413" s="790"/>
      <c r="F413" s="791"/>
      <c r="G413" s="584"/>
      <c r="H413" s="792"/>
      <c r="I413" s="793"/>
      <c r="J413" s="794"/>
      <c r="K413" s="795"/>
      <c r="L413" s="795"/>
      <c r="M413" s="795"/>
      <c r="N413" s="795"/>
      <c r="O413" s="794"/>
      <c r="P413" s="793"/>
    </row>
    <row r="414" spans="2:16" s="426" customFormat="1" ht="11.25" x14ac:dyDescent="0.2">
      <c r="B414" s="984"/>
      <c r="C414" s="981"/>
      <c r="D414" s="986"/>
      <c r="E414" s="790">
        <v>1</v>
      </c>
      <c r="F414" s="791"/>
      <c r="G414" s="584"/>
      <c r="H414" s="792">
        <f>E414*G414</f>
        <v>0</v>
      </c>
      <c r="I414" s="793"/>
      <c r="J414" s="794"/>
      <c r="K414" s="795"/>
      <c r="L414" s="795"/>
      <c r="M414" s="795"/>
      <c r="N414" s="795"/>
      <c r="O414" s="794"/>
      <c r="P414" s="793"/>
    </row>
    <row r="415" spans="2:16" s="426" customFormat="1" ht="11.25" x14ac:dyDescent="0.2">
      <c r="B415" s="984"/>
      <c r="C415" s="981"/>
      <c r="D415" s="986"/>
      <c r="E415" s="790">
        <v>1</v>
      </c>
      <c r="F415" s="791"/>
      <c r="G415" s="584"/>
      <c r="H415" s="792">
        <f>E415*G415</f>
        <v>0</v>
      </c>
      <c r="I415" s="793"/>
      <c r="J415" s="794"/>
      <c r="K415" s="795"/>
      <c r="L415" s="795"/>
      <c r="M415" s="795"/>
      <c r="N415" s="795"/>
      <c r="O415" s="794"/>
      <c r="P415" s="793"/>
    </row>
    <row r="416" spans="2:16" s="426" customFormat="1" ht="11.25" x14ac:dyDescent="0.2">
      <c r="B416" s="984"/>
      <c r="C416" s="981"/>
      <c r="D416" s="986" t="s">
        <v>558</v>
      </c>
      <c r="E416" s="790">
        <v>-1</v>
      </c>
      <c r="F416" s="791"/>
      <c r="G416" s="584">
        <f>I407</f>
        <v>0</v>
      </c>
      <c r="H416" s="792">
        <f>E416*G416</f>
        <v>0</v>
      </c>
      <c r="I416" s="793"/>
      <c r="J416" s="794"/>
      <c r="K416" s="795"/>
      <c r="L416" s="795"/>
      <c r="M416" s="795"/>
      <c r="N416" s="795"/>
      <c r="O416" s="794"/>
      <c r="P416" s="793"/>
    </row>
    <row r="417" spans="2:16" s="426" customFormat="1" ht="11.25" x14ac:dyDescent="0.2">
      <c r="B417" s="984"/>
      <c r="C417" s="981"/>
      <c r="D417" s="986"/>
      <c r="E417" s="790">
        <v>1</v>
      </c>
      <c r="F417" s="791"/>
      <c r="G417" s="584"/>
      <c r="H417" s="792">
        <f t="shared" ref="H417" si="66">E417*G417</f>
        <v>0</v>
      </c>
      <c r="I417" s="793">
        <f>SUM(H413:H417)</f>
        <v>0</v>
      </c>
      <c r="J417" s="794">
        <f>I417*$J$5</f>
        <v>0</v>
      </c>
      <c r="K417" s="795">
        <f>SUM(I417:J417)*$K$5</f>
        <v>0</v>
      </c>
      <c r="L417" s="795">
        <f>SUM(I417:K417)*$L$5</f>
        <v>0</v>
      </c>
      <c r="M417" s="795">
        <f>SUM(I417:L417)*$M$5</f>
        <v>0</v>
      </c>
      <c r="N417" s="795">
        <f>SUM(I417:M417)*$N$5</f>
        <v>0</v>
      </c>
      <c r="O417" s="794">
        <f>SUM(I417:N417)</f>
        <v>0</v>
      </c>
      <c r="P417" s="793">
        <f>ROUND(O417,-3)</f>
        <v>0</v>
      </c>
    </row>
    <row r="418" spans="2:16" s="426" customFormat="1" ht="12" thickBot="1" x14ac:dyDescent="0.25">
      <c r="B418" s="985"/>
      <c r="C418" s="982"/>
      <c r="D418" s="987"/>
      <c r="E418" s="988"/>
      <c r="F418" s="796"/>
      <c r="G418" s="797"/>
      <c r="H418" s="798"/>
      <c r="I418" s="799"/>
      <c r="J418" s="800"/>
      <c r="K418" s="801"/>
      <c r="L418" s="801"/>
      <c r="M418" s="801"/>
      <c r="N418" s="801"/>
      <c r="O418" s="800"/>
      <c r="P418" s="799"/>
    </row>
    <row r="419" spans="2:16" s="426" customFormat="1" ht="21" customHeight="1" x14ac:dyDescent="0.2">
      <c r="B419" s="1240" t="str">
        <f>'Detailed Matrix'!E56</f>
        <v>Domestic Hot Water</v>
      </c>
      <c r="C419" s="1228" t="str">
        <f>'Detailed Matrix'!F56</f>
        <v>Stage 02b: Use low carbon energy source to generate hot water</v>
      </c>
      <c r="D419" s="991" t="s">
        <v>556</v>
      </c>
      <c r="E419" s="992"/>
      <c r="F419" s="993"/>
      <c r="G419" s="994"/>
      <c r="H419" s="995"/>
      <c r="I419" s="996"/>
      <c r="J419" s="997"/>
      <c r="K419" s="998"/>
      <c r="L419" s="998"/>
      <c r="M419" s="998"/>
      <c r="N419" s="998"/>
      <c r="O419" s="997"/>
      <c r="P419" s="996"/>
    </row>
    <row r="420" spans="2:16" s="426" customFormat="1" ht="14.45" customHeight="1" x14ac:dyDescent="0.2">
      <c r="B420" s="1241"/>
      <c r="C420" s="1229"/>
      <c r="D420" s="986"/>
      <c r="E420" s="790">
        <v>1</v>
      </c>
      <c r="F420" s="791"/>
      <c r="G420" s="584"/>
      <c r="H420" s="792">
        <f t="shared" ref="H420:H423" si="67">E420*G420</f>
        <v>0</v>
      </c>
      <c r="I420" s="793"/>
      <c r="J420" s="794"/>
      <c r="K420" s="795"/>
      <c r="L420" s="795"/>
      <c r="M420" s="795"/>
      <c r="N420" s="795"/>
      <c r="O420" s="794"/>
      <c r="P420" s="793"/>
    </row>
    <row r="421" spans="2:16" s="426" customFormat="1" ht="14.45" customHeight="1" x14ac:dyDescent="0.2">
      <c r="B421" s="1241"/>
      <c r="C421" s="1229"/>
      <c r="D421" s="986"/>
      <c r="E421" s="790">
        <v>1</v>
      </c>
      <c r="F421" s="791"/>
      <c r="G421" s="584"/>
      <c r="H421" s="792">
        <f t="shared" si="67"/>
        <v>0</v>
      </c>
      <c r="I421" s="793"/>
      <c r="J421" s="794"/>
      <c r="K421" s="795"/>
      <c r="L421" s="795"/>
      <c r="M421" s="795"/>
      <c r="N421" s="795"/>
      <c r="O421" s="794"/>
      <c r="P421" s="793"/>
    </row>
    <row r="422" spans="2:16" s="426" customFormat="1" ht="14.45" customHeight="1" x14ac:dyDescent="0.2">
      <c r="B422" s="1241"/>
      <c r="C422" s="1229"/>
      <c r="D422" s="986" t="s">
        <v>559</v>
      </c>
      <c r="E422" s="790">
        <v>-1</v>
      </c>
      <c r="F422" s="791"/>
      <c r="G422" s="584">
        <f>I412+I402</f>
        <v>0</v>
      </c>
      <c r="H422" s="792">
        <f t="shared" si="67"/>
        <v>0</v>
      </c>
      <c r="I422" s="793"/>
      <c r="J422" s="794"/>
      <c r="K422" s="795"/>
      <c r="L422" s="795"/>
      <c r="M422" s="795"/>
      <c r="N422" s="795"/>
      <c r="O422" s="794"/>
      <c r="P422" s="793"/>
    </row>
    <row r="423" spans="2:16" s="426" customFormat="1" ht="14.45" customHeight="1" x14ac:dyDescent="0.2">
      <c r="B423" s="1241"/>
      <c r="C423" s="1229"/>
      <c r="D423" s="986"/>
      <c r="E423" s="790"/>
      <c r="F423" s="791"/>
      <c r="G423" s="584"/>
      <c r="H423" s="792">
        <f t="shared" si="67"/>
        <v>0</v>
      </c>
      <c r="I423" s="793">
        <f>SUM(H419:H423)</f>
        <v>0</v>
      </c>
      <c r="J423" s="794">
        <f>I423*$J$5</f>
        <v>0</v>
      </c>
      <c r="K423" s="795">
        <f>SUM(I423:J423)*$K$5</f>
        <v>0</v>
      </c>
      <c r="L423" s="795">
        <f>SUM(I423:K423)*$L$5</f>
        <v>0</v>
      </c>
      <c r="M423" s="795">
        <f>SUM(I423:L423)*$M$5</f>
        <v>0</v>
      </c>
      <c r="N423" s="795">
        <f>SUM(I423:M423)*$N$5</f>
        <v>0</v>
      </c>
      <c r="O423" s="794">
        <f>SUM(I423:N423)</f>
        <v>0</v>
      </c>
      <c r="P423" s="793">
        <f>ROUND(O423,-3)</f>
        <v>0</v>
      </c>
    </row>
    <row r="424" spans="2:16" s="426" customFormat="1" ht="14.45" customHeight="1" x14ac:dyDescent="0.2">
      <c r="B424" s="1241"/>
      <c r="C424" s="1229"/>
      <c r="D424" s="986" t="s">
        <v>557</v>
      </c>
      <c r="E424" s="790"/>
      <c r="F424" s="791"/>
      <c r="G424" s="584"/>
      <c r="H424" s="792"/>
      <c r="I424" s="793"/>
      <c r="J424" s="794"/>
      <c r="K424" s="795"/>
      <c r="L424" s="795"/>
      <c r="M424" s="795"/>
      <c r="N424" s="795"/>
      <c r="O424" s="794"/>
      <c r="P424" s="793"/>
    </row>
    <row r="425" spans="2:16" s="426" customFormat="1" ht="14.45" customHeight="1" x14ac:dyDescent="0.2">
      <c r="B425" s="1241"/>
      <c r="C425" s="1229"/>
      <c r="D425" s="986"/>
      <c r="E425" s="790">
        <v>1</v>
      </c>
      <c r="F425" s="791"/>
      <c r="G425" s="584"/>
      <c r="H425" s="792">
        <f>E425*G425</f>
        <v>0</v>
      </c>
      <c r="I425" s="793"/>
      <c r="J425" s="794"/>
      <c r="K425" s="795"/>
      <c r="L425" s="795"/>
      <c r="M425" s="795"/>
      <c r="N425" s="795"/>
      <c r="O425" s="794"/>
      <c r="P425" s="793"/>
    </row>
    <row r="426" spans="2:16" s="426" customFormat="1" ht="14.45" customHeight="1" x14ac:dyDescent="0.2">
      <c r="B426" s="1241"/>
      <c r="C426" s="1229"/>
      <c r="D426" s="986"/>
      <c r="E426" s="790">
        <v>1</v>
      </c>
      <c r="F426" s="791"/>
      <c r="G426" s="584"/>
      <c r="H426" s="792">
        <f>E426*G426</f>
        <v>0</v>
      </c>
      <c r="I426" s="793"/>
      <c r="J426" s="794"/>
      <c r="K426" s="795"/>
      <c r="L426" s="795"/>
      <c r="M426" s="795"/>
      <c r="N426" s="795"/>
      <c r="O426" s="794"/>
      <c r="P426" s="793"/>
    </row>
    <row r="427" spans="2:16" s="426" customFormat="1" ht="14.45" customHeight="1" x14ac:dyDescent="0.2">
      <c r="B427" s="1241"/>
      <c r="C427" s="1229"/>
      <c r="D427" s="986" t="s">
        <v>559</v>
      </c>
      <c r="E427" s="790">
        <v>-1</v>
      </c>
      <c r="F427" s="791"/>
      <c r="G427" s="584">
        <f>I417+I407</f>
        <v>0</v>
      </c>
      <c r="H427" s="792">
        <f>E427*G427</f>
        <v>0</v>
      </c>
      <c r="I427" s="793"/>
      <c r="J427" s="794"/>
      <c r="K427" s="795"/>
      <c r="L427" s="795"/>
      <c r="M427" s="795"/>
      <c r="N427" s="795"/>
      <c r="O427" s="794"/>
      <c r="P427" s="793"/>
    </row>
    <row r="428" spans="2:16" s="426" customFormat="1" ht="15" customHeight="1" thickBot="1" x14ac:dyDescent="0.25">
      <c r="B428" s="1242"/>
      <c r="C428" s="1230"/>
      <c r="D428" s="987"/>
      <c r="E428" s="988">
        <v>1</v>
      </c>
      <c r="F428" s="796"/>
      <c r="G428" s="797"/>
      <c r="H428" s="798">
        <f t="shared" ref="H428" si="68">E428*G428</f>
        <v>0</v>
      </c>
      <c r="I428" s="799">
        <f>SUM(H424:H428)</f>
        <v>0</v>
      </c>
      <c r="J428" s="800">
        <f>I428*$J$5</f>
        <v>0</v>
      </c>
      <c r="K428" s="801">
        <f>SUM(I428:J428)*$K$5</f>
        <v>0</v>
      </c>
      <c r="L428" s="801">
        <f>SUM(I428:K428)*$L$5</f>
        <v>0</v>
      </c>
      <c r="M428" s="801">
        <f>SUM(I428:L428)*$M$5</f>
        <v>0</v>
      </c>
      <c r="N428" s="801">
        <f>SUM(I428:M428)*$N$5</f>
        <v>0</v>
      </c>
      <c r="O428" s="800">
        <f>SUM(I428:N428)</f>
        <v>0</v>
      </c>
      <c r="P428" s="799">
        <f>ROUND(O428,-3)</f>
        <v>0</v>
      </c>
    </row>
    <row r="429" spans="2:16" s="426" customFormat="1" ht="21" customHeight="1" x14ac:dyDescent="0.2">
      <c r="B429" s="1240" t="str">
        <f>'Detailed Matrix'!E57</f>
        <v>Domestic Hot Water</v>
      </c>
      <c r="C429" s="1228" t="str">
        <f>'Detailed Matrix'!F57</f>
        <v>Stage 3a: Decentralised local generation utilising low carbon heat available from district energy network</v>
      </c>
      <c r="D429" s="991" t="s">
        <v>556</v>
      </c>
      <c r="E429" s="992"/>
      <c r="F429" s="993"/>
      <c r="G429" s="994"/>
      <c r="H429" s="995"/>
      <c r="I429" s="996"/>
      <c r="J429" s="997"/>
      <c r="K429" s="998"/>
      <c r="L429" s="998"/>
      <c r="M429" s="998"/>
      <c r="N429" s="998"/>
      <c r="O429" s="997"/>
      <c r="P429" s="996"/>
    </row>
    <row r="430" spans="2:16" s="426" customFormat="1" ht="14.45" customHeight="1" x14ac:dyDescent="0.2">
      <c r="B430" s="1241"/>
      <c r="C430" s="1229"/>
      <c r="D430" s="986"/>
      <c r="E430" s="790">
        <v>1</v>
      </c>
      <c r="F430" s="791"/>
      <c r="G430" s="584"/>
      <c r="H430" s="792">
        <f t="shared" ref="H430:H433" si="69">E430*G430</f>
        <v>0</v>
      </c>
      <c r="I430" s="793"/>
      <c r="J430" s="794"/>
      <c r="K430" s="795"/>
      <c r="L430" s="795"/>
      <c r="M430" s="795"/>
      <c r="N430" s="795"/>
      <c r="O430" s="794"/>
      <c r="P430" s="793"/>
    </row>
    <row r="431" spans="2:16" s="426" customFormat="1" ht="14.45" customHeight="1" x14ac:dyDescent="0.2">
      <c r="B431" s="1241"/>
      <c r="C431" s="1229"/>
      <c r="D431" s="986"/>
      <c r="E431" s="790">
        <v>1</v>
      </c>
      <c r="F431" s="791"/>
      <c r="G431" s="584"/>
      <c r="H431" s="792">
        <f t="shared" si="69"/>
        <v>0</v>
      </c>
      <c r="I431" s="793"/>
      <c r="J431" s="794"/>
      <c r="K431" s="795"/>
      <c r="L431" s="795"/>
      <c r="M431" s="795"/>
      <c r="N431" s="795"/>
      <c r="O431" s="794"/>
      <c r="P431" s="793"/>
    </row>
    <row r="432" spans="2:16" s="426" customFormat="1" ht="14.45" customHeight="1" x14ac:dyDescent="0.2">
      <c r="B432" s="1241"/>
      <c r="C432" s="1229"/>
      <c r="D432" s="986" t="s">
        <v>560</v>
      </c>
      <c r="E432" s="790">
        <v>-1</v>
      </c>
      <c r="F432" s="791"/>
      <c r="G432" s="584">
        <f>I423+I412+I402</f>
        <v>0</v>
      </c>
      <c r="H432" s="792">
        <f t="shared" si="69"/>
        <v>0</v>
      </c>
      <c r="I432" s="793"/>
      <c r="J432" s="794"/>
      <c r="K432" s="795"/>
      <c r="L432" s="795"/>
      <c r="M432" s="795"/>
      <c r="N432" s="795"/>
      <c r="O432" s="794"/>
      <c r="P432" s="793"/>
    </row>
    <row r="433" spans="2:16" s="426" customFormat="1" ht="14.45" customHeight="1" x14ac:dyDescent="0.2">
      <c r="B433" s="1241"/>
      <c r="C433" s="1229"/>
      <c r="D433" s="986"/>
      <c r="E433" s="790"/>
      <c r="F433" s="791"/>
      <c r="G433" s="584"/>
      <c r="H433" s="792">
        <f t="shared" si="69"/>
        <v>0</v>
      </c>
      <c r="I433" s="793">
        <f>SUM(H429:H433)</f>
        <v>0</v>
      </c>
      <c r="J433" s="794">
        <f>I433*$J$5</f>
        <v>0</v>
      </c>
      <c r="K433" s="795">
        <f>SUM(I433:J433)*$K$5</f>
        <v>0</v>
      </c>
      <c r="L433" s="795">
        <f>SUM(I433:K433)*$L$5</f>
        <v>0</v>
      </c>
      <c r="M433" s="795">
        <f>SUM(I433:L433)*$M$5</f>
        <v>0</v>
      </c>
      <c r="N433" s="795">
        <f>SUM(I433:M433)*$N$5</f>
        <v>0</v>
      </c>
      <c r="O433" s="794">
        <f>SUM(I433:N433)</f>
        <v>0</v>
      </c>
      <c r="P433" s="793">
        <f>ROUND(O433,-3)</f>
        <v>0</v>
      </c>
    </row>
    <row r="434" spans="2:16" s="426" customFormat="1" ht="14.45" customHeight="1" x14ac:dyDescent="0.2">
      <c r="B434" s="1241"/>
      <c r="C434" s="1229"/>
      <c r="D434" s="986" t="s">
        <v>557</v>
      </c>
      <c r="E434" s="790"/>
      <c r="F434" s="791"/>
      <c r="G434" s="584"/>
      <c r="H434" s="792"/>
      <c r="I434" s="793"/>
      <c r="J434" s="794"/>
      <c r="K434" s="795"/>
      <c r="L434" s="795"/>
      <c r="M434" s="795"/>
      <c r="N434" s="795"/>
      <c r="O434" s="794"/>
      <c r="P434" s="793"/>
    </row>
    <row r="435" spans="2:16" s="426" customFormat="1" ht="14.45" customHeight="1" x14ac:dyDescent="0.2">
      <c r="B435" s="1241"/>
      <c r="C435" s="1229"/>
      <c r="D435" s="986"/>
      <c r="E435" s="790">
        <v>1</v>
      </c>
      <c r="F435" s="791"/>
      <c r="G435" s="584"/>
      <c r="H435" s="792">
        <f>E435*G435</f>
        <v>0</v>
      </c>
      <c r="I435" s="793"/>
      <c r="J435" s="794"/>
      <c r="K435" s="795"/>
      <c r="L435" s="795"/>
      <c r="M435" s="795"/>
      <c r="N435" s="795"/>
      <c r="O435" s="794"/>
      <c r="P435" s="793"/>
    </row>
    <row r="436" spans="2:16" s="426" customFormat="1" ht="14.45" customHeight="1" x14ac:dyDescent="0.2">
      <c r="B436" s="1241"/>
      <c r="C436" s="1229"/>
      <c r="D436" s="986"/>
      <c r="E436" s="790">
        <v>1</v>
      </c>
      <c r="F436" s="791"/>
      <c r="G436" s="584"/>
      <c r="H436" s="792">
        <f>E436*G436</f>
        <v>0</v>
      </c>
      <c r="I436" s="793"/>
      <c r="J436" s="794"/>
      <c r="K436" s="795"/>
      <c r="L436" s="795"/>
      <c r="M436" s="795"/>
      <c r="N436" s="795"/>
      <c r="O436" s="794"/>
      <c r="P436" s="793"/>
    </row>
    <row r="437" spans="2:16" s="426" customFormat="1" ht="14.45" customHeight="1" x14ac:dyDescent="0.2">
      <c r="B437" s="1241"/>
      <c r="C437" s="1229"/>
      <c r="D437" s="986" t="s">
        <v>560</v>
      </c>
      <c r="E437" s="790">
        <v>-1</v>
      </c>
      <c r="F437" s="791"/>
      <c r="G437" s="584">
        <f>I428+I417+I407</f>
        <v>0</v>
      </c>
      <c r="H437" s="792">
        <f>E437*G437</f>
        <v>0</v>
      </c>
      <c r="I437" s="793"/>
      <c r="J437" s="794"/>
      <c r="K437" s="795"/>
      <c r="L437" s="795"/>
      <c r="M437" s="795"/>
      <c r="N437" s="795"/>
      <c r="O437" s="794"/>
      <c r="P437" s="793"/>
    </row>
    <row r="438" spans="2:16" s="426" customFormat="1" ht="15" customHeight="1" thickBot="1" x14ac:dyDescent="0.25">
      <c r="B438" s="1242"/>
      <c r="C438" s="1230"/>
      <c r="D438" s="987"/>
      <c r="E438" s="988">
        <v>1</v>
      </c>
      <c r="F438" s="796"/>
      <c r="G438" s="797"/>
      <c r="H438" s="798">
        <f t="shared" ref="H438" si="70">E438*G438</f>
        <v>0</v>
      </c>
      <c r="I438" s="799">
        <f>SUM(H434:H438)</f>
        <v>0</v>
      </c>
      <c r="J438" s="800">
        <f>I438*$J$5</f>
        <v>0</v>
      </c>
      <c r="K438" s="801">
        <f>SUM(I438:J438)*$K$5</f>
        <v>0</v>
      </c>
      <c r="L438" s="801">
        <f>SUM(I438:K438)*$L$5</f>
        <v>0</v>
      </c>
      <c r="M438" s="801">
        <f>SUM(I438:L438)*$M$5</f>
        <v>0</v>
      </c>
      <c r="N438" s="801">
        <f>SUM(I438:M438)*$N$5</f>
        <v>0</v>
      </c>
      <c r="O438" s="800">
        <f>SUM(I438:N438)</f>
        <v>0</v>
      </c>
      <c r="P438" s="799">
        <f>ROUND(O438,-3)</f>
        <v>0</v>
      </c>
    </row>
    <row r="439" spans="2:16" s="426" customFormat="1" ht="21" customHeight="1" x14ac:dyDescent="0.2">
      <c r="B439" s="1240" t="str">
        <f>'Detailed Matrix'!E58</f>
        <v>Domestic Hot Water</v>
      </c>
      <c r="C439" s="1228" t="str">
        <f>'Detailed Matrix'!F58</f>
        <v>Stage 3b: Centralised system utilising low carbon heat available from district energy network</v>
      </c>
      <c r="D439" s="986" t="s">
        <v>556</v>
      </c>
      <c r="E439" s="790"/>
      <c r="F439" s="791"/>
      <c r="G439" s="584"/>
      <c r="H439" s="792"/>
      <c r="I439" s="793"/>
      <c r="J439" s="794"/>
      <c r="K439" s="795"/>
      <c r="L439" s="795"/>
      <c r="M439" s="795"/>
      <c r="N439" s="795"/>
      <c r="O439" s="794"/>
      <c r="P439" s="793"/>
    </row>
    <row r="440" spans="2:16" s="426" customFormat="1" ht="11.25" x14ac:dyDescent="0.2">
      <c r="B440" s="1241"/>
      <c r="C440" s="1229"/>
      <c r="D440" s="986"/>
      <c r="E440" s="790">
        <v>1</v>
      </c>
      <c r="F440" s="791"/>
      <c r="G440" s="584"/>
      <c r="H440" s="792">
        <f t="shared" ref="H440:H443" si="71">E440*G440</f>
        <v>0</v>
      </c>
      <c r="I440" s="793"/>
      <c r="J440" s="794"/>
      <c r="K440" s="795"/>
      <c r="L440" s="795"/>
      <c r="M440" s="795"/>
      <c r="N440" s="795"/>
      <c r="O440" s="794"/>
      <c r="P440" s="793"/>
    </row>
    <row r="441" spans="2:16" s="426" customFormat="1" ht="11.25" x14ac:dyDescent="0.2">
      <c r="B441" s="1241"/>
      <c r="C441" s="1229"/>
      <c r="D441" s="986"/>
      <c r="E441" s="790">
        <v>1</v>
      </c>
      <c r="F441" s="791"/>
      <c r="G441" s="584"/>
      <c r="H441" s="792">
        <f t="shared" si="71"/>
        <v>0</v>
      </c>
      <c r="I441" s="793"/>
      <c r="J441" s="794"/>
      <c r="K441" s="795"/>
      <c r="L441" s="795"/>
      <c r="M441" s="795"/>
      <c r="N441" s="795"/>
      <c r="O441" s="794"/>
      <c r="P441" s="793"/>
    </row>
    <row r="442" spans="2:16" s="426" customFormat="1" ht="11.25" x14ac:dyDescent="0.2">
      <c r="B442" s="1241"/>
      <c r="C442" s="1229"/>
      <c r="D442" s="986" t="s">
        <v>561</v>
      </c>
      <c r="E442" s="790">
        <v>-1</v>
      </c>
      <c r="F442" s="791"/>
      <c r="G442" s="584">
        <f>I433+I423+I412+I402</f>
        <v>0</v>
      </c>
      <c r="H442" s="792">
        <f t="shared" si="71"/>
        <v>0</v>
      </c>
      <c r="I442" s="793"/>
      <c r="J442" s="794"/>
      <c r="K442" s="795"/>
      <c r="L442" s="795"/>
      <c r="M442" s="795"/>
      <c r="N442" s="795"/>
      <c r="O442" s="794"/>
      <c r="P442" s="793"/>
    </row>
    <row r="443" spans="2:16" s="426" customFormat="1" ht="11.25" x14ac:dyDescent="0.2">
      <c r="B443" s="1241"/>
      <c r="C443" s="1229"/>
      <c r="D443" s="986"/>
      <c r="E443" s="790"/>
      <c r="F443" s="791"/>
      <c r="G443" s="584"/>
      <c r="H443" s="792">
        <f t="shared" si="71"/>
        <v>0</v>
      </c>
      <c r="I443" s="793">
        <f>SUM(H439:H443)</f>
        <v>0</v>
      </c>
      <c r="J443" s="794">
        <f>I443*$J$5</f>
        <v>0</v>
      </c>
      <c r="K443" s="795">
        <f>SUM(I443:J443)*$K$5</f>
        <v>0</v>
      </c>
      <c r="L443" s="795">
        <f>SUM(I443:K443)*$L$5</f>
        <v>0</v>
      </c>
      <c r="M443" s="795">
        <f>SUM(I443:L443)*$M$5</f>
        <v>0</v>
      </c>
      <c r="N443" s="795">
        <f>SUM(I443:M443)*$N$5</f>
        <v>0</v>
      </c>
      <c r="O443" s="794">
        <f>SUM(I443:N443)</f>
        <v>0</v>
      </c>
      <c r="P443" s="793">
        <f>ROUND(O443,-3)</f>
        <v>0</v>
      </c>
    </row>
    <row r="444" spans="2:16" s="426" customFormat="1" ht="11.25" x14ac:dyDescent="0.2">
      <c r="B444" s="1241"/>
      <c r="C444" s="1229"/>
      <c r="D444" s="986" t="s">
        <v>557</v>
      </c>
      <c r="E444" s="790"/>
      <c r="F444" s="791"/>
      <c r="G444" s="584"/>
      <c r="H444" s="792"/>
      <c r="I444" s="793"/>
      <c r="J444" s="794"/>
      <c r="K444" s="795"/>
      <c r="L444" s="795"/>
      <c r="M444" s="795"/>
      <c r="N444" s="795"/>
      <c r="O444" s="794"/>
      <c r="P444" s="793"/>
    </row>
    <row r="445" spans="2:16" s="426" customFormat="1" ht="11.25" x14ac:dyDescent="0.2">
      <c r="B445" s="1241"/>
      <c r="C445" s="1229"/>
      <c r="D445" s="986"/>
      <c r="E445" s="790">
        <v>1</v>
      </c>
      <c r="F445" s="791"/>
      <c r="G445" s="584"/>
      <c r="H445" s="792">
        <f>E445*G445</f>
        <v>0</v>
      </c>
      <c r="I445" s="793"/>
      <c r="J445" s="794"/>
      <c r="K445" s="795"/>
      <c r="L445" s="795"/>
      <c r="M445" s="795"/>
      <c r="N445" s="795"/>
      <c r="O445" s="794"/>
      <c r="P445" s="793"/>
    </row>
    <row r="446" spans="2:16" s="426" customFormat="1" ht="11.25" x14ac:dyDescent="0.2">
      <c r="B446" s="1241"/>
      <c r="C446" s="1229"/>
      <c r="D446" s="986"/>
      <c r="E446" s="790">
        <v>1</v>
      </c>
      <c r="F446" s="791"/>
      <c r="G446" s="584"/>
      <c r="H446" s="792">
        <f>E446*G446</f>
        <v>0</v>
      </c>
      <c r="I446" s="793"/>
      <c r="J446" s="794"/>
      <c r="K446" s="795"/>
      <c r="L446" s="795"/>
      <c r="M446" s="795"/>
      <c r="N446" s="795"/>
      <c r="O446" s="794"/>
      <c r="P446" s="793"/>
    </row>
    <row r="447" spans="2:16" s="426" customFormat="1" ht="11.25" x14ac:dyDescent="0.2">
      <c r="B447" s="1241"/>
      <c r="C447" s="1229"/>
      <c r="D447" s="986" t="s">
        <v>561</v>
      </c>
      <c r="E447" s="790">
        <v>-1</v>
      </c>
      <c r="F447" s="791"/>
      <c r="G447" s="584">
        <f>I438+I428+I417+I407</f>
        <v>0</v>
      </c>
      <c r="H447" s="792">
        <f>E447*G447</f>
        <v>0</v>
      </c>
      <c r="I447" s="793"/>
      <c r="J447" s="794"/>
      <c r="K447" s="795"/>
      <c r="L447" s="795"/>
      <c r="M447" s="795"/>
      <c r="N447" s="795"/>
      <c r="O447" s="794"/>
      <c r="P447" s="793"/>
    </row>
    <row r="448" spans="2:16" s="426" customFormat="1" ht="12" thickBot="1" x14ac:dyDescent="0.25">
      <c r="B448" s="1242"/>
      <c r="C448" s="1230"/>
      <c r="D448" s="986"/>
      <c r="E448" s="790">
        <v>1</v>
      </c>
      <c r="F448" s="791"/>
      <c r="G448" s="584"/>
      <c r="H448" s="792">
        <f t="shared" ref="H448" si="72">E448*G448</f>
        <v>0</v>
      </c>
      <c r="I448" s="793">
        <f>SUM(H444:H448)</f>
        <v>0</v>
      </c>
      <c r="J448" s="794">
        <f>I448*$J$5</f>
        <v>0</v>
      </c>
      <c r="K448" s="795">
        <f>SUM(I448:J448)*$K$5</f>
        <v>0</v>
      </c>
      <c r="L448" s="795">
        <f>SUM(I448:K448)*$L$5</f>
        <v>0</v>
      </c>
      <c r="M448" s="795">
        <f>SUM(I448:L448)*$M$5</f>
        <v>0</v>
      </c>
      <c r="N448" s="795">
        <f>SUM(I448:M448)*$N$5</f>
        <v>0</v>
      </c>
      <c r="O448" s="794">
        <f>SUM(I448:N448)</f>
        <v>0</v>
      </c>
      <c r="P448" s="793">
        <f>ROUND(O448,-3)</f>
        <v>0</v>
      </c>
    </row>
    <row r="449" spans="2:16" s="426" customFormat="1" ht="11.25" x14ac:dyDescent="0.2">
      <c r="B449" s="1240" t="str">
        <f>'Detailed Matrix'!E59</f>
        <v>Domestic Hot Water</v>
      </c>
      <c r="C449" s="1228" t="str">
        <f>'Detailed Matrix'!F59</f>
        <v>Stage 4: Use receoverd energy to pre-heat water (heat recovery from plant etc.)</v>
      </c>
      <c r="D449" s="991" t="s">
        <v>556</v>
      </c>
      <c r="E449" s="992"/>
      <c r="F449" s="993"/>
      <c r="G449" s="994"/>
      <c r="H449" s="995"/>
      <c r="I449" s="996"/>
      <c r="J449" s="997"/>
      <c r="K449" s="998"/>
      <c r="L449" s="998"/>
      <c r="M449" s="998"/>
      <c r="N449" s="998"/>
      <c r="O449" s="997"/>
      <c r="P449" s="996"/>
    </row>
    <row r="450" spans="2:16" s="426" customFormat="1" ht="11.25" x14ac:dyDescent="0.2">
      <c r="B450" s="1241"/>
      <c r="C450" s="1229"/>
      <c r="D450" s="986"/>
      <c r="E450" s="790">
        <v>1</v>
      </c>
      <c r="F450" s="791"/>
      <c r="G450" s="584"/>
      <c r="H450" s="792">
        <f t="shared" ref="H450:H453" si="73">E450*G450</f>
        <v>0</v>
      </c>
      <c r="I450" s="793"/>
      <c r="J450" s="794"/>
      <c r="K450" s="795"/>
      <c r="L450" s="795"/>
      <c r="M450" s="795"/>
      <c r="N450" s="795"/>
      <c r="O450" s="794"/>
      <c r="P450" s="793"/>
    </row>
    <row r="451" spans="2:16" s="426" customFormat="1" ht="11.25" x14ac:dyDescent="0.2">
      <c r="B451" s="1241"/>
      <c r="C451" s="1229"/>
      <c r="D451" s="986"/>
      <c r="E451" s="790">
        <v>1</v>
      </c>
      <c r="F451" s="791"/>
      <c r="G451" s="584"/>
      <c r="H451" s="792">
        <f t="shared" si="73"/>
        <v>0</v>
      </c>
      <c r="I451" s="793"/>
      <c r="J451" s="794"/>
      <c r="K451" s="795"/>
      <c r="L451" s="795"/>
      <c r="M451" s="795"/>
      <c r="N451" s="795"/>
      <c r="O451" s="794"/>
      <c r="P451" s="793"/>
    </row>
    <row r="452" spans="2:16" s="426" customFormat="1" ht="11.25" x14ac:dyDescent="0.2">
      <c r="B452" s="1241"/>
      <c r="C452" s="1229"/>
      <c r="D452" s="986" t="s">
        <v>562</v>
      </c>
      <c r="E452" s="790">
        <v>-1</v>
      </c>
      <c r="F452" s="791"/>
      <c r="G452" s="584">
        <f>I443+I433+I423+I412+I402</f>
        <v>0</v>
      </c>
      <c r="H452" s="792">
        <f t="shared" si="73"/>
        <v>0</v>
      </c>
      <c r="I452" s="793"/>
      <c r="J452" s="794"/>
      <c r="K452" s="795"/>
      <c r="L452" s="795"/>
      <c r="M452" s="795"/>
      <c r="N452" s="795"/>
      <c r="O452" s="794"/>
      <c r="P452" s="793"/>
    </row>
    <row r="453" spans="2:16" s="426" customFormat="1" ht="11.25" x14ac:dyDescent="0.2">
      <c r="B453" s="1241"/>
      <c r="C453" s="1229"/>
      <c r="D453" s="986"/>
      <c r="E453" s="790"/>
      <c r="F453" s="791"/>
      <c r="G453" s="584"/>
      <c r="H453" s="792">
        <f t="shared" si="73"/>
        <v>0</v>
      </c>
      <c r="I453" s="793">
        <f>SUM(H449:H453)</f>
        <v>0</v>
      </c>
      <c r="J453" s="794">
        <f>I453*$J$5</f>
        <v>0</v>
      </c>
      <c r="K453" s="795">
        <f>SUM(I453:J453)*$K$5</f>
        <v>0</v>
      </c>
      <c r="L453" s="795">
        <f>SUM(I453:K453)*$L$5</f>
        <v>0</v>
      </c>
      <c r="M453" s="795">
        <f>SUM(I453:L453)*$M$5</f>
        <v>0</v>
      </c>
      <c r="N453" s="795">
        <f>SUM(I453:M453)*$N$5</f>
        <v>0</v>
      </c>
      <c r="O453" s="794">
        <f>SUM(I453:N453)</f>
        <v>0</v>
      </c>
      <c r="P453" s="793">
        <f>ROUND(O453,-3)</f>
        <v>0</v>
      </c>
    </row>
    <row r="454" spans="2:16" s="426" customFormat="1" ht="11.25" x14ac:dyDescent="0.2">
      <c r="B454" s="1241"/>
      <c r="C454" s="1229"/>
      <c r="D454" s="986" t="s">
        <v>557</v>
      </c>
      <c r="E454" s="790"/>
      <c r="F454" s="791"/>
      <c r="G454" s="584"/>
      <c r="H454" s="792"/>
      <c r="I454" s="793"/>
      <c r="J454" s="794"/>
      <c r="K454" s="795"/>
      <c r="L454" s="795"/>
      <c r="M454" s="795"/>
      <c r="N454" s="795"/>
      <c r="O454" s="794"/>
      <c r="P454" s="793"/>
    </row>
    <row r="455" spans="2:16" s="426" customFormat="1" ht="11.25" x14ac:dyDescent="0.2">
      <c r="B455" s="1241"/>
      <c r="C455" s="1229"/>
      <c r="D455" s="986"/>
      <c r="E455" s="790">
        <v>1</v>
      </c>
      <c r="F455" s="791"/>
      <c r="G455" s="584"/>
      <c r="H455" s="792">
        <f>E455*G455</f>
        <v>0</v>
      </c>
      <c r="I455" s="793"/>
      <c r="J455" s="794"/>
      <c r="K455" s="795"/>
      <c r="L455" s="795"/>
      <c r="M455" s="795"/>
      <c r="N455" s="795"/>
      <c r="O455" s="794"/>
      <c r="P455" s="793"/>
    </row>
    <row r="456" spans="2:16" s="426" customFormat="1" ht="11.25" x14ac:dyDescent="0.2">
      <c r="B456" s="1241"/>
      <c r="C456" s="1229"/>
      <c r="D456" s="986"/>
      <c r="E456" s="790">
        <v>1</v>
      </c>
      <c r="F456" s="791"/>
      <c r="G456" s="584"/>
      <c r="H456" s="792">
        <f>E456*G456</f>
        <v>0</v>
      </c>
      <c r="I456" s="793"/>
      <c r="J456" s="794"/>
      <c r="K456" s="795"/>
      <c r="L456" s="795"/>
      <c r="M456" s="795"/>
      <c r="N456" s="795"/>
      <c r="O456" s="794"/>
      <c r="P456" s="793"/>
    </row>
    <row r="457" spans="2:16" s="426" customFormat="1" ht="11.25" x14ac:dyDescent="0.2">
      <c r="B457" s="1241"/>
      <c r="C457" s="1229"/>
      <c r="D457" s="986" t="s">
        <v>562</v>
      </c>
      <c r="E457" s="790">
        <v>-1</v>
      </c>
      <c r="F457" s="791"/>
      <c r="G457" s="584">
        <f>I448+I438+I428+I417+I407</f>
        <v>0</v>
      </c>
      <c r="H457" s="792">
        <f>E457*G457</f>
        <v>0</v>
      </c>
      <c r="I457" s="793"/>
      <c r="J457" s="794"/>
      <c r="K457" s="795"/>
      <c r="L457" s="795"/>
      <c r="M457" s="795"/>
      <c r="N457" s="795"/>
      <c r="O457" s="794"/>
      <c r="P457" s="793"/>
    </row>
    <row r="458" spans="2:16" s="426" customFormat="1" ht="12" thickBot="1" x14ac:dyDescent="0.25">
      <c r="B458" s="1242"/>
      <c r="C458" s="1230"/>
      <c r="D458" s="987"/>
      <c r="E458" s="988">
        <v>1</v>
      </c>
      <c r="F458" s="796"/>
      <c r="G458" s="797"/>
      <c r="H458" s="798">
        <f t="shared" ref="H458" si="74">E458*G458</f>
        <v>0</v>
      </c>
      <c r="I458" s="799">
        <f>SUM(H454:H458)</f>
        <v>0</v>
      </c>
      <c r="J458" s="800">
        <f>I458*$J$5</f>
        <v>0</v>
      </c>
      <c r="K458" s="801">
        <f>SUM(I458:J458)*$K$5</f>
        <v>0</v>
      </c>
      <c r="L458" s="801">
        <f>SUM(I458:K458)*$L$5</f>
        <v>0</v>
      </c>
      <c r="M458" s="801">
        <f>SUM(I458:L458)*$M$5</f>
        <v>0</v>
      </c>
      <c r="N458" s="801">
        <f>SUM(I458:M458)*$N$5</f>
        <v>0</v>
      </c>
      <c r="O458" s="800">
        <f>SUM(I458:N458)</f>
        <v>0</v>
      </c>
      <c r="P458" s="799">
        <f>ROUND(O458,-3)</f>
        <v>0</v>
      </c>
    </row>
    <row r="459" spans="2:16" s="426" customFormat="1" ht="11.25" x14ac:dyDescent="0.2">
      <c r="B459" s="1240" t="str">
        <f>'Detailed Matrix'!E60</f>
        <v>Domestic Hot Water</v>
      </c>
      <c r="C459" s="1228" t="str">
        <f>'Detailed Matrix'!F60</f>
        <v>Stage 5: Utilise solar collectors to off-set primary energy use.</v>
      </c>
      <c r="D459" s="991" t="s">
        <v>556</v>
      </c>
      <c r="E459" s="992"/>
      <c r="F459" s="993"/>
      <c r="G459" s="994"/>
      <c r="H459" s="995"/>
      <c r="I459" s="996"/>
      <c r="J459" s="997"/>
      <c r="K459" s="998"/>
      <c r="L459" s="998"/>
      <c r="M459" s="998"/>
      <c r="N459" s="998"/>
      <c r="O459" s="997"/>
      <c r="P459" s="996"/>
    </row>
    <row r="460" spans="2:16" s="426" customFormat="1" ht="11.25" x14ac:dyDescent="0.2">
      <c r="B460" s="1241"/>
      <c r="C460" s="1229"/>
      <c r="D460" s="986"/>
      <c r="E460" s="790">
        <v>1</v>
      </c>
      <c r="F460" s="791"/>
      <c r="G460" s="584"/>
      <c r="H460" s="792">
        <f t="shared" ref="H460:H463" si="75">E460*G460</f>
        <v>0</v>
      </c>
      <c r="I460" s="793"/>
      <c r="J460" s="794"/>
      <c r="K460" s="795"/>
      <c r="L460" s="795"/>
      <c r="M460" s="795"/>
      <c r="N460" s="795"/>
      <c r="O460" s="794"/>
      <c r="P460" s="793"/>
    </row>
    <row r="461" spans="2:16" s="426" customFormat="1" ht="11.25" x14ac:dyDescent="0.2">
      <c r="B461" s="1241"/>
      <c r="C461" s="1229"/>
      <c r="D461" s="986"/>
      <c r="E461" s="790">
        <v>1</v>
      </c>
      <c r="F461" s="791"/>
      <c r="G461" s="584"/>
      <c r="H461" s="792">
        <f t="shared" si="75"/>
        <v>0</v>
      </c>
      <c r="I461" s="793"/>
      <c r="J461" s="794"/>
      <c r="K461" s="795"/>
      <c r="L461" s="795"/>
      <c r="M461" s="795"/>
      <c r="N461" s="795"/>
      <c r="O461" s="794"/>
      <c r="P461" s="793"/>
    </row>
    <row r="462" spans="2:16" s="426" customFormat="1" ht="11.25" x14ac:dyDescent="0.2">
      <c r="B462" s="1241"/>
      <c r="C462" s="1229"/>
      <c r="D462" s="986" t="s">
        <v>567</v>
      </c>
      <c r="E462" s="790">
        <v>-1</v>
      </c>
      <c r="F462" s="791"/>
      <c r="G462" s="584">
        <f>I453+I443+I433+I423+I412+I402</f>
        <v>0</v>
      </c>
      <c r="H462" s="792">
        <f t="shared" si="75"/>
        <v>0</v>
      </c>
      <c r="I462" s="793"/>
      <c r="J462" s="794"/>
      <c r="K462" s="795"/>
      <c r="L462" s="795"/>
      <c r="M462" s="795"/>
      <c r="N462" s="795"/>
      <c r="O462" s="794"/>
      <c r="P462" s="793"/>
    </row>
    <row r="463" spans="2:16" s="426" customFormat="1" ht="11.25" x14ac:dyDescent="0.2">
      <c r="B463" s="1241"/>
      <c r="C463" s="1229"/>
      <c r="D463" s="986"/>
      <c r="E463" s="790"/>
      <c r="F463" s="791"/>
      <c r="G463" s="584"/>
      <c r="H463" s="792">
        <f t="shared" si="75"/>
        <v>0</v>
      </c>
      <c r="I463" s="793">
        <f>SUM(H459:H463)</f>
        <v>0</v>
      </c>
      <c r="J463" s="794">
        <f>I463*$J$5</f>
        <v>0</v>
      </c>
      <c r="K463" s="795">
        <f>SUM(I463:J463)*$K$5</f>
        <v>0</v>
      </c>
      <c r="L463" s="795">
        <f>SUM(I463:K463)*$L$5</f>
        <v>0</v>
      </c>
      <c r="M463" s="795">
        <f>SUM(I463:L463)*$M$5</f>
        <v>0</v>
      </c>
      <c r="N463" s="795">
        <f>SUM(I463:M463)*$N$5</f>
        <v>0</v>
      </c>
      <c r="O463" s="794">
        <f>SUM(I463:N463)</f>
        <v>0</v>
      </c>
      <c r="P463" s="793">
        <f>ROUND(O463,-3)</f>
        <v>0</v>
      </c>
    </row>
    <row r="464" spans="2:16" s="426" customFormat="1" ht="11.25" x14ac:dyDescent="0.2">
      <c r="B464" s="1241"/>
      <c r="C464" s="1229"/>
      <c r="D464" s="986" t="s">
        <v>557</v>
      </c>
      <c r="E464" s="790"/>
      <c r="F464" s="791"/>
      <c r="G464" s="584"/>
      <c r="H464" s="792"/>
      <c r="I464" s="793"/>
      <c r="J464" s="794"/>
      <c r="K464" s="795"/>
      <c r="L464" s="795"/>
      <c r="M464" s="795"/>
      <c r="N464" s="795"/>
      <c r="O464" s="794"/>
      <c r="P464" s="793"/>
    </row>
    <row r="465" spans="2:16" s="426" customFormat="1" ht="11.25" x14ac:dyDescent="0.2">
      <c r="B465" s="1241"/>
      <c r="C465" s="1229"/>
      <c r="D465" s="986"/>
      <c r="E465" s="790">
        <v>1</v>
      </c>
      <c r="F465" s="791"/>
      <c r="G465" s="584"/>
      <c r="H465" s="792">
        <f>E465*G465</f>
        <v>0</v>
      </c>
      <c r="I465" s="793"/>
      <c r="J465" s="794"/>
      <c r="K465" s="795"/>
      <c r="L465" s="795"/>
      <c r="M465" s="795"/>
      <c r="N465" s="795"/>
      <c r="O465" s="794"/>
      <c r="P465" s="793"/>
    </row>
    <row r="466" spans="2:16" s="426" customFormat="1" ht="11.25" x14ac:dyDescent="0.2">
      <c r="B466" s="1241"/>
      <c r="C466" s="1229"/>
      <c r="D466" s="986"/>
      <c r="E466" s="790">
        <v>1</v>
      </c>
      <c r="F466" s="791"/>
      <c r="G466" s="584"/>
      <c r="H466" s="792">
        <f>E466*G466</f>
        <v>0</v>
      </c>
      <c r="I466" s="793"/>
      <c r="J466" s="794"/>
      <c r="K466" s="795"/>
      <c r="L466" s="795"/>
      <c r="M466" s="795"/>
      <c r="N466" s="795"/>
      <c r="O466" s="794"/>
      <c r="P466" s="793"/>
    </row>
    <row r="467" spans="2:16" s="426" customFormat="1" ht="11.25" x14ac:dyDescent="0.2">
      <c r="B467" s="1241"/>
      <c r="C467" s="1229"/>
      <c r="D467" s="986" t="s">
        <v>567</v>
      </c>
      <c r="E467" s="790">
        <v>-1</v>
      </c>
      <c r="F467" s="791"/>
      <c r="G467" s="584">
        <f>I458+I448+I438+I428+I417+I407</f>
        <v>0</v>
      </c>
      <c r="H467" s="792">
        <f>E467*G467</f>
        <v>0</v>
      </c>
      <c r="I467" s="793"/>
      <c r="J467" s="794"/>
      <c r="K467" s="795"/>
      <c r="L467" s="795"/>
      <c r="M467" s="795"/>
      <c r="N467" s="795"/>
      <c r="O467" s="794"/>
      <c r="P467" s="793"/>
    </row>
    <row r="468" spans="2:16" s="426" customFormat="1" ht="12" thickBot="1" x14ac:dyDescent="0.25">
      <c r="B468" s="1242"/>
      <c r="C468" s="1230"/>
      <c r="D468" s="987"/>
      <c r="E468" s="988">
        <v>1</v>
      </c>
      <c r="F468" s="796"/>
      <c r="G468" s="797"/>
      <c r="H468" s="798">
        <f t="shared" ref="H468:H473" si="76">E468*G468</f>
        <v>0</v>
      </c>
      <c r="I468" s="799">
        <f>SUM(H464:H468)</f>
        <v>0</v>
      </c>
      <c r="J468" s="800">
        <f>I468*$J$5</f>
        <v>0</v>
      </c>
      <c r="K468" s="801">
        <f>SUM(I468:J468)*$K$5</f>
        <v>0</v>
      </c>
      <c r="L468" s="801">
        <f>SUM(I468:K468)*$L$5</f>
        <v>0</v>
      </c>
      <c r="M468" s="801">
        <f>SUM(I468:L468)*$M$5</f>
        <v>0</v>
      </c>
      <c r="N468" s="801">
        <f>SUM(I468:M468)*$N$5</f>
        <v>0</v>
      </c>
      <c r="O468" s="800">
        <f>SUM(I468:N468)</f>
        <v>0</v>
      </c>
      <c r="P468" s="799">
        <f>ROUND(O468,-3)</f>
        <v>0</v>
      </c>
    </row>
    <row r="469" spans="2:16" s="426" customFormat="1" ht="11.25" x14ac:dyDescent="0.2">
      <c r="B469" s="1240" t="str">
        <f>'Detailed Matrix'!E62</f>
        <v>Domestic Cold Water</v>
      </c>
      <c r="C469" s="1228" t="str">
        <f>'Detailed Matrix'!F62</f>
        <v>Stage 01: Provision in line with TRD</v>
      </c>
      <c r="D469" s="991" t="s">
        <v>556</v>
      </c>
      <c r="E469" s="992">
        <v>1</v>
      </c>
      <c r="F469" s="993"/>
      <c r="G469" s="994"/>
      <c r="H469" s="995">
        <f t="shared" si="76"/>
        <v>0</v>
      </c>
      <c r="I469" s="996"/>
      <c r="J469" s="997"/>
      <c r="K469" s="998"/>
      <c r="L469" s="998"/>
      <c r="M469" s="998"/>
      <c r="N469" s="998"/>
      <c r="O469" s="997"/>
      <c r="P469" s="996"/>
    </row>
    <row r="470" spans="2:16" s="426" customFormat="1" ht="11.25" x14ac:dyDescent="0.2">
      <c r="B470" s="1241"/>
      <c r="C470" s="1229"/>
      <c r="D470" s="986"/>
      <c r="E470" s="790">
        <v>1</v>
      </c>
      <c r="F470" s="791"/>
      <c r="G470" s="584"/>
      <c r="H470" s="792">
        <f t="shared" si="76"/>
        <v>0</v>
      </c>
      <c r="I470" s="793"/>
      <c r="J470" s="794"/>
      <c r="K470" s="795"/>
      <c r="L470" s="795"/>
      <c r="M470" s="795"/>
      <c r="N470" s="795"/>
      <c r="O470" s="794"/>
      <c r="P470" s="793"/>
    </row>
    <row r="471" spans="2:16" s="426" customFormat="1" ht="11.25" x14ac:dyDescent="0.2">
      <c r="B471" s="1241"/>
      <c r="C471" s="1229"/>
      <c r="D471" s="986"/>
      <c r="E471" s="790">
        <v>1</v>
      </c>
      <c r="F471" s="791"/>
      <c r="G471" s="584"/>
      <c r="H471" s="792">
        <f t="shared" si="76"/>
        <v>0</v>
      </c>
      <c r="I471" s="793"/>
      <c r="J471" s="794"/>
      <c r="K471" s="795"/>
      <c r="L471" s="795"/>
      <c r="M471" s="795"/>
      <c r="N471" s="795"/>
      <c r="O471" s="794"/>
      <c r="P471" s="793"/>
    </row>
    <row r="472" spans="2:16" s="426" customFormat="1" ht="11.25" x14ac:dyDescent="0.2">
      <c r="B472" s="1241"/>
      <c r="C472" s="1229"/>
      <c r="D472" s="986"/>
      <c r="E472" s="790">
        <v>1</v>
      </c>
      <c r="F472" s="791"/>
      <c r="G472" s="584"/>
      <c r="H472" s="792">
        <f t="shared" si="76"/>
        <v>0</v>
      </c>
      <c r="I472" s="793"/>
      <c r="J472" s="794"/>
      <c r="K472" s="795"/>
      <c r="L472" s="795"/>
      <c r="M472" s="795"/>
      <c r="N472" s="795"/>
      <c r="O472" s="794"/>
      <c r="P472" s="793"/>
    </row>
    <row r="473" spans="2:16" s="426" customFormat="1" ht="11.25" x14ac:dyDescent="0.2">
      <c r="B473" s="1241"/>
      <c r="C473" s="1229"/>
      <c r="D473" s="986" t="s">
        <v>566</v>
      </c>
      <c r="E473" s="790">
        <v>1</v>
      </c>
      <c r="F473" s="791"/>
      <c r="G473" s="584"/>
      <c r="H473" s="792">
        <f t="shared" si="76"/>
        <v>0</v>
      </c>
      <c r="I473" s="793">
        <f>SUM(H469:H473)</f>
        <v>0</v>
      </c>
      <c r="J473" s="794">
        <f>I473*$J$5</f>
        <v>0</v>
      </c>
      <c r="K473" s="795">
        <f>SUM(I473:J473)*$K$5</f>
        <v>0</v>
      </c>
      <c r="L473" s="795">
        <f>SUM(I473:K473)*$L$5</f>
        <v>0</v>
      </c>
      <c r="M473" s="795">
        <f>SUM(I473:L473)*$M$5</f>
        <v>0</v>
      </c>
      <c r="N473" s="795">
        <f>SUM(I473:M473)*$N$5</f>
        <v>0</v>
      </c>
      <c r="O473" s="794">
        <f>SUM(I473:N473)</f>
        <v>0</v>
      </c>
      <c r="P473" s="793">
        <f>ROUND(O473,-3)</f>
        <v>0</v>
      </c>
    </row>
    <row r="474" spans="2:16" s="426" customFormat="1" ht="11.25" x14ac:dyDescent="0.2">
      <c r="B474" s="1241"/>
      <c r="C474" s="1229"/>
      <c r="D474" s="986"/>
      <c r="E474" s="790"/>
      <c r="F474" s="791"/>
      <c r="G474" s="584"/>
      <c r="H474" s="792"/>
      <c r="I474" s="793"/>
      <c r="J474" s="794"/>
      <c r="K474" s="795"/>
      <c r="L474" s="795"/>
      <c r="M474" s="795"/>
      <c r="N474" s="795"/>
      <c r="O474" s="794"/>
      <c r="P474" s="793"/>
    </row>
    <row r="475" spans="2:16" s="426" customFormat="1" ht="11.25" x14ac:dyDescent="0.2">
      <c r="B475" s="1241"/>
      <c r="C475" s="1229"/>
      <c r="D475" s="986" t="s">
        <v>557</v>
      </c>
      <c r="E475" s="790">
        <v>1</v>
      </c>
      <c r="F475" s="791"/>
      <c r="G475" s="584"/>
      <c r="H475" s="792">
        <f t="shared" ref="H475:H482" si="77">E475*G475</f>
        <v>0</v>
      </c>
      <c r="I475" s="793"/>
      <c r="J475" s="794"/>
      <c r="K475" s="795"/>
      <c r="L475" s="795"/>
      <c r="M475" s="795"/>
      <c r="N475" s="795"/>
      <c r="O475" s="794"/>
      <c r="P475" s="793"/>
    </row>
    <row r="476" spans="2:16" s="426" customFormat="1" ht="11.25" x14ac:dyDescent="0.2">
      <c r="B476" s="1241"/>
      <c r="C476" s="1229"/>
      <c r="D476" s="986"/>
      <c r="E476" s="790">
        <v>1</v>
      </c>
      <c r="F476" s="791"/>
      <c r="G476" s="584"/>
      <c r="H476" s="792">
        <f t="shared" si="77"/>
        <v>0</v>
      </c>
      <c r="I476" s="793"/>
      <c r="J476" s="794"/>
      <c r="K476" s="795"/>
      <c r="L476" s="795"/>
      <c r="M476" s="795"/>
      <c r="N476" s="795"/>
      <c r="O476" s="794"/>
      <c r="P476" s="793"/>
    </row>
    <row r="477" spans="2:16" s="426" customFormat="1" ht="11.25" x14ac:dyDescent="0.2">
      <c r="B477" s="1241"/>
      <c r="C477" s="1229"/>
      <c r="D477" s="986"/>
      <c r="E477" s="790">
        <v>1</v>
      </c>
      <c r="F477" s="791"/>
      <c r="G477" s="584"/>
      <c r="H477" s="792">
        <f t="shared" si="77"/>
        <v>0</v>
      </c>
      <c r="I477" s="793"/>
      <c r="J477" s="794"/>
      <c r="K477" s="795"/>
      <c r="L477" s="795"/>
      <c r="M477" s="795"/>
      <c r="N477" s="795"/>
      <c r="O477" s="794"/>
      <c r="P477" s="793"/>
    </row>
    <row r="478" spans="2:16" s="426" customFormat="1" ht="12" thickBot="1" x14ac:dyDescent="0.25">
      <c r="B478" s="1242"/>
      <c r="C478" s="1230"/>
      <c r="D478" s="987" t="s">
        <v>566</v>
      </c>
      <c r="E478" s="988">
        <v>1</v>
      </c>
      <c r="F478" s="796"/>
      <c r="G478" s="797"/>
      <c r="H478" s="798">
        <f t="shared" si="77"/>
        <v>0</v>
      </c>
      <c r="I478" s="799">
        <f>SUM(H475:H478)</f>
        <v>0</v>
      </c>
      <c r="J478" s="800">
        <f>I478*$J$5</f>
        <v>0</v>
      </c>
      <c r="K478" s="801">
        <f>SUM(I478:J478)*$K$5</f>
        <v>0</v>
      </c>
      <c r="L478" s="801">
        <f>SUM(I478:K478)*$L$5</f>
        <v>0</v>
      </c>
      <c r="M478" s="801">
        <f>SUM(I478:L478)*$M$5</f>
        <v>0</v>
      </c>
      <c r="N478" s="801">
        <f>SUM(I478:M478)*$N$5</f>
        <v>0</v>
      </c>
      <c r="O478" s="800">
        <f>SUM(I478:N478)</f>
        <v>0</v>
      </c>
      <c r="P478" s="799">
        <f>ROUND(O478,-3)</f>
        <v>0</v>
      </c>
    </row>
    <row r="479" spans="2:16" s="426" customFormat="1" ht="11.25" x14ac:dyDescent="0.2">
      <c r="B479" s="1240" t="str">
        <f>'Detailed Matrix'!E63</f>
        <v>Domestic Cold Water</v>
      </c>
      <c r="C479" s="1228" t="str">
        <f>'Detailed Matrix'!F63</f>
        <v>Stage 02a: minimise water wasteage</v>
      </c>
      <c r="D479" s="986" t="s">
        <v>556</v>
      </c>
      <c r="E479" s="790">
        <v>1</v>
      </c>
      <c r="F479" s="791"/>
      <c r="G479" s="584"/>
      <c r="H479" s="792">
        <f t="shared" si="77"/>
        <v>0</v>
      </c>
      <c r="I479" s="793"/>
      <c r="J479" s="794"/>
      <c r="K479" s="795"/>
      <c r="L479" s="795"/>
      <c r="M479" s="795"/>
      <c r="N479" s="795"/>
      <c r="O479" s="794"/>
      <c r="P479" s="793"/>
    </row>
    <row r="480" spans="2:16" s="426" customFormat="1" ht="11.25" x14ac:dyDescent="0.2">
      <c r="B480" s="1241"/>
      <c r="C480" s="1229"/>
      <c r="D480" s="986"/>
      <c r="E480" s="790">
        <v>1</v>
      </c>
      <c r="F480" s="791"/>
      <c r="G480" s="584"/>
      <c r="H480" s="792">
        <f t="shared" si="77"/>
        <v>0</v>
      </c>
      <c r="I480" s="793"/>
      <c r="J480" s="794"/>
      <c r="K480" s="795"/>
      <c r="L480" s="795"/>
      <c r="M480" s="795"/>
      <c r="N480" s="795"/>
      <c r="O480" s="794"/>
      <c r="P480" s="793"/>
    </row>
    <row r="481" spans="2:16" s="426" customFormat="1" ht="11.25" x14ac:dyDescent="0.2">
      <c r="B481" s="1241"/>
      <c r="C481" s="1229"/>
      <c r="D481" s="986"/>
      <c r="E481" s="790">
        <v>1</v>
      </c>
      <c r="F481" s="791"/>
      <c r="G481" s="584"/>
      <c r="H481" s="792">
        <f t="shared" si="77"/>
        <v>0</v>
      </c>
      <c r="I481" s="793"/>
      <c r="J481" s="794"/>
      <c r="K481" s="795"/>
      <c r="L481" s="795"/>
      <c r="M481" s="795"/>
      <c r="N481" s="795"/>
      <c r="O481" s="794"/>
      <c r="P481" s="793"/>
    </row>
    <row r="482" spans="2:16" s="426" customFormat="1" ht="11.25" x14ac:dyDescent="0.2">
      <c r="B482" s="1241"/>
      <c r="C482" s="1229"/>
      <c r="D482" s="986"/>
      <c r="E482" s="790">
        <v>1</v>
      </c>
      <c r="F482" s="791"/>
      <c r="G482" s="584"/>
      <c r="H482" s="792">
        <f t="shared" si="77"/>
        <v>0</v>
      </c>
      <c r="I482" s="793"/>
      <c r="J482" s="794"/>
      <c r="K482" s="795"/>
      <c r="L482" s="795"/>
      <c r="M482" s="795"/>
      <c r="N482" s="795"/>
      <c r="O482" s="794"/>
      <c r="P482" s="793"/>
    </row>
    <row r="483" spans="2:16" s="426" customFormat="1" ht="11.25" x14ac:dyDescent="0.2">
      <c r="B483" s="1241"/>
      <c r="C483" s="1229"/>
      <c r="D483" s="986" t="s">
        <v>558</v>
      </c>
      <c r="E483" s="790">
        <v>-1</v>
      </c>
      <c r="F483" s="791"/>
      <c r="G483" s="584">
        <f>I473</f>
        <v>0</v>
      </c>
      <c r="H483" s="792">
        <f>E483*G483</f>
        <v>0</v>
      </c>
      <c r="I483" s="793">
        <f>SUM(H479:H483)</f>
        <v>0</v>
      </c>
      <c r="J483" s="794">
        <f>I483*$J$5</f>
        <v>0</v>
      </c>
      <c r="K483" s="795">
        <f>SUM(I483:J483)*$K$5</f>
        <v>0</v>
      </c>
      <c r="L483" s="795">
        <f>SUM(I483:K483)*$L$5</f>
        <v>0</v>
      </c>
      <c r="M483" s="795">
        <f>SUM(I483:L483)*$M$5</f>
        <v>0</v>
      </c>
      <c r="N483" s="795">
        <f>SUM(I483:M483)*$N$5</f>
        <v>0</v>
      </c>
      <c r="O483" s="794">
        <f>SUM(I483:N483)</f>
        <v>0</v>
      </c>
      <c r="P483" s="793">
        <f>ROUND(O483,-3)</f>
        <v>0</v>
      </c>
    </row>
    <row r="484" spans="2:16" s="426" customFormat="1" ht="11.25" x14ac:dyDescent="0.2">
      <c r="B484" s="1241"/>
      <c r="C484" s="1229"/>
      <c r="D484" s="986"/>
      <c r="E484" s="790"/>
      <c r="F484" s="791"/>
      <c r="G484" s="584"/>
      <c r="H484" s="792"/>
      <c r="I484" s="793"/>
      <c r="J484" s="794"/>
      <c r="K484" s="795"/>
      <c r="L484" s="795"/>
      <c r="M484" s="795"/>
      <c r="N484" s="795"/>
      <c r="O484" s="794"/>
      <c r="P484" s="793"/>
    </row>
    <row r="485" spans="2:16" s="426" customFormat="1" ht="11.25" x14ac:dyDescent="0.2">
      <c r="B485" s="1241"/>
      <c r="C485" s="1229"/>
      <c r="D485" s="986" t="s">
        <v>557</v>
      </c>
      <c r="E485" s="790">
        <v>1</v>
      </c>
      <c r="F485" s="791"/>
      <c r="G485" s="584"/>
      <c r="H485" s="792">
        <f t="shared" ref="H485:H488" si="78">E485*G485</f>
        <v>0</v>
      </c>
      <c r="I485" s="793"/>
      <c r="J485" s="794"/>
      <c r="K485" s="795"/>
      <c r="L485" s="795"/>
      <c r="M485" s="795"/>
      <c r="N485" s="795"/>
      <c r="O485" s="794"/>
      <c r="P485" s="793"/>
    </row>
    <row r="486" spans="2:16" s="426" customFormat="1" ht="11.25" x14ac:dyDescent="0.2">
      <c r="B486" s="1241"/>
      <c r="C486" s="1229"/>
      <c r="D486" s="986"/>
      <c r="E486" s="790">
        <v>1</v>
      </c>
      <c r="F486" s="791"/>
      <c r="G486" s="584"/>
      <c r="H486" s="792">
        <f t="shared" si="78"/>
        <v>0</v>
      </c>
      <c r="I486" s="793"/>
      <c r="J486" s="794"/>
      <c r="K486" s="795"/>
      <c r="L486" s="795"/>
      <c r="M486" s="795"/>
      <c r="N486" s="795"/>
      <c r="O486" s="794"/>
      <c r="P486" s="793"/>
    </row>
    <row r="487" spans="2:16" s="426" customFormat="1" ht="11.25" x14ac:dyDescent="0.2">
      <c r="B487" s="1241"/>
      <c r="C487" s="1229"/>
      <c r="D487" s="986"/>
      <c r="E487" s="790">
        <v>1</v>
      </c>
      <c r="F487" s="791"/>
      <c r="G487" s="584"/>
      <c r="H487" s="792">
        <f t="shared" si="78"/>
        <v>0</v>
      </c>
      <c r="I487" s="793"/>
      <c r="J487" s="794"/>
      <c r="K487" s="795"/>
      <c r="L487" s="795"/>
      <c r="M487" s="795"/>
      <c r="N487" s="795"/>
      <c r="O487" s="794"/>
      <c r="P487" s="793"/>
    </row>
    <row r="488" spans="2:16" s="426" customFormat="1" ht="12" thickBot="1" x14ac:dyDescent="0.25">
      <c r="B488" s="1242"/>
      <c r="C488" s="1230"/>
      <c r="D488" s="986" t="s">
        <v>566</v>
      </c>
      <c r="E488" s="790">
        <v>-1</v>
      </c>
      <c r="F488" s="791"/>
      <c r="G488" s="584">
        <f>I478</f>
        <v>0</v>
      </c>
      <c r="H488" s="792">
        <f t="shared" si="78"/>
        <v>0</v>
      </c>
      <c r="I488" s="793">
        <f>SUM(H485:H488)</f>
        <v>0</v>
      </c>
      <c r="J488" s="794">
        <f>I488*$J$5</f>
        <v>0</v>
      </c>
      <c r="K488" s="795">
        <f>SUM(I488:J488)*$K$5</f>
        <v>0</v>
      </c>
      <c r="L488" s="795">
        <f>SUM(I488:K488)*$L$5</f>
        <v>0</v>
      </c>
      <c r="M488" s="795">
        <f>SUM(I488:L488)*$M$5</f>
        <v>0</v>
      </c>
      <c r="N488" s="795">
        <f>SUM(I488:M488)*$N$5</f>
        <v>0</v>
      </c>
      <c r="O488" s="794">
        <f>SUM(I488:N488)</f>
        <v>0</v>
      </c>
      <c r="P488" s="793">
        <f>ROUND(O488,-3)</f>
        <v>0</v>
      </c>
    </row>
    <row r="489" spans="2:16" s="426" customFormat="1" ht="11.25" x14ac:dyDescent="0.2">
      <c r="B489" s="1240" t="str">
        <f>'Detailed Matrix'!E64</f>
        <v>Domestic Cold Water</v>
      </c>
      <c r="C489" s="1228" t="str">
        <f>'Detailed Matrix'!F64</f>
        <v>Stage 02b: Minimise pump energy consumption by reducing volume of water requiring movement</v>
      </c>
      <c r="D489" s="991" t="s">
        <v>556</v>
      </c>
      <c r="E489" s="992"/>
      <c r="F489" s="993"/>
      <c r="G489" s="994"/>
      <c r="H489" s="995"/>
      <c r="I489" s="996"/>
      <c r="J489" s="997"/>
      <c r="K489" s="998"/>
      <c r="L489" s="998"/>
      <c r="M489" s="998"/>
      <c r="N489" s="998"/>
      <c r="O489" s="997"/>
      <c r="P489" s="996"/>
    </row>
    <row r="490" spans="2:16" s="426" customFormat="1" ht="14.45" customHeight="1" x14ac:dyDescent="0.2">
      <c r="B490" s="1241"/>
      <c r="C490" s="1229"/>
      <c r="D490" s="986"/>
      <c r="E490" s="790">
        <v>1</v>
      </c>
      <c r="F490" s="791"/>
      <c r="G490" s="584"/>
      <c r="H490" s="792">
        <f t="shared" ref="H490:H493" si="79">E490*G490</f>
        <v>0</v>
      </c>
      <c r="I490" s="793"/>
      <c r="J490" s="794"/>
      <c r="K490" s="795"/>
      <c r="L490" s="795"/>
      <c r="M490" s="795"/>
      <c r="N490" s="795"/>
      <c r="O490" s="794"/>
      <c r="P490" s="793"/>
    </row>
    <row r="491" spans="2:16" s="426" customFormat="1" ht="14.45" customHeight="1" x14ac:dyDescent="0.2">
      <c r="B491" s="1241"/>
      <c r="C491" s="1229"/>
      <c r="D491" s="986"/>
      <c r="E491" s="790">
        <v>1</v>
      </c>
      <c r="F491" s="791"/>
      <c r="G491" s="584"/>
      <c r="H491" s="792">
        <f t="shared" si="79"/>
        <v>0</v>
      </c>
      <c r="I491" s="793"/>
      <c r="J491" s="794"/>
      <c r="K491" s="795"/>
      <c r="L491" s="795"/>
      <c r="M491" s="795"/>
      <c r="N491" s="795"/>
      <c r="O491" s="794"/>
      <c r="P491" s="793"/>
    </row>
    <row r="492" spans="2:16" s="426" customFormat="1" ht="14.45" customHeight="1" x14ac:dyDescent="0.2">
      <c r="B492" s="1241"/>
      <c r="C492" s="1229"/>
      <c r="D492" s="986" t="s">
        <v>559</v>
      </c>
      <c r="E492" s="790">
        <v>-1</v>
      </c>
      <c r="F492" s="791"/>
      <c r="G492" s="584">
        <f>I483+I473</f>
        <v>0</v>
      </c>
      <c r="H492" s="792">
        <f t="shared" si="79"/>
        <v>0</v>
      </c>
      <c r="I492" s="793"/>
      <c r="J492" s="794"/>
      <c r="K492" s="795"/>
      <c r="L492" s="795"/>
      <c r="M492" s="795"/>
      <c r="N492" s="795"/>
      <c r="O492" s="794"/>
      <c r="P492" s="793"/>
    </row>
    <row r="493" spans="2:16" s="426" customFormat="1" ht="14.45" customHeight="1" x14ac:dyDescent="0.2">
      <c r="B493" s="1241"/>
      <c r="C493" s="1229"/>
      <c r="D493" s="986"/>
      <c r="E493" s="790"/>
      <c r="F493" s="791"/>
      <c r="G493" s="584"/>
      <c r="H493" s="792">
        <f t="shared" si="79"/>
        <v>0</v>
      </c>
      <c r="I493" s="793">
        <f>SUM(H489:H493)</f>
        <v>0</v>
      </c>
      <c r="J493" s="794">
        <f>I493*$J$5</f>
        <v>0</v>
      </c>
      <c r="K493" s="795">
        <f>SUM(I493:J493)*$K$5</f>
        <v>0</v>
      </c>
      <c r="L493" s="795">
        <f>SUM(I493:K493)*$L$5</f>
        <v>0</v>
      </c>
      <c r="M493" s="795">
        <f>SUM(I493:L493)*$M$5</f>
        <v>0</v>
      </c>
      <c r="N493" s="795">
        <f>SUM(I493:M493)*$N$5</f>
        <v>0</v>
      </c>
      <c r="O493" s="794">
        <f>SUM(I493:N493)</f>
        <v>0</v>
      </c>
      <c r="P493" s="793">
        <f>ROUND(O493,-3)</f>
        <v>0</v>
      </c>
    </row>
    <row r="494" spans="2:16" s="426" customFormat="1" ht="14.45" customHeight="1" x14ac:dyDescent="0.2">
      <c r="B494" s="1241"/>
      <c r="C494" s="1229"/>
      <c r="D494" s="986" t="s">
        <v>557</v>
      </c>
      <c r="E494" s="790"/>
      <c r="F494" s="791"/>
      <c r="G494" s="584"/>
      <c r="H494" s="792"/>
      <c r="I494" s="793"/>
      <c r="J494" s="794"/>
      <c r="K494" s="795"/>
      <c r="L494" s="795"/>
      <c r="M494" s="795"/>
      <c r="N494" s="795"/>
      <c r="O494" s="794"/>
      <c r="P494" s="793"/>
    </row>
    <row r="495" spans="2:16" s="426" customFormat="1" ht="14.45" customHeight="1" x14ac:dyDescent="0.2">
      <c r="B495" s="1241"/>
      <c r="C495" s="1229"/>
      <c r="D495" s="986"/>
      <c r="E495" s="790">
        <v>1</v>
      </c>
      <c r="F495" s="791"/>
      <c r="G495" s="584"/>
      <c r="H495" s="792">
        <f>E495*G495</f>
        <v>0</v>
      </c>
      <c r="I495" s="793"/>
      <c r="J495" s="794"/>
      <c r="K495" s="795"/>
      <c r="L495" s="795"/>
      <c r="M495" s="795"/>
      <c r="N495" s="795"/>
      <c r="O495" s="794"/>
      <c r="P495" s="793"/>
    </row>
    <row r="496" spans="2:16" s="426" customFormat="1" ht="14.45" customHeight="1" x14ac:dyDescent="0.2">
      <c r="B496" s="1241"/>
      <c r="C496" s="1229"/>
      <c r="D496" s="986"/>
      <c r="E496" s="790">
        <v>1</v>
      </c>
      <c r="F496" s="791"/>
      <c r="G496" s="584"/>
      <c r="H496" s="792">
        <f>E496*G496</f>
        <v>0</v>
      </c>
      <c r="I496" s="793"/>
      <c r="J496" s="794"/>
      <c r="K496" s="795"/>
      <c r="L496" s="795"/>
      <c r="M496" s="795"/>
      <c r="N496" s="795"/>
      <c r="O496" s="794"/>
      <c r="P496" s="793"/>
    </row>
    <row r="497" spans="2:16" s="426" customFormat="1" ht="14.45" customHeight="1" x14ac:dyDescent="0.2">
      <c r="B497" s="1241"/>
      <c r="C497" s="1229"/>
      <c r="D497" s="986" t="s">
        <v>559</v>
      </c>
      <c r="E497" s="790">
        <v>-1</v>
      </c>
      <c r="F497" s="791"/>
      <c r="G497" s="584">
        <f>I488+I478</f>
        <v>0</v>
      </c>
      <c r="H497" s="792">
        <f>E497*G497</f>
        <v>0</v>
      </c>
      <c r="I497" s="793"/>
      <c r="J497" s="794"/>
      <c r="K497" s="795"/>
      <c r="L497" s="795"/>
      <c r="M497" s="795"/>
      <c r="N497" s="795"/>
      <c r="O497" s="794"/>
      <c r="P497" s="793"/>
    </row>
    <row r="498" spans="2:16" s="426" customFormat="1" ht="14.45" customHeight="1" x14ac:dyDescent="0.2">
      <c r="B498" s="1241"/>
      <c r="C498" s="1229"/>
      <c r="D498" s="986"/>
      <c r="E498" s="790">
        <v>1</v>
      </c>
      <c r="F498" s="791"/>
      <c r="G498" s="584"/>
      <c r="H498" s="792">
        <f t="shared" ref="H498" si="80">E498*G498</f>
        <v>0</v>
      </c>
      <c r="I498" s="793">
        <f>SUM(H494:H498)</f>
        <v>0</v>
      </c>
      <c r="J498" s="794">
        <f>I498*$J$5</f>
        <v>0</v>
      </c>
      <c r="K498" s="795">
        <f>SUM(I498:J498)*$K$5</f>
        <v>0</v>
      </c>
      <c r="L498" s="795">
        <f>SUM(I498:K498)*$L$5</f>
        <v>0</v>
      </c>
      <c r="M498" s="795">
        <f>SUM(I498:L498)*$M$5</f>
        <v>0</v>
      </c>
      <c r="N498" s="795">
        <f>SUM(I498:M498)*$N$5</f>
        <v>0</v>
      </c>
      <c r="O498" s="794">
        <f>SUM(I498:N498)</f>
        <v>0</v>
      </c>
      <c r="P498" s="793">
        <f>ROUND(O498,-3)</f>
        <v>0</v>
      </c>
    </row>
    <row r="499" spans="2:16" s="426" customFormat="1" ht="9.6" customHeight="1" thickBot="1" x14ac:dyDescent="0.25">
      <c r="B499" s="1242"/>
      <c r="C499" s="1230"/>
      <c r="D499" s="987"/>
      <c r="E499" s="988"/>
      <c r="F499" s="796"/>
      <c r="G499" s="797"/>
      <c r="H499" s="798"/>
      <c r="I499" s="799"/>
      <c r="J499" s="800"/>
      <c r="K499" s="801"/>
      <c r="L499" s="801"/>
      <c r="M499" s="801"/>
      <c r="N499" s="801"/>
      <c r="O499" s="800"/>
      <c r="P499" s="799"/>
    </row>
    <row r="500" spans="2:16" s="426" customFormat="1" ht="31.5" customHeight="1" x14ac:dyDescent="0.2">
      <c r="B500" s="1240" t="str">
        <f>'Detailed Matrix'!E66</f>
        <v>Lighting</v>
      </c>
      <c r="C500" s="1228" t="str">
        <f>'Detailed Matrix'!F66</f>
        <v>Stage 01: Provision in line with TRD</v>
      </c>
      <c r="D500" s="991" t="s">
        <v>556</v>
      </c>
      <c r="E500" s="992">
        <v>1</v>
      </c>
      <c r="F500" s="993"/>
      <c r="G500" s="994"/>
      <c r="H500" s="995">
        <f t="shared" ref="H500:H503" si="81">E500*G500</f>
        <v>0</v>
      </c>
      <c r="I500" s="996"/>
      <c r="J500" s="997"/>
      <c r="K500" s="998"/>
      <c r="L500" s="998"/>
      <c r="M500" s="998"/>
      <c r="N500" s="998"/>
      <c r="O500" s="997"/>
      <c r="P500" s="996"/>
    </row>
    <row r="501" spans="2:16" s="426" customFormat="1" ht="14.45" customHeight="1" x14ac:dyDescent="0.2">
      <c r="B501" s="1241"/>
      <c r="C501" s="1229"/>
      <c r="D501" s="986"/>
      <c r="E501" s="790">
        <v>1</v>
      </c>
      <c r="F501" s="791"/>
      <c r="G501" s="584"/>
      <c r="H501" s="792">
        <f t="shared" si="81"/>
        <v>0</v>
      </c>
      <c r="I501" s="793"/>
      <c r="J501" s="794"/>
      <c r="K501" s="795"/>
      <c r="L501" s="795"/>
      <c r="M501" s="795"/>
      <c r="N501" s="795"/>
      <c r="O501" s="794"/>
      <c r="P501" s="793"/>
    </row>
    <row r="502" spans="2:16" s="426" customFormat="1" ht="14.45" customHeight="1" x14ac:dyDescent="0.2">
      <c r="B502" s="1241"/>
      <c r="C502" s="1229"/>
      <c r="D502" s="986"/>
      <c r="E502" s="790">
        <v>1</v>
      </c>
      <c r="F502" s="791"/>
      <c r="G502" s="584"/>
      <c r="H502" s="792">
        <f t="shared" si="81"/>
        <v>0</v>
      </c>
      <c r="I502" s="793"/>
      <c r="J502" s="794"/>
      <c r="K502" s="795"/>
      <c r="L502" s="795"/>
      <c r="M502" s="795"/>
      <c r="N502" s="795"/>
      <c r="O502" s="794"/>
      <c r="P502" s="793"/>
    </row>
    <row r="503" spans="2:16" s="426" customFormat="1" ht="14.45" customHeight="1" x14ac:dyDescent="0.2">
      <c r="B503" s="1241"/>
      <c r="C503" s="1229"/>
      <c r="D503" s="986"/>
      <c r="E503" s="790">
        <v>1</v>
      </c>
      <c r="F503" s="791"/>
      <c r="G503" s="584"/>
      <c r="H503" s="792">
        <f t="shared" si="81"/>
        <v>0</v>
      </c>
      <c r="I503" s="793"/>
      <c r="J503" s="794"/>
      <c r="K503" s="795"/>
      <c r="L503" s="795"/>
      <c r="M503" s="795"/>
      <c r="N503" s="795"/>
      <c r="O503" s="794"/>
      <c r="P503" s="793"/>
    </row>
    <row r="504" spans="2:16" s="426" customFormat="1" ht="14.45" customHeight="1" x14ac:dyDescent="0.2">
      <c r="B504" s="1241"/>
      <c r="C504" s="1229"/>
      <c r="D504" s="986" t="s">
        <v>566</v>
      </c>
      <c r="E504" s="790">
        <v>1</v>
      </c>
      <c r="F504" s="791"/>
      <c r="G504" s="584"/>
      <c r="H504" s="792">
        <f>E504*G504</f>
        <v>0</v>
      </c>
      <c r="I504" s="793">
        <f>SUM(H500:H504)</f>
        <v>0</v>
      </c>
      <c r="J504" s="794">
        <f>I504*$J$5</f>
        <v>0</v>
      </c>
      <c r="K504" s="795">
        <f>SUM(I504:J504)*$K$5</f>
        <v>0</v>
      </c>
      <c r="L504" s="795">
        <f>SUM(I504:K504)*$L$5</f>
        <v>0</v>
      </c>
      <c r="M504" s="795">
        <f>SUM(I504:L504)*$M$5</f>
        <v>0</v>
      </c>
      <c r="N504" s="795">
        <f>SUM(I504:M504)*$N$5</f>
        <v>0</v>
      </c>
      <c r="O504" s="794">
        <f>SUM(I504:N504)</f>
        <v>0</v>
      </c>
      <c r="P504" s="793">
        <f>ROUND(O504,-3)</f>
        <v>0</v>
      </c>
    </row>
    <row r="505" spans="2:16" s="426" customFormat="1" ht="14.45" customHeight="1" x14ac:dyDescent="0.2">
      <c r="B505" s="1241"/>
      <c r="C505" s="1229"/>
      <c r="D505" s="986"/>
      <c r="E505" s="790"/>
      <c r="F505" s="791"/>
      <c r="G505" s="584"/>
      <c r="H505" s="792"/>
      <c r="I505" s="793"/>
      <c r="J505" s="794"/>
      <c r="K505" s="795"/>
      <c r="L505" s="795"/>
      <c r="M505" s="795"/>
      <c r="N505" s="795"/>
      <c r="O505" s="794"/>
      <c r="P505" s="793"/>
    </row>
    <row r="506" spans="2:16" s="426" customFormat="1" ht="14.45" customHeight="1" x14ac:dyDescent="0.2">
      <c r="B506" s="1241"/>
      <c r="C506" s="1229"/>
      <c r="D506" s="986" t="s">
        <v>557</v>
      </c>
      <c r="E506" s="790">
        <v>1</v>
      </c>
      <c r="F506" s="791"/>
      <c r="G506" s="584"/>
      <c r="H506" s="792">
        <f t="shared" ref="H506:H513" si="82">E506*G506</f>
        <v>0</v>
      </c>
      <c r="I506" s="793"/>
      <c r="J506" s="794"/>
      <c r="K506" s="795"/>
      <c r="L506" s="795"/>
      <c r="M506" s="795"/>
      <c r="N506" s="795"/>
      <c r="O506" s="794"/>
      <c r="P506" s="793"/>
    </row>
    <row r="507" spans="2:16" s="426" customFormat="1" ht="14.45" customHeight="1" x14ac:dyDescent="0.2">
      <c r="B507" s="1241"/>
      <c r="C507" s="1229"/>
      <c r="D507" s="986"/>
      <c r="E507" s="790">
        <v>1</v>
      </c>
      <c r="F507" s="791"/>
      <c r="G507" s="584"/>
      <c r="H507" s="792">
        <f t="shared" si="82"/>
        <v>0</v>
      </c>
      <c r="I507" s="793"/>
      <c r="J507" s="794"/>
      <c r="K507" s="795"/>
      <c r="L507" s="795"/>
      <c r="M507" s="795"/>
      <c r="N507" s="795"/>
      <c r="O507" s="794"/>
      <c r="P507" s="793"/>
    </row>
    <row r="508" spans="2:16" s="426" customFormat="1" ht="14.45" customHeight="1" x14ac:dyDescent="0.2">
      <c r="B508" s="1241"/>
      <c r="C508" s="1229"/>
      <c r="D508" s="986"/>
      <c r="E508" s="790">
        <v>1</v>
      </c>
      <c r="F508" s="791"/>
      <c r="G508" s="584"/>
      <c r="H508" s="792">
        <f t="shared" si="82"/>
        <v>0</v>
      </c>
      <c r="I508" s="793"/>
      <c r="J508" s="794"/>
      <c r="K508" s="795"/>
      <c r="L508" s="795"/>
      <c r="M508" s="795"/>
      <c r="N508" s="795"/>
      <c r="O508" s="794"/>
      <c r="P508" s="793"/>
    </row>
    <row r="509" spans="2:16" s="426" customFormat="1" ht="15" customHeight="1" thickBot="1" x14ac:dyDescent="0.25">
      <c r="B509" s="1242"/>
      <c r="C509" s="1230"/>
      <c r="D509" s="987" t="s">
        <v>566</v>
      </c>
      <c r="E509" s="988">
        <v>1</v>
      </c>
      <c r="F509" s="796"/>
      <c r="G509" s="797"/>
      <c r="H509" s="798">
        <f t="shared" si="82"/>
        <v>0</v>
      </c>
      <c r="I509" s="799">
        <f>SUM(H506:H509)</f>
        <v>0</v>
      </c>
      <c r="J509" s="800">
        <f>I509*$J$5</f>
        <v>0</v>
      </c>
      <c r="K509" s="801">
        <f>SUM(I509:J509)*$K$5</f>
        <v>0</v>
      </c>
      <c r="L509" s="801">
        <f>SUM(I509:K509)*$L$5</f>
        <v>0</v>
      </c>
      <c r="M509" s="801">
        <f>SUM(I509:L509)*$M$5</f>
        <v>0</v>
      </c>
      <c r="N509" s="801">
        <f>SUM(I509:M509)*$N$5</f>
        <v>0</v>
      </c>
      <c r="O509" s="800">
        <f>SUM(I509:N509)</f>
        <v>0</v>
      </c>
      <c r="P509" s="799">
        <f>ROUND(O509,-3)</f>
        <v>0</v>
      </c>
    </row>
    <row r="510" spans="2:16" s="426" customFormat="1" ht="22.5" x14ac:dyDescent="0.2">
      <c r="B510" s="983" t="str">
        <f>'Detailed Matrix'!E67</f>
        <v>Lighting</v>
      </c>
      <c r="C510" s="980" t="str">
        <f>'Detailed Matrix'!F67</f>
        <v>Stage 02: Simple lighting design utilising very low energy light fittings</v>
      </c>
      <c r="D510" s="991" t="s">
        <v>556</v>
      </c>
      <c r="E510" s="992">
        <v>1</v>
      </c>
      <c r="F510" s="993"/>
      <c r="G510" s="994"/>
      <c r="H510" s="995">
        <f t="shared" si="82"/>
        <v>0</v>
      </c>
      <c r="I510" s="996"/>
      <c r="J510" s="997"/>
      <c r="K510" s="998"/>
      <c r="L510" s="998"/>
      <c r="M510" s="998"/>
      <c r="N510" s="998"/>
      <c r="O510" s="997"/>
      <c r="P510" s="996"/>
    </row>
    <row r="511" spans="2:16" s="426" customFormat="1" ht="11.25" x14ac:dyDescent="0.2">
      <c r="B511" s="984"/>
      <c r="C511" s="981"/>
      <c r="D511" s="986"/>
      <c r="E511" s="790">
        <v>1</v>
      </c>
      <c r="F511" s="791"/>
      <c r="G511" s="584"/>
      <c r="H511" s="792">
        <f t="shared" si="82"/>
        <v>0</v>
      </c>
      <c r="I511" s="793"/>
      <c r="J511" s="794"/>
      <c r="K511" s="795"/>
      <c r="L511" s="795"/>
      <c r="M511" s="795"/>
      <c r="N511" s="795"/>
      <c r="O511" s="794"/>
      <c r="P511" s="793"/>
    </row>
    <row r="512" spans="2:16" s="426" customFormat="1" ht="11.25" x14ac:dyDescent="0.2">
      <c r="B512" s="984"/>
      <c r="C512" s="981"/>
      <c r="D512" s="986"/>
      <c r="E512" s="790">
        <v>1</v>
      </c>
      <c r="F512" s="791"/>
      <c r="G512" s="584"/>
      <c r="H512" s="792">
        <f t="shared" si="82"/>
        <v>0</v>
      </c>
      <c r="I512" s="793"/>
      <c r="J512" s="794"/>
      <c r="K512" s="795"/>
      <c r="L512" s="795"/>
      <c r="M512" s="795"/>
      <c r="N512" s="795"/>
      <c r="O512" s="794"/>
      <c r="P512" s="793"/>
    </row>
    <row r="513" spans="2:16" s="426" customFormat="1" ht="11.25" x14ac:dyDescent="0.2">
      <c r="B513" s="984"/>
      <c r="C513" s="981"/>
      <c r="D513" s="986"/>
      <c r="E513" s="790">
        <v>1</v>
      </c>
      <c r="F513" s="791"/>
      <c r="G513" s="584"/>
      <c r="H513" s="792">
        <f t="shared" si="82"/>
        <v>0</v>
      </c>
      <c r="I513" s="793"/>
      <c r="J513" s="794"/>
      <c r="K513" s="795"/>
      <c r="L513" s="795"/>
      <c r="M513" s="795"/>
      <c r="N513" s="795"/>
      <c r="O513" s="794"/>
      <c r="P513" s="793"/>
    </row>
    <row r="514" spans="2:16" s="426" customFormat="1" ht="11.25" x14ac:dyDescent="0.2">
      <c r="B514" s="984"/>
      <c r="C514" s="981"/>
      <c r="D514" s="986" t="s">
        <v>558</v>
      </c>
      <c r="E514" s="790">
        <v>-1</v>
      </c>
      <c r="F514" s="791"/>
      <c r="G514" s="584">
        <f>I504</f>
        <v>0</v>
      </c>
      <c r="H514" s="792">
        <f>E514*G514</f>
        <v>0</v>
      </c>
      <c r="I514" s="793">
        <f>SUM(H510:H514)</f>
        <v>0</v>
      </c>
      <c r="J514" s="794">
        <f>I514*$J$5</f>
        <v>0</v>
      </c>
      <c r="K514" s="795">
        <f>SUM(I514:J514)*$K$5</f>
        <v>0</v>
      </c>
      <c r="L514" s="795">
        <f>SUM(I514:K514)*$L$5</f>
        <v>0</v>
      </c>
      <c r="M514" s="795">
        <f>SUM(I514:L514)*$M$5</f>
        <v>0</v>
      </c>
      <c r="N514" s="795">
        <f>SUM(I514:M514)*$N$5</f>
        <v>0</v>
      </c>
      <c r="O514" s="794">
        <f>SUM(I514:N514)</f>
        <v>0</v>
      </c>
      <c r="P514" s="793">
        <f>ROUND(O514,-3)</f>
        <v>0</v>
      </c>
    </row>
    <row r="515" spans="2:16" s="426" customFormat="1" ht="11.25" x14ac:dyDescent="0.2">
      <c r="B515" s="984"/>
      <c r="C515" s="981"/>
      <c r="D515" s="986"/>
      <c r="E515" s="790"/>
      <c r="F515" s="791"/>
      <c r="G515" s="584"/>
      <c r="H515" s="792"/>
      <c r="I515" s="793"/>
      <c r="J515" s="794"/>
      <c r="K515" s="795"/>
      <c r="L515" s="795"/>
      <c r="M515" s="795"/>
      <c r="N515" s="795"/>
      <c r="O515" s="794"/>
      <c r="P515" s="793"/>
    </row>
    <row r="516" spans="2:16" s="426" customFormat="1" ht="11.25" x14ac:dyDescent="0.2">
      <c r="B516" s="984"/>
      <c r="C516" s="981"/>
      <c r="D516" s="986" t="s">
        <v>557</v>
      </c>
      <c r="E516" s="790">
        <v>1</v>
      </c>
      <c r="F516" s="791"/>
      <c r="G516" s="584"/>
      <c r="H516" s="792">
        <f t="shared" ref="H516:H519" si="83">E516*G516</f>
        <v>0</v>
      </c>
      <c r="I516" s="793"/>
      <c r="J516" s="794"/>
      <c r="K516" s="795"/>
      <c r="L516" s="795"/>
      <c r="M516" s="795"/>
      <c r="N516" s="795"/>
      <c r="O516" s="794"/>
      <c r="P516" s="793"/>
    </row>
    <row r="517" spans="2:16" s="426" customFormat="1" ht="11.25" x14ac:dyDescent="0.2">
      <c r="B517" s="984"/>
      <c r="C517" s="981"/>
      <c r="D517" s="986"/>
      <c r="E517" s="790">
        <v>1</v>
      </c>
      <c r="F517" s="791"/>
      <c r="G517" s="584"/>
      <c r="H517" s="792">
        <f t="shared" si="83"/>
        <v>0</v>
      </c>
      <c r="I517" s="793"/>
      <c r="J517" s="794"/>
      <c r="K517" s="795"/>
      <c r="L517" s="795"/>
      <c r="M517" s="795"/>
      <c r="N517" s="795"/>
      <c r="O517" s="794"/>
      <c r="P517" s="793"/>
    </row>
    <row r="518" spans="2:16" s="426" customFormat="1" ht="11.25" x14ac:dyDescent="0.2">
      <c r="B518" s="984"/>
      <c r="C518" s="981"/>
      <c r="D518" s="986"/>
      <c r="E518" s="790">
        <v>1</v>
      </c>
      <c r="F518" s="791"/>
      <c r="G518" s="584"/>
      <c r="H518" s="792">
        <f t="shared" si="83"/>
        <v>0</v>
      </c>
      <c r="I518" s="793"/>
      <c r="J518" s="794"/>
      <c r="K518" s="795"/>
      <c r="L518" s="795"/>
      <c r="M518" s="795"/>
      <c r="N518" s="795"/>
      <c r="O518" s="794"/>
      <c r="P518" s="793"/>
    </row>
    <row r="519" spans="2:16" s="426" customFormat="1" ht="12" thickBot="1" x14ac:dyDescent="0.25">
      <c r="B519" s="985"/>
      <c r="C519" s="982"/>
      <c r="D519" s="987" t="s">
        <v>566</v>
      </c>
      <c r="E519" s="988">
        <v>-1</v>
      </c>
      <c r="F519" s="796"/>
      <c r="G519" s="797">
        <f>I509</f>
        <v>0</v>
      </c>
      <c r="H519" s="798">
        <f t="shared" si="83"/>
        <v>0</v>
      </c>
      <c r="I519" s="799">
        <f>SUM(H516:H519)</f>
        <v>0</v>
      </c>
      <c r="J519" s="800">
        <f>I519*$J$5</f>
        <v>0</v>
      </c>
      <c r="K519" s="801">
        <f>SUM(I519:J519)*$K$5</f>
        <v>0</v>
      </c>
      <c r="L519" s="801">
        <f>SUM(I519:K519)*$L$5</f>
        <v>0</v>
      </c>
      <c r="M519" s="801">
        <f>SUM(I519:L519)*$M$5</f>
        <v>0</v>
      </c>
      <c r="N519" s="801">
        <f>SUM(I519:M519)*$N$5</f>
        <v>0</v>
      </c>
      <c r="O519" s="800">
        <f>SUM(I519:N519)</f>
        <v>0</v>
      </c>
      <c r="P519" s="799">
        <f>ROUND(O519,-3)</f>
        <v>0</v>
      </c>
    </row>
    <row r="520" spans="2:16" s="426" customFormat="1" ht="22.5" x14ac:dyDescent="0.2">
      <c r="B520" s="983" t="str">
        <f>'Detailed Matrix'!E68</f>
        <v>Lighting</v>
      </c>
      <c r="C520" s="980" t="str">
        <f>'Detailed Matrix'!F68</f>
        <v>Stage 03: Smart controls (Absence/ presence detection &amp; daylight linking)</v>
      </c>
      <c r="D520" s="991" t="s">
        <v>556</v>
      </c>
      <c r="E520" s="992"/>
      <c r="F520" s="993"/>
      <c r="G520" s="994"/>
      <c r="H520" s="995"/>
      <c r="I520" s="996"/>
      <c r="J520" s="997"/>
      <c r="K520" s="998"/>
      <c r="L520" s="998"/>
      <c r="M520" s="998"/>
      <c r="N520" s="998"/>
      <c r="O520" s="997"/>
      <c r="P520" s="996"/>
    </row>
    <row r="521" spans="2:16" s="426" customFormat="1" ht="11.25" x14ac:dyDescent="0.2">
      <c r="B521" s="984"/>
      <c r="C521" s="981"/>
      <c r="D521" s="986"/>
      <c r="E521" s="790">
        <v>1</v>
      </c>
      <c r="F521" s="791"/>
      <c r="G521" s="584"/>
      <c r="H521" s="792">
        <f t="shared" ref="H521:H524" si="84">E521*G521</f>
        <v>0</v>
      </c>
      <c r="I521" s="793"/>
      <c r="J521" s="794"/>
      <c r="K521" s="795"/>
      <c r="L521" s="795"/>
      <c r="M521" s="795"/>
      <c r="N521" s="795"/>
      <c r="O521" s="794"/>
      <c r="P521" s="793"/>
    </row>
    <row r="522" spans="2:16" s="426" customFormat="1" ht="11.25" x14ac:dyDescent="0.2">
      <c r="B522" s="984"/>
      <c r="C522" s="981"/>
      <c r="D522" s="986"/>
      <c r="E522" s="790">
        <v>1</v>
      </c>
      <c r="F522" s="791"/>
      <c r="G522" s="584"/>
      <c r="H522" s="792">
        <f t="shared" si="84"/>
        <v>0</v>
      </c>
      <c r="I522" s="793"/>
      <c r="J522" s="794"/>
      <c r="K522" s="795"/>
      <c r="L522" s="795"/>
      <c r="M522" s="795"/>
      <c r="N522" s="795"/>
      <c r="O522" s="794"/>
      <c r="P522" s="793"/>
    </row>
    <row r="523" spans="2:16" s="426" customFormat="1" ht="11.25" x14ac:dyDescent="0.2">
      <c r="B523" s="984"/>
      <c r="C523" s="981"/>
      <c r="D523" s="986" t="s">
        <v>564</v>
      </c>
      <c r="E523" s="790">
        <v>-1</v>
      </c>
      <c r="F523" s="791"/>
      <c r="G523" s="584">
        <f>I514+I504</f>
        <v>0</v>
      </c>
      <c r="H523" s="792">
        <f t="shared" si="84"/>
        <v>0</v>
      </c>
      <c r="I523" s="793"/>
      <c r="J523" s="794"/>
      <c r="K523" s="795"/>
      <c r="L523" s="795"/>
      <c r="M523" s="795"/>
      <c r="N523" s="795"/>
      <c r="O523" s="794"/>
      <c r="P523" s="793"/>
    </row>
    <row r="524" spans="2:16" s="426" customFormat="1" ht="11.25" x14ac:dyDescent="0.2">
      <c r="B524" s="984"/>
      <c r="C524" s="981"/>
      <c r="D524" s="986"/>
      <c r="E524" s="790"/>
      <c r="F524" s="791"/>
      <c r="G524" s="584"/>
      <c r="H524" s="792">
        <f t="shared" si="84"/>
        <v>0</v>
      </c>
      <c r="I524" s="793">
        <f>SUM(H520:H524)</f>
        <v>0</v>
      </c>
      <c r="J524" s="794">
        <f>I524*$J$5</f>
        <v>0</v>
      </c>
      <c r="K524" s="795">
        <f>SUM(I524:J524)*$K$5</f>
        <v>0</v>
      </c>
      <c r="L524" s="795">
        <f>SUM(I524:K524)*$L$5</f>
        <v>0</v>
      </c>
      <c r="M524" s="795">
        <f>SUM(I524:L524)*$M$5</f>
        <v>0</v>
      </c>
      <c r="N524" s="795">
        <f>SUM(I524:M524)*$N$5</f>
        <v>0</v>
      </c>
      <c r="O524" s="794">
        <f>SUM(I524:N524)</f>
        <v>0</v>
      </c>
      <c r="P524" s="793">
        <f>ROUND(O524,-3)</f>
        <v>0</v>
      </c>
    </row>
    <row r="525" spans="2:16" s="426" customFormat="1" ht="11.25" x14ac:dyDescent="0.2">
      <c r="B525" s="984"/>
      <c r="C525" s="981"/>
      <c r="D525" s="986" t="s">
        <v>557</v>
      </c>
      <c r="E525" s="790"/>
      <c r="F525" s="791"/>
      <c r="G525" s="584"/>
      <c r="H525" s="792"/>
      <c r="I525" s="793"/>
      <c r="J525" s="794"/>
      <c r="K525" s="795"/>
      <c r="L525" s="795"/>
      <c r="M525" s="795"/>
      <c r="N525" s="795"/>
      <c r="O525" s="794"/>
      <c r="P525" s="793"/>
    </row>
    <row r="526" spans="2:16" s="426" customFormat="1" ht="11.25" x14ac:dyDescent="0.2">
      <c r="B526" s="984"/>
      <c r="C526" s="981"/>
      <c r="D526" s="986"/>
      <c r="E526" s="790">
        <v>1</v>
      </c>
      <c r="F526" s="791"/>
      <c r="G526" s="584"/>
      <c r="H526" s="792">
        <f>E526*G526</f>
        <v>0</v>
      </c>
      <c r="I526" s="793"/>
      <c r="J526" s="794"/>
      <c r="K526" s="795"/>
      <c r="L526" s="795"/>
      <c r="M526" s="795"/>
      <c r="N526" s="795"/>
      <c r="O526" s="794"/>
      <c r="P526" s="793"/>
    </row>
    <row r="527" spans="2:16" s="426" customFormat="1" ht="11.25" x14ac:dyDescent="0.2">
      <c r="B527" s="984"/>
      <c r="C527" s="981"/>
      <c r="D527" s="986"/>
      <c r="E527" s="790">
        <v>1</v>
      </c>
      <c r="F527" s="791"/>
      <c r="G527" s="584"/>
      <c r="H527" s="792">
        <f>E527*G527</f>
        <v>0</v>
      </c>
      <c r="I527" s="793"/>
      <c r="J527" s="794"/>
      <c r="K527" s="795"/>
      <c r="L527" s="795"/>
      <c r="M527" s="795"/>
      <c r="N527" s="795"/>
      <c r="O527" s="794"/>
      <c r="P527" s="793"/>
    </row>
    <row r="528" spans="2:16" s="426" customFormat="1" ht="11.25" x14ac:dyDescent="0.2">
      <c r="B528" s="984"/>
      <c r="C528" s="981"/>
      <c r="D528" s="986" t="s">
        <v>564</v>
      </c>
      <c r="E528" s="790">
        <v>-1</v>
      </c>
      <c r="F528" s="791"/>
      <c r="G528" s="584">
        <f>I519+I509</f>
        <v>0</v>
      </c>
      <c r="H528" s="792">
        <f>E528*G528</f>
        <v>0</v>
      </c>
      <c r="I528" s="793"/>
      <c r="J528" s="794"/>
      <c r="K528" s="795"/>
      <c r="L528" s="795"/>
      <c r="M528" s="795"/>
      <c r="N528" s="795"/>
      <c r="O528" s="794"/>
      <c r="P528" s="793"/>
    </row>
    <row r="529" spans="2:16" s="426" customFormat="1" ht="12" thickBot="1" x14ac:dyDescent="0.25">
      <c r="B529" s="985"/>
      <c r="C529" s="982"/>
      <c r="D529" s="987"/>
      <c r="E529" s="988">
        <v>1</v>
      </c>
      <c r="F529" s="796"/>
      <c r="G529" s="797"/>
      <c r="H529" s="798">
        <f t="shared" ref="H529" si="85">E529*G529</f>
        <v>0</v>
      </c>
      <c r="I529" s="799">
        <f>SUM(H525:H529)</f>
        <v>0</v>
      </c>
      <c r="J529" s="800">
        <f>I529*$J$5</f>
        <v>0</v>
      </c>
      <c r="K529" s="801">
        <f>SUM(I529:J529)*$K$5</f>
        <v>0</v>
      </c>
      <c r="L529" s="801">
        <f>SUM(I529:K529)*$L$5</f>
        <v>0</v>
      </c>
      <c r="M529" s="801">
        <f>SUM(I529:L529)*$M$5</f>
        <v>0</v>
      </c>
      <c r="N529" s="801">
        <f>SUM(I529:M529)*$N$5</f>
        <v>0</v>
      </c>
      <c r="O529" s="800">
        <f>SUM(I529:N529)</f>
        <v>0</v>
      </c>
      <c r="P529" s="799">
        <f>ROUND(O529,-3)</f>
        <v>0</v>
      </c>
    </row>
    <row r="530" spans="2:16" s="426" customFormat="1" ht="11.25" x14ac:dyDescent="0.2">
      <c r="B530" s="983" t="str">
        <f>'Detailed Matrix'!E69</f>
        <v>Lighting</v>
      </c>
      <c r="C530" s="980" t="str">
        <f>'Detailed Matrix'!F69</f>
        <v>Stage 04: Circadian Controls</v>
      </c>
      <c r="D530" s="991" t="s">
        <v>556</v>
      </c>
      <c r="E530" s="992"/>
      <c r="F530" s="993"/>
      <c r="G530" s="994"/>
      <c r="H530" s="995"/>
      <c r="I530" s="996"/>
      <c r="J530" s="997"/>
      <c r="K530" s="998"/>
      <c r="L530" s="998"/>
      <c r="M530" s="998"/>
      <c r="N530" s="998"/>
      <c r="O530" s="997"/>
      <c r="P530" s="996"/>
    </row>
    <row r="531" spans="2:16" s="426" customFormat="1" ht="11.25" x14ac:dyDescent="0.2">
      <c r="B531" s="984"/>
      <c r="C531" s="981"/>
      <c r="D531" s="986"/>
      <c r="E531" s="790">
        <v>1</v>
      </c>
      <c r="F531" s="791"/>
      <c r="G531" s="584"/>
      <c r="H531" s="792">
        <f t="shared" ref="H531:H534" si="86">E531*G531</f>
        <v>0</v>
      </c>
      <c r="I531" s="793"/>
      <c r="J531" s="794"/>
      <c r="K531" s="795"/>
      <c r="L531" s="795"/>
      <c r="M531" s="795"/>
      <c r="N531" s="795"/>
      <c r="O531" s="794"/>
      <c r="P531" s="793"/>
    </row>
    <row r="532" spans="2:16" s="426" customFormat="1" ht="11.25" x14ac:dyDescent="0.2">
      <c r="B532" s="984"/>
      <c r="C532" s="981"/>
      <c r="D532" s="986"/>
      <c r="E532" s="790">
        <v>1</v>
      </c>
      <c r="F532" s="791"/>
      <c r="G532" s="584"/>
      <c r="H532" s="792">
        <f t="shared" si="86"/>
        <v>0</v>
      </c>
      <c r="I532" s="793"/>
      <c r="J532" s="794"/>
      <c r="K532" s="795"/>
      <c r="L532" s="795"/>
      <c r="M532" s="795"/>
      <c r="N532" s="795"/>
      <c r="O532" s="794"/>
      <c r="P532" s="793"/>
    </row>
    <row r="533" spans="2:16" s="426" customFormat="1" ht="11.25" x14ac:dyDescent="0.2">
      <c r="B533" s="984"/>
      <c r="C533" s="981"/>
      <c r="D533" s="986" t="s">
        <v>565</v>
      </c>
      <c r="E533" s="790">
        <v>-1</v>
      </c>
      <c r="F533" s="791"/>
      <c r="G533" s="584">
        <f>I524+I514+I504</f>
        <v>0</v>
      </c>
      <c r="H533" s="792">
        <f t="shared" si="86"/>
        <v>0</v>
      </c>
      <c r="I533" s="793"/>
      <c r="J533" s="794"/>
      <c r="K533" s="795"/>
      <c r="L533" s="795"/>
      <c r="M533" s="795"/>
      <c r="N533" s="795"/>
      <c r="O533" s="794"/>
      <c r="P533" s="793"/>
    </row>
    <row r="534" spans="2:16" s="426" customFormat="1" ht="11.25" x14ac:dyDescent="0.2">
      <c r="B534" s="984"/>
      <c r="C534" s="981"/>
      <c r="D534" s="986"/>
      <c r="E534" s="790"/>
      <c r="F534" s="791"/>
      <c r="G534" s="584"/>
      <c r="H534" s="792">
        <f t="shared" si="86"/>
        <v>0</v>
      </c>
      <c r="I534" s="793">
        <f>SUM(H530:H534)</f>
        <v>0</v>
      </c>
      <c r="J534" s="794">
        <f>I534*$J$5</f>
        <v>0</v>
      </c>
      <c r="K534" s="795">
        <f>SUM(I534:J534)*$K$5</f>
        <v>0</v>
      </c>
      <c r="L534" s="795">
        <f>SUM(I534:K534)*$L$5</f>
        <v>0</v>
      </c>
      <c r="M534" s="795">
        <f>SUM(I534:L534)*$M$5</f>
        <v>0</v>
      </c>
      <c r="N534" s="795">
        <f>SUM(I534:M534)*$N$5</f>
        <v>0</v>
      </c>
      <c r="O534" s="794">
        <f>SUM(I534:N534)</f>
        <v>0</v>
      </c>
      <c r="P534" s="793">
        <f>ROUND(O534,-3)</f>
        <v>0</v>
      </c>
    </row>
    <row r="535" spans="2:16" s="426" customFormat="1" ht="11.25" x14ac:dyDescent="0.2">
      <c r="B535" s="984"/>
      <c r="C535" s="981"/>
      <c r="D535" s="986" t="s">
        <v>557</v>
      </c>
      <c r="E535" s="790"/>
      <c r="F535" s="791"/>
      <c r="G535" s="584"/>
      <c r="H535" s="792"/>
      <c r="I535" s="793"/>
      <c r="J535" s="794"/>
      <c r="K535" s="795"/>
      <c r="L535" s="795"/>
      <c r="M535" s="795"/>
      <c r="N535" s="795"/>
      <c r="O535" s="794"/>
      <c r="P535" s="793"/>
    </row>
    <row r="536" spans="2:16" s="426" customFormat="1" ht="11.25" x14ac:dyDescent="0.2">
      <c r="B536" s="984"/>
      <c r="C536" s="981"/>
      <c r="D536" s="986"/>
      <c r="E536" s="790">
        <v>1</v>
      </c>
      <c r="F536" s="791"/>
      <c r="G536" s="584"/>
      <c r="H536" s="792">
        <f>E536*G536</f>
        <v>0</v>
      </c>
      <c r="I536" s="793"/>
      <c r="J536" s="794"/>
      <c r="K536" s="795"/>
      <c r="L536" s="795"/>
      <c r="M536" s="795"/>
      <c r="N536" s="795"/>
      <c r="O536" s="794"/>
      <c r="P536" s="793"/>
    </row>
    <row r="537" spans="2:16" s="426" customFormat="1" ht="11.25" x14ac:dyDescent="0.2">
      <c r="B537" s="984"/>
      <c r="C537" s="981"/>
      <c r="D537" s="986"/>
      <c r="E537" s="790">
        <v>1</v>
      </c>
      <c r="F537" s="791"/>
      <c r="G537" s="584"/>
      <c r="H537" s="792">
        <f>E537*G537</f>
        <v>0</v>
      </c>
      <c r="I537" s="793"/>
      <c r="J537" s="794"/>
      <c r="K537" s="795"/>
      <c r="L537" s="795"/>
      <c r="M537" s="795"/>
      <c r="N537" s="795"/>
      <c r="O537" s="794"/>
      <c r="P537" s="793"/>
    </row>
    <row r="538" spans="2:16" s="426" customFormat="1" ht="11.25" x14ac:dyDescent="0.2">
      <c r="B538" s="984"/>
      <c r="C538" s="981"/>
      <c r="D538" s="986" t="s">
        <v>565</v>
      </c>
      <c r="E538" s="790">
        <v>-1</v>
      </c>
      <c r="F538" s="791"/>
      <c r="G538" s="584">
        <f>I529+I519+I509</f>
        <v>0</v>
      </c>
      <c r="H538" s="792">
        <f>E538*G538</f>
        <v>0</v>
      </c>
      <c r="I538" s="793"/>
      <c r="J538" s="794"/>
      <c r="K538" s="795"/>
      <c r="L538" s="795"/>
      <c r="M538" s="795"/>
      <c r="N538" s="795"/>
      <c r="O538" s="794"/>
      <c r="P538" s="793"/>
    </row>
    <row r="539" spans="2:16" s="426" customFormat="1" ht="12" thickBot="1" x14ac:dyDescent="0.25">
      <c r="B539" s="985"/>
      <c r="C539" s="982"/>
      <c r="D539" s="987"/>
      <c r="E539" s="988">
        <v>1</v>
      </c>
      <c r="F539" s="796"/>
      <c r="G539" s="797"/>
      <c r="H539" s="798">
        <f t="shared" ref="H539:H544" si="87">E539*G539</f>
        <v>0</v>
      </c>
      <c r="I539" s="799">
        <f>SUM(H535:H539)</f>
        <v>0</v>
      </c>
      <c r="J539" s="800">
        <f>I539*$J$5</f>
        <v>0</v>
      </c>
      <c r="K539" s="801">
        <f>SUM(I539:J539)*$K$5</f>
        <v>0</v>
      </c>
      <c r="L539" s="801">
        <f>SUM(I539:K539)*$L$5</f>
        <v>0</v>
      </c>
      <c r="M539" s="801">
        <f>SUM(I539:L539)*$M$5</f>
        <v>0</v>
      </c>
      <c r="N539" s="801">
        <f>SUM(I539:M539)*$N$5</f>
        <v>0</v>
      </c>
      <c r="O539" s="800">
        <f>SUM(I539:N539)</f>
        <v>0</v>
      </c>
      <c r="P539" s="799">
        <f>ROUND(O539,-3)</f>
        <v>0</v>
      </c>
    </row>
    <row r="540" spans="2:16" s="426" customFormat="1" ht="19.5" customHeight="1" x14ac:dyDescent="0.2">
      <c r="B540" s="983" t="str">
        <f>'Detailed Matrix'!E71</f>
        <v>Small Power</v>
      </c>
      <c r="C540" s="980" t="str">
        <f>'Detailed Matrix'!F71</f>
        <v>Stage 01a: Minimise plug loads</v>
      </c>
      <c r="D540" s="991" t="s">
        <v>556</v>
      </c>
      <c r="E540" s="992">
        <v>1</v>
      </c>
      <c r="F540" s="993"/>
      <c r="G540" s="994"/>
      <c r="H540" s="995">
        <f t="shared" si="87"/>
        <v>0</v>
      </c>
      <c r="I540" s="996"/>
      <c r="J540" s="997"/>
      <c r="K540" s="998"/>
      <c r="L540" s="998"/>
      <c r="M540" s="998"/>
      <c r="N540" s="998"/>
      <c r="O540" s="997"/>
      <c r="P540" s="996"/>
    </row>
    <row r="541" spans="2:16" s="426" customFormat="1" ht="11.25" x14ac:dyDescent="0.2">
      <c r="B541" s="984"/>
      <c r="C541" s="981"/>
      <c r="D541" s="986"/>
      <c r="E541" s="790">
        <v>1</v>
      </c>
      <c r="F541" s="791"/>
      <c r="G541" s="584"/>
      <c r="H541" s="792">
        <f t="shared" si="87"/>
        <v>0</v>
      </c>
      <c r="I541" s="793"/>
      <c r="J541" s="794"/>
      <c r="K541" s="795"/>
      <c r="L541" s="795"/>
      <c r="M541" s="795"/>
      <c r="N541" s="795"/>
      <c r="O541" s="794"/>
      <c r="P541" s="793"/>
    </row>
    <row r="542" spans="2:16" s="426" customFormat="1" ht="11.25" x14ac:dyDescent="0.2">
      <c r="B542" s="984"/>
      <c r="C542" s="981"/>
      <c r="D542" s="986"/>
      <c r="E542" s="790">
        <v>1</v>
      </c>
      <c r="F542" s="791"/>
      <c r="G542" s="584"/>
      <c r="H542" s="792">
        <f t="shared" si="87"/>
        <v>0</v>
      </c>
      <c r="I542" s="793"/>
      <c r="J542" s="794"/>
      <c r="K542" s="795"/>
      <c r="L542" s="795"/>
      <c r="M542" s="795"/>
      <c r="N542" s="795"/>
      <c r="O542" s="794"/>
      <c r="P542" s="793"/>
    </row>
    <row r="543" spans="2:16" s="426" customFormat="1" ht="11.25" x14ac:dyDescent="0.2">
      <c r="B543" s="984"/>
      <c r="C543" s="981"/>
      <c r="D543" s="986"/>
      <c r="E543" s="790">
        <v>1</v>
      </c>
      <c r="F543" s="791"/>
      <c r="G543" s="584"/>
      <c r="H543" s="792">
        <f t="shared" si="87"/>
        <v>0</v>
      </c>
      <c r="I543" s="793"/>
      <c r="J543" s="794"/>
      <c r="K543" s="795"/>
      <c r="L543" s="795"/>
      <c r="M543" s="795"/>
      <c r="N543" s="795"/>
      <c r="O543" s="794"/>
      <c r="P543" s="793"/>
    </row>
    <row r="544" spans="2:16" s="426" customFormat="1" ht="11.25" x14ac:dyDescent="0.2">
      <c r="B544" s="984"/>
      <c r="C544" s="981"/>
      <c r="D544" s="986" t="s">
        <v>568</v>
      </c>
      <c r="E544" s="790">
        <v>1</v>
      </c>
      <c r="F544" s="791"/>
      <c r="G544" s="584"/>
      <c r="H544" s="792">
        <f t="shared" si="87"/>
        <v>0</v>
      </c>
      <c r="I544" s="793">
        <f>SUM(H540:H544)</f>
        <v>0</v>
      </c>
      <c r="J544" s="794">
        <f>I544*$J$5</f>
        <v>0</v>
      </c>
      <c r="K544" s="795">
        <f>SUM(I544:J544)*$K$5</f>
        <v>0</v>
      </c>
      <c r="L544" s="795">
        <f>SUM(I544:K544)*$L$5</f>
        <v>0</v>
      </c>
      <c r="M544" s="795">
        <f>SUM(I544:L544)*$M$5</f>
        <v>0</v>
      </c>
      <c r="N544" s="795">
        <f>SUM(I544:M544)*$N$5</f>
        <v>0</v>
      </c>
      <c r="O544" s="794">
        <f>SUM(I544:N544)</f>
        <v>0</v>
      </c>
      <c r="P544" s="793">
        <f>ROUND(O544,-3)</f>
        <v>0</v>
      </c>
    </row>
    <row r="546" spans="2:16" s="426" customFormat="1" ht="11.25" x14ac:dyDescent="0.2">
      <c r="B546" s="984"/>
      <c r="C546" s="981"/>
      <c r="D546" s="986" t="s">
        <v>557</v>
      </c>
      <c r="E546" s="790">
        <v>1</v>
      </c>
      <c r="F546" s="791"/>
      <c r="G546" s="584"/>
      <c r="H546" s="792">
        <f t="shared" ref="H546:H549" si="88">E546*G546</f>
        <v>0</v>
      </c>
      <c r="I546" s="793"/>
      <c r="J546" s="794"/>
      <c r="K546" s="795"/>
      <c r="L546" s="795"/>
      <c r="M546" s="795"/>
      <c r="N546" s="795"/>
      <c r="O546" s="794"/>
      <c r="P546" s="793"/>
    </row>
    <row r="547" spans="2:16" s="426" customFormat="1" ht="11.25" x14ac:dyDescent="0.2">
      <c r="B547" s="984"/>
      <c r="C547" s="981"/>
      <c r="D547" s="986"/>
      <c r="E547" s="790">
        <v>1</v>
      </c>
      <c r="F547" s="791"/>
      <c r="G547" s="584"/>
      <c r="H547" s="792">
        <f t="shared" si="88"/>
        <v>0</v>
      </c>
      <c r="I547" s="793"/>
      <c r="J547" s="794"/>
      <c r="K547" s="795"/>
      <c r="L547" s="795"/>
      <c r="M547" s="795"/>
      <c r="N547" s="795"/>
      <c r="O547" s="794"/>
      <c r="P547" s="793"/>
    </row>
    <row r="548" spans="2:16" s="426" customFormat="1" ht="11.25" x14ac:dyDescent="0.2">
      <c r="B548" s="984"/>
      <c r="C548" s="981"/>
      <c r="D548" s="986"/>
      <c r="E548" s="790">
        <v>1</v>
      </c>
      <c r="F548" s="791"/>
      <c r="G548" s="584"/>
      <c r="H548" s="792">
        <f t="shared" si="88"/>
        <v>0</v>
      </c>
      <c r="I548" s="793"/>
      <c r="J548" s="794"/>
      <c r="K548" s="795"/>
      <c r="L548" s="795"/>
      <c r="M548" s="795"/>
      <c r="N548" s="795"/>
      <c r="O548" s="794"/>
      <c r="P548" s="793"/>
    </row>
    <row r="549" spans="2:16" s="426" customFormat="1" ht="12" thickBot="1" x14ac:dyDescent="0.25">
      <c r="B549" s="985"/>
      <c r="C549" s="982"/>
      <c r="D549" s="987" t="s">
        <v>568</v>
      </c>
      <c r="E549" s="988">
        <v>1</v>
      </c>
      <c r="F549" s="796"/>
      <c r="G549" s="797"/>
      <c r="H549" s="798">
        <f t="shared" si="88"/>
        <v>0</v>
      </c>
      <c r="I549" s="799">
        <f>SUM(H546:H549)</f>
        <v>0</v>
      </c>
      <c r="J549" s="800">
        <f>I549*$J$5</f>
        <v>0</v>
      </c>
      <c r="K549" s="801">
        <f>SUM(I549:J549)*$K$5</f>
        <v>0</v>
      </c>
      <c r="L549" s="801">
        <f>SUM(I549:K549)*$L$5</f>
        <v>0</v>
      </c>
      <c r="M549" s="801">
        <f>SUM(I549:L549)*$M$5</f>
        <v>0</v>
      </c>
      <c r="N549" s="801">
        <f>SUM(I549:M549)*$N$5</f>
        <v>0</v>
      </c>
      <c r="O549" s="800">
        <f>SUM(I549:N549)</f>
        <v>0</v>
      </c>
      <c r="P549" s="799">
        <f>ROUND(O549,-3)</f>
        <v>0</v>
      </c>
    </row>
    <row r="550" spans="2:16" s="426" customFormat="1" ht="20.100000000000001" customHeight="1" x14ac:dyDescent="0.2">
      <c r="B550" s="983" t="str">
        <f>'Detailed Matrix'!E72</f>
        <v>Small Power</v>
      </c>
      <c r="C550" s="980" t="str">
        <f>'Detailed Matrix'!F72</f>
        <v>Stage 01b: Minimise energy wasteage</v>
      </c>
      <c r="D550" s="991" t="s">
        <v>556</v>
      </c>
      <c r="E550" s="992"/>
      <c r="F550" s="993"/>
      <c r="G550" s="994"/>
      <c r="H550" s="995"/>
      <c r="I550" s="996"/>
      <c r="J550" s="997"/>
      <c r="K550" s="998"/>
      <c r="L550" s="998"/>
      <c r="M550" s="998"/>
      <c r="N550" s="998"/>
      <c r="O550" s="997"/>
      <c r="P550" s="996"/>
    </row>
    <row r="551" spans="2:16" s="426" customFormat="1" ht="11.25" x14ac:dyDescent="0.2">
      <c r="B551" s="984"/>
      <c r="C551" s="981"/>
      <c r="D551" s="986"/>
      <c r="E551" s="790">
        <v>1</v>
      </c>
      <c r="F551" s="791"/>
      <c r="G551" s="584"/>
      <c r="H551" s="792">
        <f t="shared" ref="H551:H554" si="89">E551*G551</f>
        <v>0</v>
      </c>
      <c r="I551" s="793"/>
      <c r="J551" s="794"/>
      <c r="K551" s="795"/>
      <c r="L551" s="795"/>
      <c r="M551" s="795"/>
      <c r="N551" s="795"/>
      <c r="O551" s="794"/>
      <c r="P551" s="793"/>
    </row>
    <row r="552" spans="2:16" s="426" customFormat="1" ht="11.25" x14ac:dyDescent="0.2">
      <c r="B552" s="984"/>
      <c r="C552" s="981"/>
      <c r="D552" s="986"/>
      <c r="E552" s="790">
        <v>1</v>
      </c>
      <c r="F552" s="791"/>
      <c r="G552" s="584"/>
      <c r="H552" s="792">
        <f t="shared" si="89"/>
        <v>0</v>
      </c>
      <c r="I552" s="793"/>
      <c r="J552" s="794"/>
      <c r="K552" s="795"/>
      <c r="L552" s="795"/>
      <c r="M552" s="795"/>
      <c r="N552" s="795"/>
      <c r="O552" s="794"/>
      <c r="P552" s="793"/>
    </row>
    <row r="553" spans="2:16" s="426" customFormat="1" ht="11.25" x14ac:dyDescent="0.2">
      <c r="B553" s="984"/>
      <c r="C553" s="981"/>
      <c r="D553" s="986" t="s">
        <v>569</v>
      </c>
      <c r="E553" s="790">
        <v>-1</v>
      </c>
      <c r="F553" s="791"/>
      <c r="G553" s="584">
        <f>I544</f>
        <v>0</v>
      </c>
      <c r="H553" s="792">
        <f t="shared" si="89"/>
        <v>0</v>
      </c>
      <c r="I553" s="793"/>
      <c r="J553" s="794"/>
      <c r="K553" s="795"/>
      <c r="L553" s="795"/>
      <c r="M553" s="795"/>
      <c r="N553" s="795"/>
      <c r="O553" s="794"/>
      <c r="P553" s="793"/>
    </row>
    <row r="554" spans="2:16" s="426" customFormat="1" ht="11.25" x14ac:dyDescent="0.2">
      <c r="B554" s="984"/>
      <c r="C554" s="981"/>
      <c r="D554" s="986"/>
      <c r="E554" s="790"/>
      <c r="F554" s="791"/>
      <c r="G554" s="584"/>
      <c r="H554" s="792">
        <f t="shared" si="89"/>
        <v>0</v>
      </c>
      <c r="I554" s="793">
        <f>SUM(H550:H554)</f>
        <v>0</v>
      </c>
      <c r="J554" s="794">
        <f>I554*$J$5</f>
        <v>0</v>
      </c>
      <c r="K554" s="795">
        <f>SUM(I554:J554)*$K$5</f>
        <v>0</v>
      </c>
      <c r="L554" s="795">
        <f>SUM(I554:K554)*$L$5</f>
        <v>0</v>
      </c>
      <c r="M554" s="795">
        <f>SUM(I554:L554)*$M$5</f>
        <v>0</v>
      </c>
      <c r="N554" s="795">
        <f>SUM(I554:M554)*$N$5</f>
        <v>0</v>
      </c>
      <c r="O554" s="794">
        <f>SUM(I554:N554)</f>
        <v>0</v>
      </c>
      <c r="P554" s="793">
        <f>ROUND(O554,-3)</f>
        <v>0</v>
      </c>
    </row>
    <row r="555" spans="2:16" s="426" customFormat="1" ht="11.25" x14ac:dyDescent="0.2">
      <c r="B555" s="984"/>
      <c r="C555" s="981"/>
      <c r="D555" s="986" t="s">
        <v>557</v>
      </c>
      <c r="E555" s="790"/>
      <c r="F555" s="791"/>
      <c r="G555" s="584"/>
      <c r="H555" s="792"/>
      <c r="I555" s="793"/>
      <c r="J555" s="794"/>
      <c r="K555" s="795"/>
      <c r="L555" s="795"/>
      <c r="M555" s="795"/>
      <c r="N555" s="795"/>
      <c r="O555" s="794"/>
      <c r="P555" s="793"/>
    </row>
    <row r="556" spans="2:16" s="426" customFormat="1" ht="11.25" x14ac:dyDescent="0.2">
      <c r="B556" s="984"/>
      <c r="C556" s="981"/>
      <c r="D556" s="986"/>
      <c r="E556" s="790">
        <v>1</v>
      </c>
      <c r="F556" s="791"/>
      <c r="G556" s="584"/>
      <c r="H556" s="792">
        <f>E556*G556</f>
        <v>0</v>
      </c>
      <c r="I556" s="793"/>
      <c r="J556" s="794"/>
      <c r="K556" s="795"/>
      <c r="L556" s="795"/>
      <c r="M556" s="795"/>
      <c r="N556" s="795"/>
      <c r="O556" s="794"/>
      <c r="P556" s="793"/>
    </row>
    <row r="557" spans="2:16" s="426" customFormat="1" ht="11.25" x14ac:dyDescent="0.2">
      <c r="B557" s="984"/>
      <c r="C557" s="981"/>
      <c r="D557" s="986"/>
      <c r="E557" s="790">
        <v>1</v>
      </c>
      <c r="F557" s="791"/>
      <c r="G557" s="584"/>
      <c r="H557" s="792">
        <f>E557*G557</f>
        <v>0</v>
      </c>
      <c r="I557" s="793"/>
      <c r="J557" s="794"/>
      <c r="K557" s="795"/>
      <c r="L557" s="795"/>
      <c r="M557" s="795"/>
      <c r="N557" s="795"/>
      <c r="O557" s="794"/>
      <c r="P557" s="793"/>
    </row>
    <row r="558" spans="2:16" s="426" customFormat="1" ht="11.25" x14ac:dyDescent="0.2">
      <c r="B558" s="984"/>
      <c r="C558" s="981"/>
      <c r="D558" s="986" t="s">
        <v>569</v>
      </c>
      <c r="E558" s="790">
        <v>-1</v>
      </c>
      <c r="F558" s="791"/>
      <c r="G558" s="584">
        <f>I549</f>
        <v>0</v>
      </c>
      <c r="H558" s="792">
        <f>E558*G558</f>
        <v>0</v>
      </c>
      <c r="I558" s="793"/>
      <c r="J558" s="794"/>
      <c r="K558" s="795"/>
      <c r="L558" s="795"/>
      <c r="M558" s="795"/>
      <c r="N558" s="795"/>
      <c r="O558" s="794"/>
      <c r="P558" s="793"/>
    </row>
    <row r="559" spans="2:16" s="426" customFormat="1" ht="12" thickBot="1" x14ac:dyDescent="0.25">
      <c r="B559" s="985"/>
      <c r="C559" s="982"/>
      <c r="D559" s="987"/>
      <c r="E559" s="988">
        <v>1</v>
      </c>
      <c r="F559" s="796"/>
      <c r="G559" s="797"/>
      <c r="H559" s="798">
        <f t="shared" ref="H559" si="90">E559*G559</f>
        <v>0</v>
      </c>
      <c r="I559" s="799">
        <f>SUM(H555:H559)</f>
        <v>0</v>
      </c>
      <c r="J559" s="800">
        <f>I559*$J$5</f>
        <v>0</v>
      </c>
      <c r="K559" s="801">
        <f>SUM(I559:J559)*$K$5</f>
        <v>0</v>
      </c>
      <c r="L559" s="801">
        <f>SUM(I559:K559)*$L$5</f>
        <v>0</v>
      </c>
      <c r="M559" s="801">
        <f>SUM(I559:L559)*$M$5</f>
        <v>0</v>
      </c>
      <c r="N559" s="801">
        <f>SUM(I559:M559)*$N$5</f>
        <v>0</v>
      </c>
      <c r="O559" s="800">
        <f>SUM(I559:N559)</f>
        <v>0</v>
      </c>
      <c r="P559" s="799">
        <f>ROUND(O559,-3)</f>
        <v>0</v>
      </c>
    </row>
    <row r="560" spans="2:16" s="1000" customFormat="1" ht="22.5" customHeight="1" x14ac:dyDescent="0.25">
      <c r="B560" s="1001" t="str">
        <f>'Detailed Matrix'!E73</f>
        <v>Small Power</v>
      </c>
      <c r="C560" s="1002" t="str">
        <f>'Detailed Matrix'!F73</f>
        <v>Stage 02a: Reduce use of plug in equipment</v>
      </c>
      <c r="D560" s="1003" t="s">
        <v>556</v>
      </c>
      <c r="E560" s="1004"/>
      <c r="F560" s="1005"/>
      <c r="G560" s="1006"/>
      <c r="H560" s="1007"/>
      <c r="I560" s="1008"/>
      <c r="J560" s="1009"/>
      <c r="K560" s="1010"/>
      <c r="L560" s="1010"/>
      <c r="M560" s="1010"/>
      <c r="N560" s="1010"/>
      <c r="O560" s="1009"/>
      <c r="P560" s="1008"/>
    </row>
    <row r="561" spans="2:16" s="426" customFormat="1" ht="11.25" x14ac:dyDescent="0.2">
      <c r="B561" s="984"/>
      <c r="C561" s="981"/>
      <c r="D561" s="986"/>
      <c r="E561" s="790">
        <v>1</v>
      </c>
      <c r="F561" s="791"/>
      <c r="G561" s="584"/>
      <c r="H561" s="792">
        <f t="shared" ref="H561:H564" si="91">E561*G561</f>
        <v>0</v>
      </c>
      <c r="I561" s="793"/>
      <c r="J561" s="794"/>
      <c r="K561" s="795"/>
      <c r="L561" s="795"/>
      <c r="M561" s="795"/>
      <c r="N561" s="795"/>
      <c r="O561" s="794"/>
      <c r="P561" s="793"/>
    </row>
    <row r="562" spans="2:16" s="426" customFormat="1" ht="11.25" x14ac:dyDescent="0.2">
      <c r="B562" s="984"/>
      <c r="C562" s="981"/>
      <c r="D562" s="986"/>
      <c r="E562" s="790">
        <v>1</v>
      </c>
      <c r="F562" s="791"/>
      <c r="G562" s="584"/>
      <c r="H562" s="792">
        <f t="shared" si="91"/>
        <v>0</v>
      </c>
      <c r="I562" s="793"/>
      <c r="J562" s="794"/>
      <c r="K562" s="795"/>
      <c r="L562" s="795"/>
      <c r="M562" s="795"/>
      <c r="N562" s="795"/>
      <c r="O562" s="794"/>
      <c r="P562" s="793"/>
    </row>
    <row r="563" spans="2:16" s="426" customFormat="1" ht="11.25" x14ac:dyDescent="0.2">
      <c r="B563" s="984"/>
      <c r="C563" s="981"/>
      <c r="D563" s="986" t="s">
        <v>570</v>
      </c>
      <c r="E563" s="790">
        <v>-1</v>
      </c>
      <c r="F563" s="791"/>
      <c r="G563" s="584">
        <f>I554+I544</f>
        <v>0</v>
      </c>
      <c r="H563" s="792">
        <f t="shared" si="91"/>
        <v>0</v>
      </c>
      <c r="I563" s="793"/>
      <c r="J563" s="794"/>
      <c r="K563" s="795"/>
      <c r="L563" s="795"/>
      <c r="M563" s="795"/>
      <c r="N563" s="795"/>
      <c r="O563" s="794"/>
      <c r="P563" s="793"/>
    </row>
    <row r="564" spans="2:16" s="426" customFormat="1" ht="11.25" x14ac:dyDescent="0.2">
      <c r="B564" s="984"/>
      <c r="C564" s="981"/>
      <c r="D564" s="986"/>
      <c r="E564" s="790"/>
      <c r="F564" s="791"/>
      <c r="G564" s="584"/>
      <c r="H564" s="792">
        <f t="shared" si="91"/>
        <v>0</v>
      </c>
      <c r="I564" s="793">
        <f>SUM(H560:H564)</f>
        <v>0</v>
      </c>
      <c r="J564" s="794">
        <f>I564*$J$5</f>
        <v>0</v>
      </c>
      <c r="K564" s="795">
        <f>SUM(I564:J564)*$K$5</f>
        <v>0</v>
      </c>
      <c r="L564" s="795">
        <f>SUM(I564:K564)*$L$5</f>
        <v>0</v>
      </c>
      <c r="M564" s="795">
        <f>SUM(I564:L564)*$M$5</f>
        <v>0</v>
      </c>
      <c r="N564" s="795">
        <f>SUM(I564:M564)*$N$5</f>
        <v>0</v>
      </c>
      <c r="O564" s="794">
        <f>SUM(I564:N564)</f>
        <v>0</v>
      </c>
      <c r="P564" s="793">
        <f>ROUND(O564,-3)</f>
        <v>0</v>
      </c>
    </row>
    <row r="565" spans="2:16" s="426" customFormat="1" ht="11.25" x14ac:dyDescent="0.2">
      <c r="B565" s="984"/>
      <c r="C565" s="981"/>
      <c r="D565" s="986" t="s">
        <v>557</v>
      </c>
      <c r="E565" s="790"/>
      <c r="F565" s="791"/>
      <c r="G565" s="584"/>
      <c r="H565" s="792"/>
      <c r="I565" s="793"/>
      <c r="J565" s="794"/>
      <c r="K565" s="795"/>
      <c r="L565" s="795"/>
      <c r="M565" s="795"/>
      <c r="N565" s="795"/>
      <c r="O565" s="794"/>
      <c r="P565" s="793"/>
    </row>
    <row r="566" spans="2:16" s="426" customFormat="1" ht="11.25" x14ac:dyDescent="0.2">
      <c r="B566" s="984"/>
      <c r="C566" s="981"/>
      <c r="D566" s="986"/>
      <c r="E566" s="790">
        <v>1</v>
      </c>
      <c r="F566" s="791"/>
      <c r="G566" s="584"/>
      <c r="H566" s="792">
        <f>E566*G566</f>
        <v>0</v>
      </c>
      <c r="I566" s="793"/>
      <c r="J566" s="794"/>
      <c r="K566" s="795"/>
      <c r="L566" s="795"/>
      <c r="M566" s="795"/>
      <c r="N566" s="795"/>
      <c r="O566" s="794"/>
      <c r="P566" s="793"/>
    </row>
    <row r="567" spans="2:16" s="426" customFormat="1" ht="11.25" x14ac:dyDescent="0.2">
      <c r="B567" s="984"/>
      <c r="C567" s="981"/>
      <c r="D567" s="986"/>
      <c r="E567" s="790">
        <v>1</v>
      </c>
      <c r="F567" s="791"/>
      <c r="G567" s="584"/>
      <c r="H567" s="792">
        <f>E567*G567</f>
        <v>0</v>
      </c>
      <c r="I567" s="793"/>
      <c r="J567" s="794"/>
      <c r="K567" s="795"/>
      <c r="L567" s="795"/>
      <c r="M567" s="795"/>
      <c r="N567" s="795"/>
      <c r="O567" s="794"/>
      <c r="P567" s="793"/>
    </row>
    <row r="568" spans="2:16" s="426" customFormat="1" ht="11.25" x14ac:dyDescent="0.2">
      <c r="B568" s="984"/>
      <c r="C568" s="981"/>
      <c r="D568" s="986" t="s">
        <v>570</v>
      </c>
      <c r="E568" s="790">
        <v>-1</v>
      </c>
      <c r="F568" s="791"/>
      <c r="G568" s="584">
        <f>I559+I549</f>
        <v>0</v>
      </c>
      <c r="H568" s="792">
        <f>E568*G568</f>
        <v>0</v>
      </c>
      <c r="I568" s="793"/>
      <c r="J568" s="794"/>
      <c r="K568" s="795"/>
      <c r="L568" s="795"/>
      <c r="M568" s="795"/>
      <c r="N568" s="795"/>
      <c r="O568" s="794"/>
      <c r="P568" s="793"/>
    </row>
    <row r="569" spans="2:16" s="426" customFormat="1" ht="12" thickBot="1" x14ac:dyDescent="0.25">
      <c r="B569" s="985"/>
      <c r="C569" s="982"/>
      <c r="D569" s="987"/>
      <c r="E569" s="988">
        <v>1</v>
      </c>
      <c r="F569" s="796"/>
      <c r="G569" s="797"/>
      <c r="H569" s="798">
        <f t="shared" ref="H569" si="92">E569*G569</f>
        <v>0</v>
      </c>
      <c r="I569" s="799">
        <f>SUM(H565:H569)</f>
        <v>0</v>
      </c>
      <c r="J569" s="800">
        <f>I569*$J$5</f>
        <v>0</v>
      </c>
      <c r="K569" s="801">
        <f>SUM(I569:J569)*$K$5</f>
        <v>0</v>
      </c>
      <c r="L569" s="801">
        <f>SUM(I569:K569)*$L$5</f>
        <v>0</v>
      </c>
      <c r="M569" s="801">
        <f>SUM(I569:L569)*$M$5</f>
        <v>0</v>
      </c>
      <c r="N569" s="801">
        <f>SUM(I569:M569)*$N$5</f>
        <v>0</v>
      </c>
      <c r="O569" s="800">
        <f>SUM(I569:N569)</f>
        <v>0</v>
      </c>
      <c r="P569" s="799">
        <f>ROUND(O569,-3)</f>
        <v>0</v>
      </c>
    </row>
    <row r="570" spans="2:16" s="426" customFormat="1" ht="22.5" x14ac:dyDescent="0.2">
      <c r="B570" s="983" t="str">
        <f>'Detailed Matrix'!E74</f>
        <v>Small Power</v>
      </c>
      <c r="C570" s="980" t="str">
        <f>'Detailed Matrix'!F74</f>
        <v>Stage 02b: Specify high efficiency equipment with integral power saving controls</v>
      </c>
      <c r="D570" s="991" t="s">
        <v>556</v>
      </c>
      <c r="E570" s="992"/>
      <c r="F570" s="993"/>
      <c r="G570" s="994"/>
      <c r="H570" s="995"/>
      <c r="I570" s="996"/>
      <c r="J570" s="997"/>
      <c r="K570" s="998"/>
      <c r="L570" s="998"/>
      <c r="M570" s="998"/>
      <c r="N570" s="998"/>
      <c r="O570" s="997"/>
      <c r="P570" s="996"/>
    </row>
    <row r="571" spans="2:16" s="426" customFormat="1" ht="11.25" x14ac:dyDescent="0.2">
      <c r="B571" s="984"/>
      <c r="C571" s="981"/>
      <c r="D571" s="986"/>
      <c r="E571" s="790">
        <v>1</v>
      </c>
      <c r="F571" s="791"/>
      <c r="G571" s="584"/>
      <c r="H571" s="792">
        <f t="shared" ref="H571:H574" si="93">E571*G571</f>
        <v>0</v>
      </c>
      <c r="I571" s="793"/>
      <c r="J571" s="794"/>
      <c r="K571" s="795"/>
      <c r="L571" s="795"/>
      <c r="M571" s="795"/>
      <c r="N571" s="795"/>
      <c r="O571" s="794"/>
      <c r="P571" s="793"/>
    </row>
    <row r="572" spans="2:16" s="426" customFormat="1" ht="11.25" x14ac:dyDescent="0.2">
      <c r="B572" s="984"/>
      <c r="C572" s="981"/>
      <c r="D572" s="986"/>
      <c r="E572" s="790">
        <v>1</v>
      </c>
      <c r="F572" s="791"/>
      <c r="G572" s="584"/>
      <c r="H572" s="792">
        <f t="shared" si="93"/>
        <v>0</v>
      </c>
      <c r="I572" s="793"/>
      <c r="J572" s="794"/>
      <c r="K572" s="795"/>
      <c r="L572" s="795"/>
      <c r="M572" s="795"/>
      <c r="N572" s="795"/>
      <c r="O572" s="794"/>
      <c r="P572" s="793"/>
    </row>
    <row r="573" spans="2:16" s="426" customFormat="1" ht="11.25" x14ac:dyDescent="0.2">
      <c r="B573" s="984"/>
      <c r="C573" s="981"/>
      <c r="D573" s="986" t="s">
        <v>571</v>
      </c>
      <c r="E573" s="790">
        <v>-1</v>
      </c>
      <c r="F573" s="791"/>
      <c r="G573" s="584">
        <f>I564+I554+I544</f>
        <v>0</v>
      </c>
      <c r="H573" s="792">
        <f t="shared" si="93"/>
        <v>0</v>
      </c>
      <c r="I573" s="793"/>
      <c r="J573" s="794"/>
      <c r="K573" s="795"/>
      <c r="L573" s="795"/>
      <c r="M573" s="795"/>
      <c r="N573" s="795"/>
      <c r="O573" s="794"/>
      <c r="P573" s="793"/>
    </row>
    <row r="574" spans="2:16" s="426" customFormat="1" ht="11.25" x14ac:dyDescent="0.2">
      <c r="B574" s="984"/>
      <c r="C574" s="981"/>
      <c r="D574" s="986"/>
      <c r="E574" s="790"/>
      <c r="F574" s="791"/>
      <c r="G574" s="584"/>
      <c r="H574" s="792">
        <f t="shared" si="93"/>
        <v>0</v>
      </c>
      <c r="I574" s="793">
        <f>SUM(H570:H574)</f>
        <v>0</v>
      </c>
      <c r="J574" s="794">
        <f>I574*$J$5</f>
        <v>0</v>
      </c>
      <c r="K574" s="795">
        <f>SUM(I574:J574)*$K$5</f>
        <v>0</v>
      </c>
      <c r="L574" s="795">
        <f>SUM(I574:K574)*$L$5</f>
        <v>0</v>
      </c>
      <c r="M574" s="795">
        <f>SUM(I574:L574)*$M$5</f>
        <v>0</v>
      </c>
      <c r="N574" s="795">
        <f>SUM(I574:M574)*$N$5</f>
        <v>0</v>
      </c>
      <c r="O574" s="794">
        <f>SUM(I574:N574)</f>
        <v>0</v>
      </c>
      <c r="P574" s="793">
        <f>ROUND(O574,-3)</f>
        <v>0</v>
      </c>
    </row>
    <row r="575" spans="2:16" s="426" customFormat="1" ht="11.25" x14ac:dyDescent="0.2">
      <c r="B575" s="984"/>
      <c r="C575" s="981"/>
      <c r="D575" s="986" t="s">
        <v>557</v>
      </c>
      <c r="E575" s="790"/>
      <c r="F575" s="791"/>
      <c r="G575" s="584"/>
      <c r="H575" s="792"/>
      <c r="I575" s="793"/>
      <c r="J575" s="794"/>
      <c r="K575" s="795"/>
      <c r="L575" s="795"/>
      <c r="M575" s="795"/>
      <c r="N575" s="795"/>
      <c r="O575" s="794"/>
      <c r="P575" s="793"/>
    </row>
    <row r="576" spans="2:16" s="426" customFormat="1" ht="11.25" x14ac:dyDescent="0.2">
      <c r="B576" s="984"/>
      <c r="C576" s="981"/>
      <c r="D576" s="986"/>
      <c r="E576" s="790">
        <v>1</v>
      </c>
      <c r="F576" s="791"/>
      <c r="G576" s="584"/>
      <c r="H576" s="792">
        <f>E576*G576</f>
        <v>0</v>
      </c>
      <c r="I576" s="793"/>
      <c r="J576" s="794"/>
      <c r="K576" s="795"/>
      <c r="L576" s="795"/>
      <c r="M576" s="795"/>
      <c r="N576" s="795"/>
      <c r="O576" s="794"/>
      <c r="P576" s="793"/>
    </row>
    <row r="577" spans="2:16" s="426" customFormat="1" ht="11.25" x14ac:dyDescent="0.2">
      <c r="B577" s="984"/>
      <c r="C577" s="981"/>
      <c r="D577" s="986"/>
      <c r="E577" s="790">
        <v>1</v>
      </c>
      <c r="F577" s="791"/>
      <c r="G577" s="584"/>
      <c r="H577" s="792">
        <f>E577*G577</f>
        <v>0</v>
      </c>
      <c r="I577" s="793"/>
      <c r="J577" s="794"/>
      <c r="K577" s="795"/>
      <c r="L577" s="795"/>
      <c r="M577" s="795"/>
      <c r="N577" s="795"/>
      <c r="O577" s="794"/>
      <c r="P577" s="793"/>
    </row>
    <row r="578" spans="2:16" s="426" customFormat="1" ht="11.25" x14ac:dyDescent="0.2">
      <c r="B578" s="984"/>
      <c r="C578" s="981"/>
      <c r="D578" s="986" t="s">
        <v>571</v>
      </c>
      <c r="E578" s="790">
        <v>-1</v>
      </c>
      <c r="F578" s="791"/>
      <c r="G578" s="584">
        <f>I569+I559+I549</f>
        <v>0</v>
      </c>
      <c r="H578" s="792">
        <f>E578*G578</f>
        <v>0</v>
      </c>
      <c r="I578" s="793"/>
      <c r="J578" s="794"/>
      <c r="K578" s="795"/>
      <c r="L578" s="795"/>
      <c r="M578" s="795"/>
      <c r="N578" s="795"/>
      <c r="O578" s="794"/>
      <c r="P578" s="793"/>
    </row>
    <row r="579" spans="2:16" s="426" customFormat="1" ht="12" thickBot="1" x14ac:dyDescent="0.25">
      <c r="B579" s="985"/>
      <c r="C579" s="982"/>
      <c r="D579" s="987"/>
      <c r="E579" s="988">
        <v>1</v>
      </c>
      <c r="F579" s="796"/>
      <c r="G579" s="797"/>
      <c r="H579" s="798">
        <f t="shared" ref="H579" si="94">E579*G579</f>
        <v>0</v>
      </c>
      <c r="I579" s="799">
        <f>SUM(H575:H579)</f>
        <v>0</v>
      </c>
      <c r="J579" s="800">
        <f>I579*$J$5</f>
        <v>0</v>
      </c>
      <c r="K579" s="801">
        <f>SUM(I579:J579)*$K$5</f>
        <v>0</v>
      </c>
      <c r="L579" s="801">
        <f>SUM(I579:K579)*$L$5</f>
        <v>0</v>
      </c>
      <c r="M579" s="801">
        <f>SUM(I579:L579)*$M$5</f>
        <v>0</v>
      </c>
      <c r="N579" s="801">
        <f>SUM(I579:M579)*$N$5</f>
        <v>0</v>
      </c>
      <c r="O579" s="800">
        <f>SUM(I579:N579)</f>
        <v>0</v>
      </c>
      <c r="P579" s="799">
        <f>ROUND(O579,-3)</f>
        <v>0</v>
      </c>
    </row>
    <row r="580" spans="2:16" s="426" customFormat="1" ht="14.1" customHeight="1" x14ac:dyDescent="0.2">
      <c r="B580" s="983" t="str">
        <f>'Detailed Matrix'!E75</f>
        <v>Small Power</v>
      </c>
      <c r="C580" s="1228" t="str">
        <f>'Detailed Matrix'!F75</f>
        <v>Stage 03: Smart Controls in rooms to turn off non-essential equipment when not in use</v>
      </c>
      <c r="D580" s="991" t="s">
        <v>556</v>
      </c>
      <c r="E580" s="992"/>
      <c r="F580" s="993"/>
      <c r="G580" s="994"/>
      <c r="H580" s="995"/>
      <c r="I580" s="996"/>
      <c r="J580" s="997"/>
      <c r="K580" s="998"/>
      <c r="L580" s="998"/>
      <c r="M580" s="998"/>
      <c r="N580" s="998"/>
      <c r="O580" s="997"/>
      <c r="P580" s="996"/>
    </row>
    <row r="581" spans="2:16" s="426" customFormat="1" ht="14.45" customHeight="1" x14ac:dyDescent="0.2">
      <c r="B581" s="984"/>
      <c r="C581" s="1229"/>
      <c r="D581" s="986"/>
      <c r="E581" s="790">
        <v>1</v>
      </c>
      <c r="F581" s="791"/>
      <c r="G581" s="584"/>
      <c r="H581" s="792">
        <f t="shared" ref="H581:H584" si="95">E581*G581</f>
        <v>0</v>
      </c>
      <c r="I581" s="793"/>
      <c r="J581" s="794"/>
      <c r="K581" s="795"/>
      <c r="L581" s="795"/>
      <c r="M581" s="795"/>
      <c r="N581" s="795"/>
      <c r="O581" s="794"/>
      <c r="P581" s="793"/>
    </row>
    <row r="582" spans="2:16" s="426" customFormat="1" ht="14.45" customHeight="1" x14ac:dyDescent="0.2">
      <c r="B582" s="984"/>
      <c r="C582" s="1229"/>
      <c r="D582" s="986"/>
      <c r="E582" s="790">
        <v>1</v>
      </c>
      <c r="F582" s="791"/>
      <c r="G582" s="584"/>
      <c r="H582" s="792">
        <f t="shared" si="95"/>
        <v>0</v>
      </c>
      <c r="I582" s="793"/>
      <c r="J582" s="794"/>
      <c r="K582" s="795"/>
      <c r="L582" s="795"/>
      <c r="M582" s="795"/>
      <c r="N582" s="795"/>
      <c r="O582" s="794"/>
      <c r="P582" s="793"/>
    </row>
    <row r="583" spans="2:16" s="426" customFormat="1" ht="14.45" customHeight="1" x14ac:dyDescent="0.2">
      <c r="B583" s="984"/>
      <c r="C583" s="1229"/>
      <c r="D583" s="986" t="s">
        <v>572</v>
      </c>
      <c r="E583" s="790">
        <v>-1</v>
      </c>
      <c r="F583" s="791"/>
      <c r="G583" s="584">
        <f>I574+I564+I554+I544</f>
        <v>0</v>
      </c>
      <c r="H583" s="792">
        <f t="shared" si="95"/>
        <v>0</v>
      </c>
      <c r="I583" s="793"/>
      <c r="J583" s="794"/>
      <c r="K583" s="795"/>
      <c r="L583" s="795"/>
      <c r="M583" s="795"/>
      <c r="N583" s="795"/>
      <c r="O583" s="794"/>
      <c r="P583" s="793"/>
    </row>
    <row r="584" spans="2:16" s="426" customFormat="1" ht="14.45" customHeight="1" x14ac:dyDescent="0.2">
      <c r="B584" s="984"/>
      <c r="C584" s="1229"/>
      <c r="D584" s="986"/>
      <c r="E584" s="790"/>
      <c r="F584" s="791"/>
      <c r="G584" s="584"/>
      <c r="H584" s="792">
        <f t="shared" si="95"/>
        <v>0</v>
      </c>
      <c r="I584" s="793">
        <f>SUM(H580:H584)</f>
        <v>0</v>
      </c>
      <c r="J584" s="794">
        <f>I584*$J$5</f>
        <v>0</v>
      </c>
      <c r="K584" s="795">
        <f>SUM(I584:J584)*$K$5</f>
        <v>0</v>
      </c>
      <c r="L584" s="795">
        <f>SUM(I584:K584)*$L$5</f>
        <v>0</v>
      </c>
      <c r="M584" s="795">
        <f>SUM(I584:L584)*$M$5</f>
        <v>0</v>
      </c>
      <c r="N584" s="795">
        <f>SUM(I584:M584)*$N$5</f>
        <v>0</v>
      </c>
      <c r="O584" s="794">
        <f>SUM(I584:N584)</f>
        <v>0</v>
      </c>
      <c r="P584" s="793">
        <f>ROUND(O584,-3)</f>
        <v>0</v>
      </c>
    </row>
    <row r="585" spans="2:16" s="426" customFormat="1" ht="14.45" customHeight="1" x14ac:dyDescent="0.2">
      <c r="B585" s="984"/>
      <c r="C585" s="1229"/>
      <c r="D585" s="986" t="s">
        <v>557</v>
      </c>
      <c r="E585" s="790"/>
      <c r="F585" s="791"/>
      <c r="G585" s="584"/>
      <c r="H585" s="792"/>
      <c r="I585" s="793"/>
      <c r="J585" s="794"/>
      <c r="K585" s="795"/>
      <c r="L585" s="795"/>
      <c r="M585" s="795"/>
      <c r="N585" s="795"/>
      <c r="O585" s="794"/>
      <c r="P585" s="793"/>
    </row>
    <row r="586" spans="2:16" s="426" customFormat="1" ht="14.45" customHeight="1" x14ac:dyDescent="0.2">
      <c r="B586" s="984"/>
      <c r="C586" s="1229"/>
      <c r="D586" s="986"/>
      <c r="E586" s="790">
        <v>1</v>
      </c>
      <c r="F586" s="791"/>
      <c r="G586" s="584"/>
      <c r="H586" s="792">
        <f>E586*G586</f>
        <v>0</v>
      </c>
      <c r="I586" s="793"/>
      <c r="J586" s="794"/>
      <c r="K586" s="795"/>
      <c r="L586" s="795"/>
      <c r="M586" s="795"/>
      <c r="N586" s="795"/>
      <c r="O586" s="794"/>
      <c r="P586" s="793"/>
    </row>
    <row r="587" spans="2:16" s="426" customFormat="1" ht="14.45" customHeight="1" x14ac:dyDescent="0.2">
      <c r="B587" s="984"/>
      <c r="C587" s="1229"/>
      <c r="D587" s="986"/>
      <c r="E587" s="790">
        <v>1</v>
      </c>
      <c r="F587" s="791"/>
      <c r="G587" s="584"/>
      <c r="H587" s="792">
        <f>E587*G587</f>
        <v>0</v>
      </c>
      <c r="I587" s="793"/>
      <c r="J587" s="794"/>
      <c r="K587" s="795"/>
      <c r="L587" s="795"/>
      <c r="M587" s="795"/>
      <c r="N587" s="795"/>
      <c r="O587" s="794"/>
      <c r="P587" s="793"/>
    </row>
    <row r="588" spans="2:16" s="426" customFormat="1" ht="14.45" customHeight="1" x14ac:dyDescent="0.2">
      <c r="B588" s="984"/>
      <c r="C588" s="1229"/>
      <c r="D588" s="986" t="s">
        <v>572</v>
      </c>
      <c r="E588" s="790">
        <v>-1</v>
      </c>
      <c r="F588" s="791"/>
      <c r="G588" s="584">
        <f>I579+I569+I559+I549</f>
        <v>0</v>
      </c>
      <c r="H588" s="792">
        <f>E588*G588</f>
        <v>0</v>
      </c>
      <c r="I588" s="793"/>
      <c r="J588" s="794"/>
      <c r="K588" s="795"/>
      <c r="L588" s="795"/>
      <c r="M588" s="795"/>
      <c r="N588" s="795"/>
      <c r="O588" s="794"/>
      <c r="P588" s="793"/>
    </row>
    <row r="589" spans="2:16" s="426" customFormat="1" ht="15" customHeight="1" thickBot="1" x14ac:dyDescent="0.25">
      <c r="B589" s="985"/>
      <c r="C589" s="1230"/>
      <c r="D589" s="987"/>
      <c r="E589" s="988">
        <v>1</v>
      </c>
      <c r="F589" s="796"/>
      <c r="G589" s="797"/>
      <c r="H589" s="798">
        <f t="shared" ref="H589" si="96">E589*G589</f>
        <v>0</v>
      </c>
      <c r="I589" s="799">
        <f>SUM(H585:H589)</f>
        <v>0</v>
      </c>
      <c r="J589" s="800">
        <f>I589*$J$5</f>
        <v>0</v>
      </c>
      <c r="K589" s="801">
        <f>SUM(I589:J589)*$K$5</f>
        <v>0</v>
      </c>
      <c r="L589" s="801">
        <f>SUM(I589:K589)*$L$5</f>
        <v>0</v>
      </c>
      <c r="M589" s="801">
        <f>SUM(I589:L589)*$M$5</f>
        <v>0</v>
      </c>
      <c r="N589" s="801">
        <f>SUM(I589:M589)*$N$5</f>
        <v>0</v>
      </c>
      <c r="O589" s="800">
        <f>SUM(I589:N589)</f>
        <v>0</v>
      </c>
      <c r="P589" s="799">
        <f>ROUND(O589,-3)</f>
        <v>0</v>
      </c>
    </row>
    <row r="590" spans="2:16" s="426" customFormat="1" ht="14.1" customHeight="1" x14ac:dyDescent="0.2">
      <c r="B590" s="983" t="str">
        <f>'Detailed Matrix'!E76</f>
        <v>Small Power</v>
      </c>
      <c r="C590" s="1228" t="str">
        <f>'Detailed Matrix'!F76</f>
        <v>Stage 04: Battery stroage to store energy from LZCTs and off-peak/low carbon grid electricity</v>
      </c>
      <c r="D590" s="991" t="s">
        <v>556</v>
      </c>
      <c r="E590" s="992"/>
      <c r="F590" s="993"/>
      <c r="G590" s="994"/>
      <c r="H590" s="995"/>
      <c r="I590" s="996"/>
      <c r="J590" s="997"/>
      <c r="K590" s="998"/>
      <c r="L590" s="998"/>
      <c r="M590" s="998"/>
      <c r="N590" s="998"/>
      <c r="O590" s="997"/>
      <c r="P590" s="996"/>
    </row>
    <row r="591" spans="2:16" s="426" customFormat="1" ht="14.45" customHeight="1" x14ac:dyDescent="0.2">
      <c r="B591" s="984"/>
      <c r="C591" s="1229"/>
      <c r="D591" s="986"/>
      <c r="E591" s="790">
        <v>1</v>
      </c>
      <c r="F591" s="791"/>
      <c r="G591" s="584"/>
      <c r="H591" s="792">
        <f t="shared" ref="H591:H594" si="97">E591*G591</f>
        <v>0</v>
      </c>
      <c r="I591" s="793"/>
      <c r="J591" s="794"/>
      <c r="K591" s="795"/>
      <c r="L591" s="795"/>
      <c r="M591" s="795"/>
      <c r="N591" s="795"/>
      <c r="O591" s="794"/>
      <c r="P591" s="793"/>
    </row>
    <row r="592" spans="2:16" s="426" customFormat="1" ht="14.45" customHeight="1" x14ac:dyDescent="0.2">
      <c r="B592" s="984"/>
      <c r="C592" s="1229"/>
      <c r="D592" s="986"/>
      <c r="E592" s="790">
        <v>1</v>
      </c>
      <c r="F592" s="791"/>
      <c r="G592" s="584"/>
      <c r="H592" s="792">
        <f t="shared" si="97"/>
        <v>0</v>
      </c>
      <c r="I592" s="793"/>
      <c r="J592" s="794"/>
      <c r="K592" s="795"/>
      <c r="L592" s="795"/>
      <c r="M592" s="795"/>
      <c r="N592" s="795"/>
      <c r="O592" s="794"/>
      <c r="P592" s="793"/>
    </row>
    <row r="593" spans="2:16" s="426" customFormat="1" ht="14.45" customHeight="1" x14ac:dyDescent="0.2">
      <c r="B593" s="984"/>
      <c r="C593" s="1229"/>
      <c r="D593" s="986" t="s">
        <v>573</v>
      </c>
      <c r="E593" s="790">
        <v>-1</v>
      </c>
      <c r="F593" s="791"/>
      <c r="G593" s="584">
        <f>I584+I574+I564+I554+I544</f>
        <v>0</v>
      </c>
      <c r="H593" s="792">
        <f t="shared" si="97"/>
        <v>0</v>
      </c>
      <c r="I593" s="793"/>
      <c r="J593" s="794"/>
      <c r="K593" s="795"/>
      <c r="L593" s="795"/>
      <c r="M593" s="795"/>
      <c r="N593" s="795"/>
      <c r="O593" s="794"/>
      <c r="P593" s="793"/>
    </row>
    <row r="594" spans="2:16" s="426" customFormat="1" ht="14.45" customHeight="1" x14ac:dyDescent="0.2">
      <c r="B594" s="984"/>
      <c r="C594" s="1229"/>
      <c r="D594" s="986"/>
      <c r="E594" s="790"/>
      <c r="F594" s="791"/>
      <c r="G594" s="584"/>
      <c r="H594" s="792">
        <f t="shared" si="97"/>
        <v>0</v>
      </c>
      <c r="I594" s="793">
        <f>SUM(H590:H594)</f>
        <v>0</v>
      </c>
      <c r="J594" s="794">
        <f>I594*$J$5</f>
        <v>0</v>
      </c>
      <c r="K594" s="795">
        <f>SUM(I594:J594)*$K$5</f>
        <v>0</v>
      </c>
      <c r="L594" s="795">
        <f>SUM(I594:K594)*$L$5</f>
        <v>0</v>
      </c>
      <c r="M594" s="795">
        <f>SUM(I594:L594)*$M$5</f>
        <v>0</v>
      </c>
      <c r="N594" s="795">
        <f>SUM(I594:M594)*$N$5</f>
        <v>0</v>
      </c>
      <c r="O594" s="794">
        <f>SUM(I594:N594)</f>
        <v>0</v>
      </c>
      <c r="P594" s="793">
        <f>ROUND(O594,-3)</f>
        <v>0</v>
      </c>
    </row>
    <row r="595" spans="2:16" s="426" customFormat="1" ht="14.45" customHeight="1" x14ac:dyDescent="0.2">
      <c r="B595" s="984"/>
      <c r="C595" s="1229"/>
      <c r="D595" s="986" t="s">
        <v>557</v>
      </c>
      <c r="E595" s="790"/>
      <c r="F595" s="791"/>
      <c r="G595" s="584"/>
      <c r="H595" s="792"/>
      <c r="I595" s="793"/>
      <c r="J595" s="794"/>
      <c r="K595" s="795"/>
      <c r="L595" s="795"/>
      <c r="M595" s="795"/>
      <c r="N595" s="795"/>
      <c r="O595" s="794"/>
      <c r="P595" s="793"/>
    </row>
    <row r="596" spans="2:16" s="426" customFormat="1" ht="14.45" customHeight="1" x14ac:dyDescent="0.2">
      <c r="B596" s="984"/>
      <c r="C596" s="1229"/>
      <c r="D596" s="986"/>
      <c r="E596" s="790">
        <v>1</v>
      </c>
      <c r="F596" s="791"/>
      <c r="G596" s="584"/>
      <c r="H596" s="792">
        <f>E596*G596</f>
        <v>0</v>
      </c>
      <c r="I596" s="793"/>
      <c r="J596" s="794"/>
      <c r="K596" s="795"/>
      <c r="L596" s="795"/>
      <c r="M596" s="795"/>
      <c r="N596" s="795"/>
      <c r="O596" s="794"/>
      <c r="P596" s="793"/>
    </row>
    <row r="597" spans="2:16" s="426" customFormat="1" ht="14.45" customHeight="1" x14ac:dyDescent="0.2">
      <c r="B597" s="984"/>
      <c r="C597" s="1229"/>
      <c r="D597" s="986"/>
      <c r="E597" s="790">
        <v>1</v>
      </c>
      <c r="F597" s="791"/>
      <c r="G597" s="584"/>
      <c r="H597" s="792">
        <f>E597*G597</f>
        <v>0</v>
      </c>
      <c r="I597" s="793"/>
      <c r="J597" s="794"/>
      <c r="K597" s="795"/>
      <c r="L597" s="795"/>
      <c r="M597" s="795"/>
      <c r="N597" s="795"/>
      <c r="O597" s="794"/>
      <c r="P597" s="793"/>
    </row>
    <row r="598" spans="2:16" s="426" customFormat="1" ht="14.45" customHeight="1" x14ac:dyDescent="0.2">
      <c r="B598" s="984"/>
      <c r="C598" s="1229"/>
      <c r="D598" s="986" t="s">
        <v>573</v>
      </c>
      <c r="E598" s="790">
        <v>-1</v>
      </c>
      <c r="F598" s="791"/>
      <c r="G598" s="584">
        <f>I589+I579+I569+I559+I549</f>
        <v>0</v>
      </c>
      <c r="H598" s="792">
        <f>E598*G598</f>
        <v>0</v>
      </c>
      <c r="I598" s="793"/>
      <c r="J598" s="794"/>
      <c r="K598" s="795"/>
      <c r="L598" s="795"/>
      <c r="M598" s="795"/>
      <c r="N598" s="795"/>
      <c r="O598" s="794"/>
      <c r="P598" s="793"/>
    </row>
    <row r="599" spans="2:16" s="426" customFormat="1" ht="15" customHeight="1" thickBot="1" x14ac:dyDescent="0.25">
      <c r="B599" s="985"/>
      <c r="C599" s="1230"/>
      <c r="D599" s="987"/>
      <c r="E599" s="988">
        <v>1</v>
      </c>
      <c r="F599" s="796"/>
      <c r="G599" s="797"/>
      <c r="H599" s="798">
        <f t="shared" ref="H599:H604" si="98">E599*G599</f>
        <v>0</v>
      </c>
      <c r="I599" s="799">
        <f>SUM(H595:H599)</f>
        <v>0</v>
      </c>
      <c r="J599" s="800">
        <f>I599*$J$5</f>
        <v>0</v>
      </c>
      <c r="K599" s="801">
        <f>SUM(I599:J599)*$K$5</f>
        <v>0</v>
      </c>
      <c r="L599" s="801">
        <f>SUM(I599:K599)*$L$5</f>
        <v>0</v>
      </c>
      <c r="M599" s="801">
        <f>SUM(I599:L599)*$M$5</f>
        <v>0</v>
      </c>
      <c r="N599" s="801">
        <f>SUM(I599:M599)*$N$5</f>
        <v>0</v>
      </c>
      <c r="O599" s="800">
        <f>SUM(I599:N599)</f>
        <v>0</v>
      </c>
      <c r="P599" s="799">
        <f>ROUND(O599,-3)</f>
        <v>0</v>
      </c>
    </row>
    <row r="600" spans="2:16" s="426" customFormat="1" ht="11.25" x14ac:dyDescent="0.2">
      <c r="B600" s="983" t="str">
        <f>'Detailed Matrix'!E78</f>
        <v>Lifts</v>
      </c>
      <c r="C600" s="980" t="str">
        <f>'Detailed Matrix'!F78</f>
        <v>Stage 01a: Minimise energy consumption</v>
      </c>
      <c r="D600" s="991" t="s">
        <v>556</v>
      </c>
      <c r="E600" s="992">
        <v>1</v>
      </c>
      <c r="F600" s="993"/>
      <c r="G600" s="994"/>
      <c r="H600" s="995">
        <f t="shared" si="98"/>
        <v>0</v>
      </c>
      <c r="I600" s="996"/>
      <c r="J600" s="997"/>
      <c r="K600" s="998"/>
      <c r="L600" s="998"/>
      <c r="M600" s="998"/>
      <c r="N600" s="998"/>
      <c r="O600" s="997"/>
      <c r="P600" s="996"/>
    </row>
    <row r="601" spans="2:16" s="426" customFormat="1" ht="11.25" x14ac:dyDescent="0.2">
      <c r="B601" s="984"/>
      <c r="C601" s="981"/>
      <c r="D601" s="986"/>
      <c r="E601" s="790">
        <v>1</v>
      </c>
      <c r="F601" s="791"/>
      <c r="G601" s="584"/>
      <c r="H601" s="792">
        <f t="shared" si="98"/>
        <v>0</v>
      </c>
      <c r="I601" s="793"/>
      <c r="J601" s="794"/>
      <c r="K601" s="795"/>
      <c r="L601" s="795"/>
      <c r="M601" s="795"/>
      <c r="N601" s="795"/>
      <c r="O601" s="794"/>
      <c r="P601" s="793"/>
    </row>
    <row r="602" spans="2:16" s="426" customFormat="1" ht="11.25" x14ac:dyDescent="0.2">
      <c r="B602" s="984"/>
      <c r="C602" s="981"/>
      <c r="D602" s="986"/>
      <c r="E602" s="790">
        <v>1</v>
      </c>
      <c r="F602" s="791"/>
      <c r="G602" s="584"/>
      <c r="H602" s="792">
        <f t="shared" si="98"/>
        <v>0</v>
      </c>
      <c r="I602" s="793"/>
      <c r="J602" s="794"/>
      <c r="K602" s="795"/>
      <c r="L602" s="795"/>
      <c r="M602" s="795"/>
      <c r="N602" s="795"/>
      <c r="O602" s="794"/>
      <c r="P602" s="793"/>
    </row>
    <row r="603" spans="2:16" s="426" customFormat="1" ht="11.25" x14ac:dyDescent="0.2">
      <c r="B603" s="984"/>
      <c r="C603" s="981"/>
      <c r="D603" s="986"/>
      <c r="E603" s="790">
        <v>1</v>
      </c>
      <c r="F603" s="791"/>
      <c r="G603" s="584"/>
      <c r="H603" s="792">
        <f t="shared" si="98"/>
        <v>0</v>
      </c>
      <c r="I603" s="793"/>
      <c r="J603" s="794"/>
      <c r="K603" s="795"/>
      <c r="L603" s="795"/>
      <c r="M603" s="795"/>
      <c r="N603" s="795"/>
      <c r="O603" s="794"/>
      <c r="P603" s="793"/>
    </row>
    <row r="604" spans="2:16" s="426" customFormat="1" ht="11.25" x14ac:dyDescent="0.2">
      <c r="B604" s="984"/>
      <c r="C604" s="981"/>
      <c r="D604" s="986" t="s">
        <v>568</v>
      </c>
      <c r="E604" s="790">
        <v>1</v>
      </c>
      <c r="F604" s="791"/>
      <c r="G604" s="584"/>
      <c r="H604" s="792">
        <f t="shared" si="98"/>
        <v>0</v>
      </c>
      <c r="I604" s="793">
        <f>SUM(H600:H604)</f>
        <v>0</v>
      </c>
      <c r="J604" s="794">
        <f>I604*$J$5</f>
        <v>0</v>
      </c>
      <c r="K604" s="795">
        <f>SUM(I604:J604)*$K$5</f>
        <v>0</v>
      </c>
      <c r="L604" s="795">
        <f>SUM(I604:K604)*$L$5</f>
        <v>0</v>
      </c>
      <c r="M604" s="795">
        <f>SUM(I604:L604)*$M$5</f>
        <v>0</v>
      </c>
      <c r="N604" s="795">
        <f>SUM(I604:M604)*$N$5</f>
        <v>0</v>
      </c>
      <c r="O604" s="794">
        <f>SUM(I604:N604)</f>
        <v>0</v>
      </c>
      <c r="P604" s="793">
        <f>ROUND(O604,-3)</f>
        <v>0</v>
      </c>
    </row>
    <row r="605" spans="2:16" s="426" customFormat="1" ht="11.25" x14ac:dyDescent="0.2">
      <c r="B605" s="984"/>
      <c r="C605" s="981"/>
      <c r="D605" s="986"/>
      <c r="E605" s="790"/>
      <c r="F605" s="791"/>
      <c r="G605" s="584"/>
      <c r="H605" s="792"/>
      <c r="I605" s="793"/>
      <c r="J605" s="794"/>
      <c r="K605" s="795"/>
      <c r="L605" s="795"/>
      <c r="M605" s="795"/>
      <c r="N605" s="795"/>
      <c r="O605" s="794"/>
      <c r="P605" s="793"/>
    </row>
    <row r="606" spans="2:16" s="426" customFormat="1" ht="11.25" x14ac:dyDescent="0.2">
      <c r="B606" s="984"/>
      <c r="C606" s="981"/>
      <c r="D606" s="986" t="s">
        <v>557</v>
      </c>
      <c r="E606" s="790">
        <v>1</v>
      </c>
      <c r="F606" s="791"/>
      <c r="G606" s="584"/>
      <c r="H606" s="792">
        <f t="shared" ref="H606:H609" si="99">E606*G606</f>
        <v>0</v>
      </c>
      <c r="I606" s="793"/>
      <c r="J606" s="794"/>
      <c r="K606" s="795"/>
      <c r="L606" s="795"/>
      <c r="M606" s="795"/>
      <c r="N606" s="795"/>
      <c r="O606" s="794"/>
      <c r="P606" s="793"/>
    </row>
    <row r="607" spans="2:16" s="426" customFormat="1" ht="11.25" x14ac:dyDescent="0.2">
      <c r="B607" s="984"/>
      <c r="C607" s="981"/>
      <c r="D607" s="986"/>
      <c r="E607" s="790">
        <v>1</v>
      </c>
      <c r="F607" s="791"/>
      <c r="G607" s="584"/>
      <c r="H607" s="792">
        <f t="shared" si="99"/>
        <v>0</v>
      </c>
      <c r="I607" s="793"/>
      <c r="J607" s="794"/>
      <c r="K607" s="795"/>
      <c r="L607" s="795"/>
      <c r="M607" s="795"/>
      <c r="N607" s="795"/>
      <c r="O607" s="794"/>
      <c r="P607" s="793"/>
    </row>
    <row r="608" spans="2:16" s="426" customFormat="1" ht="11.25" x14ac:dyDescent="0.2">
      <c r="B608" s="984"/>
      <c r="C608" s="981"/>
      <c r="D608" s="986"/>
      <c r="E608" s="790">
        <v>1</v>
      </c>
      <c r="F608" s="791"/>
      <c r="G608" s="584"/>
      <c r="H608" s="792">
        <f t="shared" si="99"/>
        <v>0</v>
      </c>
      <c r="I608" s="793"/>
      <c r="J608" s="794"/>
      <c r="K608" s="795"/>
      <c r="L608" s="795"/>
      <c r="M608" s="795"/>
      <c r="N608" s="795"/>
      <c r="O608" s="794"/>
      <c r="P608" s="793"/>
    </row>
    <row r="609" spans="2:16" s="426" customFormat="1" ht="12" thickBot="1" x14ac:dyDescent="0.25">
      <c r="B609" s="985"/>
      <c r="C609" s="982"/>
      <c r="D609" s="987" t="s">
        <v>568</v>
      </c>
      <c r="E609" s="988">
        <v>1</v>
      </c>
      <c r="F609" s="796"/>
      <c r="G609" s="797"/>
      <c r="H609" s="798">
        <f t="shared" si="99"/>
        <v>0</v>
      </c>
      <c r="I609" s="799">
        <f>SUM(H606:H609)</f>
        <v>0</v>
      </c>
      <c r="J609" s="800">
        <f>I609*$J$5</f>
        <v>0</v>
      </c>
      <c r="K609" s="801">
        <f>SUM(I609:J609)*$K$5</f>
        <v>0</v>
      </c>
      <c r="L609" s="801">
        <f>SUM(I609:K609)*$L$5</f>
        <v>0</v>
      </c>
      <c r="M609" s="801">
        <f>SUM(I609:L609)*$M$5</f>
        <v>0</v>
      </c>
      <c r="N609" s="801">
        <f>SUM(I609:M609)*$N$5</f>
        <v>0</v>
      </c>
      <c r="O609" s="800">
        <f>SUM(I609:N609)</f>
        <v>0</v>
      </c>
      <c r="P609" s="799">
        <f>ROUND(O609,-3)</f>
        <v>0</v>
      </c>
    </row>
    <row r="610" spans="2:16" s="426" customFormat="1" ht="11.25" x14ac:dyDescent="0.2">
      <c r="B610" s="983" t="str">
        <f>'Detailed Matrix'!E79</f>
        <v>Lifts</v>
      </c>
      <c r="C610" s="980" t="str">
        <f>'Detailed Matrix'!F79</f>
        <v>Stage 01b: Maximise energy efficiency</v>
      </c>
      <c r="D610" s="991" t="s">
        <v>556</v>
      </c>
      <c r="E610" s="992"/>
      <c r="F610" s="993"/>
      <c r="G610" s="994"/>
      <c r="H610" s="995"/>
      <c r="I610" s="996"/>
      <c r="J610" s="997"/>
      <c r="K610" s="998"/>
      <c r="L610" s="998"/>
      <c r="M610" s="998"/>
      <c r="N610" s="998"/>
      <c r="O610" s="997"/>
      <c r="P610" s="996"/>
    </row>
    <row r="611" spans="2:16" s="426" customFormat="1" ht="11.25" x14ac:dyDescent="0.2">
      <c r="B611" s="984"/>
      <c r="C611" s="981"/>
      <c r="D611" s="986"/>
      <c r="E611" s="790">
        <v>1</v>
      </c>
      <c r="F611" s="791"/>
      <c r="G611" s="584"/>
      <c r="H611" s="792">
        <f t="shared" ref="H611:H614" si="100">E611*G611</f>
        <v>0</v>
      </c>
      <c r="I611" s="793"/>
      <c r="J611" s="794"/>
      <c r="K611" s="795"/>
      <c r="L611" s="795"/>
      <c r="M611" s="795"/>
      <c r="N611" s="795"/>
      <c r="O611" s="794"/>
      <c r="P611" s="793"/>
    </row>
    <row r="612" spans="2:16" s="426" customFormat="1" ht="11.25" x14ac:dyDescent="0.2">
      <c r="B612" s="984"/>
      <c r="C612" s="981"/>
      <c r="D612" s="986"/>
      <c r="E612" s="790">
        <v>1</v>
      </c>
      <c r="F612" s="791"/>
      <c r="G612" s="584"/>
      <c r="H612" s="792">
        <f t="shared" si="100"/>
        <v>0</v>
      </c>
      <c r="I612" s="793"/>
      <c r="J612" s="794"/>
      <c r="K612" s="795"/>
      <c r="L612" s="795"/>
      <c r="M612" s="795"/>
      <c r="N612" s="795"/>
      <c r="O612" s="794"/>
      <c r="P612" s="793"/>
    </row>
    <row r="613" spans="2:16" s="426" customFormat="1" ht="11.25" x14ac:dyDescent="0.2">
      <c r="B613" s="984"/>
      <c r="C613" s="981"/>
      <c r="D613" s="986" t="s">
        <v>569</v>
      </c>
      <c r="E613" s="790">
        <v>-1</v>
      </c>
      <c r="F613" s="791"/>
      <c r="G613" s="584">
        <f>I604</f>
        <v>0</v>
      </c>
      <c r="H613" s="792">
        <f t="shared" si="100"/>
        <v>0</v>
      </c>
      <c r="I613" s="793"/>
      <c r="J613" s="794"/>
      <c r="K613" s="795"/>
      <c r="L613" s="795"/>
      <c r="M613" s="795"/>
      <c r="N613" s="795"/>
      <c r="O613" s="794"/>
      <c r="P613" s="793"/>
    </row>
    <row r="614" spans="2:16" s="426" customFormat="1" ht="11.25" x14ac:dyDescent="0.2">
      <c r="B614" s="984"/>
      <c r="C614" s="981"/>
      <c r="D614" s="986"/>
      <c r="E614" s="790"/>
      <c r="F614" s="791"/>
      <c r="G614" s="584"/>
      <c r="H614" s="792">
        <f t="shared" si="100"/>
        <v>0</v>
      </c>
      <c r="I614" s="793">
        <f>SUM(H610:H614)</f>
        <v>0</v>
      </c>
      <c r="J614" s="794">
        <f>I614*$J$5</f>
        <v>0</v>
      </c>
      <c r="K614" s="795">
        <f>SUM(I614:J614)*$K$5</f>
        <v>0</v>
      </c>
      <c r="L614" s="795">
        <f>SUM(I614:K614)*$L$5</f>
        <v>0</v>
      </c>
      <c r="M614" s="795">
        <f>SUM(I614:L614)*$M$5</f>
        <v>0</v>
      </c>
      <c r="N614" s="795">
        <f>SUM(I614:M614)*$N$5</f>
        <v>0</v>
      </c>
      <c r="O614" s="794">
        <f>SUM(I614:N614)</f>
        <v>0</v>
      </c>
      <c r="P614" s="793">
        <f>ROUND(O614,-3)</f>
        <v>0</v>
      </c>
    </row>
    <row r="615" spans="2:16" s="426" customFormat="1" ht="11.25" x14ac:dyDescent="0.2">
      <c r="B615" s="984"/>
      <c r="C615" s="981"/>
      <c r="D615" s="986" t="s">
        <v>557</v>
      </c>
      <c r="E615" s="790"/>
      <c r="F615" s="791"/>
      <c r="G615" s="584"/>
      <c r="H615" s="792"/>
      <c r="I615" s="793"/>
      <c r="J615" s="794"/>
      <c r="K615" s="795"/>
      <c r="L615" s="795"/>
      <c r="M615" s="795"/>
      <c r="N615" s="795"/>
      <c r="O615" s="794"/>
      <c r="P615" s="793"/>
    </row>
    <row r="616" spans="2:16" s="426" customFormat="1" ht="11.25" x14ac:dyDescent="0.2">
      <c r="B616" s="984"/>
      <c r="C616" s="981"/>
      <c r="D616" s="986"/>
      <c r="E616" s="790">
        <v>1</v>
      </c>
      <c r="F616" s="791"/>
      <c r="G616" s="584"/>
      <c r="H616" s="792">
        <f>E616*G616</f>
        <v>0</v>
      </c>
      <c r="I616" s="793"/>
      <c r="J616" s="794"/>
      <c r="K616" s="795"/>
      <c r="L616" s="795"/>
      <c r="M616" s="795"/>
      <c r="N616" s="795"/>
      <c r="O616" s="794"/>
      <c r="P616" s="793"/>
    </row>
    <row r="617" spans="2:16" s="426" customFormat="1" ht="11.25" x14ac:dyDescent="0.2">
      <c r="B617" s="984"/>
      <c r="C617" s="981"/>
      <c r="D617" s="986"/>
      <c r="E617" s="790">
        <v>1</v>
      </c>
      <c r="F617" s="791"/>
      <c r="G617" s="584"/>
      <c r="H617" s="792">
        <f>E617*G617</f>
        <v>0</v>
      </c>
      <c r="I617" s="793"/>
      <c r="J617" s="794"/>
      <c r="K617" s="795"/>
      <c r="L617" s="795"/>
      <c r="M617" s="795"/>
      <c r="N617" s="795"/>
      <c r="O617" s="794"/>
      <c r="P617" s="793"/>
    </row>
    <row r="618" spans="2:16" s="426" customFormat="1" ht="11.25" x14ac:dyDescent="0.2">
      <c r="B618" s="984"/>
      <c r="C618" s="981"/>
      <c r="D618" s="986" t="s">
        <v>569</v>
      </c>
      <c r="E618" s="790">
        <v>-1</v>
      </c>
      <c r="F618" s="791"/>
      <c r="G618" s="584">
        <f>I609</f>
        <v>0</v>
      </c>
      <c r="H618" s="792">
        <f>E618*G618</f>
        <v>0</v>
      </c>
      <c r="I618" s="793"/>
      <c r="J618" s="794"/>
      <c r="K618" s="795"/>
      <c r="L618" s="795"/>
      <c r="M618" s="795"/>
      <c r="N618" s="795"/>
      <c r="O618" s="794"/>
      <c r="P618" s="793"/>
    </row>
    <row r="619" spans="2:16" s="426" customFormat="1" ht="12" thickBot="1" x14ac:dyDescent="0.25">
      <c r="B619" s="985"/>
      <c r="C619" s="982"/>
      <c r="D619" s="987"/>
      <c r="E619" s="988">
        <v>1</v>
      </c>
      <c r="F619" s="796"/>
      <c r="G619" s="797"/>
      <c r="H619" s="798">
        <f t="shared" ref="H619" si="101">E619*G619</f>
        <v>0</v>
      </c>
      <c r="I619" s="799">
        <f>SUM(H615:H619)</f>
        <v>0</v>
      </c>
      <c r="J619" s="800">
        <f>I619*$J$5</f>
        <v>0</v>
      </c>
      <c r="K619" s="801">
        <f>SUM(I619:J619)*$K$5</f>
        <v>0</v>
      </c>
      <c r="L619" s="801">
        <f>SUM(I619:K619)*$L$5</f>
        <v>0</v>
      </c>
      <c r="M619" s="801">
        <f>SUM(I619:L619)*$M$5</f>
        <v>0</v>
      </c>
      <c r="N619" s="801">
        <f>SUM(I619:M619)*$N$5</f>
        <v>0</v>
      </c>
      <c r="O619" s="800">
        <f>SUM(I619:N619)</f>
        <v>0</v>
      </c>
      <c r="P619" s="799">
        <f>ROUND(O619,-3)</f>
        <v>0</v>
      </c>
    </row>
    <row r="620" spans="2:16" s="426" customFormat="1" ht="11.25" x14ac:dyDescent="0.2">
      <c r="B620" s="983" t="str">
        <f>'Detailed Matrix'!E80</f>
        <v>Lifts</v>
      </c>
      <c r="C620" s="980" t="str">
        <f>'Detailed Matrix'!F80</f>
        <v>Stage 02: Incorporate energy recovery systems</v>
      </c>
      <c r="D620" s="991" t="s">
        <v>556</v>
      </c>
      <c r="E620" s="992"/>
      <c r="F620" s="993"/>
      <c r="G620" s="994"/>
      <c r="H620" s="995"/>
      <c r="I620" s="996"/>
      <c r="J620" s="997"/>
      <c r="K620" s="998"/>
      <c r="L620" s="998"/>
      <c r="M620" s="998"/>
      <c r="N620" s="998"/>
      <c r="O620" s="997"/>
      <c r="P620" s="996"/>
    </row>
    <row r="621" spans="2:16" s="426" customFormat="1" ht="11.25" x14ac:dyDescent="0.2">
      <c r="B621" s="984"/>
      <c r="C621" s="981"/>
      <c r="D621" s="986"/>
      <c r="E621" s="790">
        <v>1</v>
      </c>
      <c r="F621" s="791"/>
      <c r="G621" s="584"/>
      <c r="H621" s="792">
        <f t="shared" ref="H621:H624" si="102">E621*G621</f>
        <v>0</v>
      </c>
      <c r="I621" s="793"/>
      <c r="J621" s="794"/>
      <c r="K621" s="795"/>
      <c r="L621" s="795"/>
      <c r="M621" s="795"/>
      <c r="N621" s="795"/>
      <c r="O621" s="794"/>
      <c r="P621" s="793"/>
    </row>
    <row r="622" spans="2:16" s="426" customFormat="1" ht="11.25" x14ac:dyDescent="0.2">
      <c r="B622" s="984"/>
      <c r="C622" s="981"/>
      <c r="D622" s="986"/>
      <c r="E622" s="790">
        <v>1</v>
      </c>
      <c r="F622" s="791"/>
      <c r="G622" s="584"/>
      <c r="H622" s="792">
        <f t="shared" si="102"/>
        <v>0</v>
      </c>
      <c r="I622" s="793"/>
      <c r="J622" s="794"/>
      <c r="K622" s="795"/>
      <c r="L622" s="795"/>
      <c r="M622" s="795"/>
      <c r="N622" s="795"/>
      <c r="O622" s="794"/>
      <c r="P622" s="793"/>
    </row>
    <row r="623" spans="2:16" s="426" customFormat="1" ht="11.25" x14ac:dyDescent="0.2">
      <c r="B623" s="984"/>
      <c r="C623" s="981"/>
      <c r="D623" s="986" t="s">
        <v>570</v>
      </c>
      <c r="E623" s="790">
        <v>-1</v>
      </c>
      <c r="F623" s="791"/>
      <c r="G623" s="584">
        <f>I614+I604</f>
        <v>0</v>
      </c>
      <c r="H623" s="792">
        <f t="shared" si="102"/>
        <v>0</v>
      </c>
      <c r="I623" s="793"/>
      <c r="J623" s="794"/>
      <c r="K623" s="795"/>
      <c r="L623" s="795"/>
      <c r="M623" s="795"/>
      <c r="N623" s="795"/>
      <c r="O623" s="794"/>
      <c r="P623" s="793"/>
    </row>
    <row r="624" spans="2:16" s="426" customFormat="1" ht="11.25" x14ac:dyDescent="0.2">
      <c r="B624" s="984"/>
      <c r="C624" s="981"/>
      <c r="D624" s="986"/>
      <c r="E624" s="790"/>
      <c r="F624" s="791"/>
      <c r="G624" s="584"/>
      <c r="H624" s="792">
        <f t="shared" si="102"/>
        <v>0</v>
      </c>
      <c r="I624" s="793">
        <f>SUM(H620:H624)</f>
        <v>0</v>
      </c>
      <c r="J624" s="794">
        <f>I624*$J$5</f>
        <v>0</v>
      </c>
      <c r="K624" s="795">
        <f>SUM(I624:J624)*$K$5</f>
        <v>0</v>
      </c>
      <c r="L624" s="795">
        <f>SUM(I624:K624)*$L$5</f>
        <v>0</v>
      </c>
      <c r="M624" s="795">
        <f>SUM(I624:L624)*$M$5</f>
        <v>0</v>
      </c>
      <c r="N624" s="795">
        <f>SUM(I624:M624)*$N$5</f>
        <v>0</v>
      </c>
      <c r="O624" s="794">
        <f>SUM(I624:N624)</f>
        <v>0</v>
      </c>
      <c r="P624" s="793">
        <f>ROUND(O624,-3)</f>
        <v>0</v>
      </c>
    </row>
    <row r="625" spans="2:16" s="426" customFormat="1" ht="11.25" x14ac:dyDescent="0.2">
      <c r="B625" s="984"/>
      <c r="C625" s="981"/>
      <c r="D625" s="986" t="s">
        <v>557</v>
      </c>
      <c r="E625" s="790"/>
      <c r="F625" s="791"/>
      <c r="G625" s="584"/>
      <c r="H625" s="792"/>
      <c r="I625" s="793"/>
      <c r="J625" s="794"/>
      <c r="K625" s="795"/>
      <c r="L625" s="795"/>
      <c r="M625" s="795"/>
      <c r="N625" s="795"/>
      <c r="O625" s="794"/>
      <c r="P625" s="793"/>
    </row>
    <row r="626" spans="2:16" s="426" customFormat="1" ht="11.25" x14ac:dyDescent="0.2">
      <c r="B626" s="984"/>
      <c r="C626" s="981"/>
      <c r="D626" s="986"/>
      <c r="E626" s="790">
        <v>1</v>
      </c>
      <c r="F626" s="791"/>
      <c r="G626" s="584"/>
      <c r="H626" s="792">
        <f>E626*G626</f>
        <v>0</v>
      </c>
      <c r="I626" s="793"/>
      <c r="J626" s="794"/>
      <c r="K626" s="795"/>
      <c r="L626" s="795"/>
      <c r="M626" s="795"/>
      <c r="N626" s="795"/>
      <c r="O626" s="794"/>
      <c r="P626" s="793"/>
    </row>
    <row r="627" spans="2:16" s="426" customFormat="1" ht="11.25" x14ac:dyDescent="0.2">
      <c r="B627" s="984"/>
      <c r="C627" s="981"/>
      <c r="D627" s="986"/>
      <c r="E627" s="790">
        <v>1</v>
      </c>
      <c r="F627" s="791"/>
      <c r="G627" s="584"/>
      <c r="H627" s="792">
        <f>E627*G627</f>
        <v>0</v>
      </c>
      <c r="I627" s="793"/>
      <c r="J627" s="794"/>
      <c r="K627" s="795"/>
      <c r="L627" s="795"/>
      <c r="M627" s="795"/>
      <c r="N627" s="795"/>
      <c r="O627" s="794"/>
      <c r="P627" s="793"/>
    </row>
    <row r="628" spans="2:16" s="426" customFormat="1" ht="11.25" x14ac:dyDescent="0.2">
      <c r="B628" s="984"/>
      <c r="C628" s="981"/>
      <c r="D628" s="986" t="s">
        <v>570</v>
      </c>
      <c r="E628" s="790">
        <v>-1</v>
      </c>
      <c r="F628" s="791"/>
      <c r="G628" s="584">
        <f>I619+I609</f>
        <v>0</v>
      </c>
      <c r="H628" s="792">
        <f>E628*G628</f>
        <v>0</v>
      </c>
      <c r="I628" s="793"/>
      <c r="J628" s="794"/>
      <c r="K628" s="795"/>
      <c r="L628" s="795"/>
      <c r="M628" s="795"/>
      <c r="N628" s="795"/>
      <c r="O628" s="794"/>
      <c r="P628" s="793"/>
    </row>
    <row r="629" spans="2:16" s="426" customFormat="1" ht="12" thickBot="1" x14ac:dyDescent="0.25">
      <c r="B629" s="985"/>
      <c r="C629" s="982"/>
      <c r="D629" s="987"/>
      <c r="E629" s="988">
        <v>1</v>
      </c>
      <c r="F629" s="796"/>
      <c r="G629" s="797"/>
      <c r="H629" s="798">
        <f t="shared" ref="H629" si="103">E629*G629</f>
        <v>0</v>
      </c>
      <c r="I629" s="799">
        <f>SUM(H625:H629)</f>
        <v>0</v>
      </c>
      <c r="J629" s="800">
        <f>I629*$J$5</f>
        <v>0</v>
      </c>
      <c r="K629" s="801">
        <f>SUM(I629:J629)*$K$5</f>
        <v>0</v>
      </c>
      <c r="L629" s="801">
        <f>SUM(I629:K629)*$L$5</f>
        <v>0</v>
      </c>
      <c r="M629" s="801">
        <f>SUM(I629:L629)*$M$5</f>
        <v>0</v>
      </c>
      <c r="N629" s="801">
        <f>SUM(I629:M629)*$N$5</f>
        <v>0</v>
      </c>
      <c r="O629" s="800">
        <f>SUM(I629:N629)</f>
        <v>0</v>
      </c>
      <c r="P629" s="799">
        <f>ROUND(O629,-3)</f>
        <v>0</v>
      </c>
    </row>
    <row r="630" spans="2:16" s="426" customFormat="1" ht="21" customHeight="1" x14ac:dyDescent="0.2">
      <c r="B630" s="983" t="str">
        <f>'Detailed Matrix'!E81</f>
        <v>Lifts</v>
      </c>
      <c r="C630" s="1228" t="str">
        <f>'Detailed Matrix'!F81</f>
        <v>Stage 03: Utilise smart control and management systems to minimise unnecessary lift movements</v>
      </c>
      <c r="D630" s="991" t="s">
        <v>556</v>
      </c>
      <c r="E630" s="992"/>
      <c r="F630" s="993"/>
      <c r="G630" s="994"/>
      <c r="H630" s="995"/>
      <c r="I630" s="996"/>
      <c r="J630" s="997"/>
      <c r="K630" s="998"/>
      <c r="L630" s="998"/>
      <c r="M630" s="998"/>
      <c r="N630" s="998"/>
      <c r="O630" s="997"/>
      <c r="P630" s="996"/>
    </row>
    <row r="631" spans="2:16" s="426" customFormat="1" ht="14.45" customHeight="1" x14ac:dyDescent="0.2">
      <c r="B631" s="984"/>
      <c r="C631" s="1229"/>
      <c r="D631" s="986"/>
      <c r="E631" s="790">
        <v>1</v>
      </c>
      <c r="F631" s="791"/>
      <c r="G631" s="584"/>
      <c r="H631" s="792">
        <f t="shared" ref="H631:H634" si="104">E631*G631</f>
        <v>0</v>
      </c>
      <c r="I631" s="793"/>
      <c r="J631" s="794"/>
      <c r="K631" s="795"/>
      <c r="L631" s="795"/>
      <c r="M631" s="795"/>
      <c r="N631" s="795"/>
      <c r="O631" s="794"/>
      <c r="P631" s="793"/>
    </row>
    <row r="632" spans="2:16" s="426" customFormat="1" ht="14.45" customHeight="1" x14ac:dyDescent="0.2">
      <c r="B632" s="984"/>
      <c r="C632" s="1229"/>
      <c r="D632" s="986"/>
      <c r="E632" s="790">
        <v>1</v>
      </c>
      <c r="F632" s="791"/>
      <c r="G632" s="584"/>
      <c r="H632" s="792">
        <f t="shared" si="104"/>
        <v>0</v>
      </c>
      <c r="I632" s="793"/>
      <c r="J632" s="794"/>
      <c r="K632" s="795"/>
      <c r="L632" s="795"/>
      <c r="M632" s="795"/>
      <c r="N632" s="795"/>
      <c r="O632" s="794"/>
      <c r="P632" s="793"/>
    </row>
    <row r="633" spans="2:16" s="426" customFormat="1" ht="14.45" customHeight="1" x14ac:dyDescent="0.2">
      <c r="B633" s="984"/>
      <c r="C633" s="1229"/>
      <c r="D633" s="986" t="s">
        <v>574</v>
      </c>
      <c r="E633" s="790">
        <v>-1</v>
      </c>
      <c r="F633" s="791"/>
      <c r="G633" s="584">
        <f>I624+I614+I604</f>
        <v>0</v>
      </c>
      <c r="H633" s="792">
        <f t="shared" si="104"/>
        <v>0</v>
      </c>
      <c r="I633" s="793"/>
      <c r="J633" s="794"/>
      <c r="K633" s="795"/>
      <c r="L633" s="795"/>
      <c r="M633" s="795"/>
      <c r="N633" s="795"/>
      <c r="O633" s="794"/>
      <c r="P633" s="793"/>
    </row>
    <row r="634" spans="2:16" s="426" customFormat="1" ht="14.45" customHeight="1" x14ac:dyDescent="0.2">
      <c r="B634" s="984"/>
      <c r="C634" s="1229"/>
      <c r="D634" s="986"/>
      <c r="E634" s="790"/>
      <c r="F634" s="791"/>
      <c r="G634" s="584"/>
      <c r="H634" s="792">
        <f t="shared" si="104"/>
        <v>0</v>
      </c>
      <c r="I634" s="793">
        <f>SUM(H630:H634)</f>
        <v>0</v>
      </c>
      <c r="J634" s="794">
        <f>I634*$J$5</f>
        <v>0</v>
      </c>
      <c r="K634" s="795">
        <f>SUM(I634:J634)*$K$5</f>
        <v>0</v>
      </c>
      <c r="L634" s="795">
        <f>SUM(I634:K634)*$L$5</f>
        <v>0</v>
      </c>
      <c r="M634" s="795">
        <f>SUM(I634:L634)*$M$5</f>
        <v>0</v>
      </c>
      <c r="N634" s="795">
        <f>SUM(I634:M634)*$N$5</f>
        <v>0</v>
      </c>
      <c r="O634" s="794">
        <f>SUM(I634:N634)</f>
        <v>0</v>
      </c>
      <c r="P634" s="793">
        <f>ROUND(O634,-3)</f>
        <v>0</v>
      </c>
    </row>
    <row r="635" spans="2:16" s="426" customFormat="1" ht="14.45" customHeight="1" x14ac:dyDescent="0.2">
      <c r="B635" s="984"/>
      <c r="C635" s="1229"/>
      <c r="D635" s="986" t="s">
        <v>557</v>
      </c>
      <c r="E635" s="790"/>
      <c r="F635" s="791"/>
      <c r="G635" s="584"/>
      <c r="H635" s="792"/>
      <c r="I635" s="793"/>
      <c r="J635" s="794"/>
      <c r="K635" s="795"/>
      <c r="L635" s="795"/>
      <c r="M635" s="795"/>
      <c r="N635" s="795"/>
      <c r="O635" s="794"/>
      <c r="P635" s="793"/>
    </row>
    <row r="636" spans="2:16" s="426" customFormat="1" ht="14.45" customHeight="1" x14ac:dyDescent="0.2">
      <c r="B636" s="984"/>
      <c r="C636" s="1229"/>
      <c r="D636" s="986"/>
      <c r="E636" s="790">
        <v>1</v>
      </c>
      <c r="F636" s="791"/>
      <c r="G636" s="584"/>
      <c r="H636" s="792">
        <f>E636*G636</f>
        <v>0</v>
      </c>
      <c r="I636" s="793"/>
      <c r="J636" s="794"/>
      <c r="K636" s="795"/>
      <c r="L636" s="795"/>
      <c r="M636" s="795"/>
      <c r="N636" s="795"/>
      <c r="O636" s="794"/>
      <c r="P636" s="793"/>
    </row>
    <row r="637" spans="2:16" s="426" customFormat="1" ht="14.45" customHeight="1" x14ac:dyDescent="0.2">
      <c r="B637" s="984"/>
      <c r="C637" s="1229"/>
      <c r="D637" s="986"/>
      <c r="E637" s="790">
        <v>1</v>
      </c>
      <c r="F637" s="791"/>
      <c r="G637" s="584"/>
      <c r="H637" s="792">
        <f>E637*G637</f>
        <v>0</v>
      </c>
      <c r="I637" s="793"/>
      <c r="J637" s="794"/>
      <c r="K637" s="795"/>
      <c r="L637" s="795"/>
      <c r="M637" s="795"/>
      <c r="N637" s="795"/>
      <c r="O637" s="794"/>
      <c r="P637" s="793"/>
    </row>
    <row r="638" spans="2:16" s="426" customFormat="1" ht="14.45" customHeight="1" x14ac:dyDescent="0.2">
      <c r="B638" s="984"/>
      <c r="C638" s="1229"/>
      <c r="D638" s="986" t="s">
        <v>574</v>
      </c>
      <c r="E638" s="790">
        <v>-1</v>
      </c>
      <c r="F638" s="791"/>
      <c r="G638" s="584">
        <f>I629+I619+I609</f>
        <v>0</v>
      </c>
      <c r="H638" s="792">
        <f>E638*G638</f>
        <v>0</v>
      </c>
      <c r="I638" s="793"/>
      <c r="J638" s="794"/>
      <c r="K638" s="795"/>
      <c r="L638" s="795"/>
      <c r="M638" s="795"/>
      <c r="N638" s="795"/>
      <c r="O638" s="794"/>
      <c r="P638" s="793"/>
    </row>
    <row r="639" spans="2:16" s="426" customFormat="1" ht="15" customHeight="1" thickBot="1" x14ac:dyDescent="0.25">
      <c r="B639" s="985"/>
      <c r="C639" s="1230"/>
      <c r="D639" s="987"/>
      <c r="E639" s="988">
        <v>1</v>
      </c>
      <c r="F639" s="796"/>
      <c r="G639" s="797"/>
      <c r="H639" s="798">
        <f t="shared" ref="H639:H644" si="105">E639*G639</f>
        <v>0</v>
      </c>
      <c r="I639" s="799">
        <f>SUM(H635:H639)</f>
        <v>0</v>
      </c>
      <c r="J639" s="800">
        <f>I639*$J$5</f>
        <v>0</v>
      </c>
      <c r="K639" s="801">
        <f>SUM(I639:J639)*$K$5</f>
        <v>0</v>
      </c>
      <c r="L639" s="801">
        <f>SUM(I639:K639)*$L$5</f>
        <v>0</v>
      </c>
      <c r="M639" s="801">
        <f>SUM(I639:L639)*$M$5</f>
        <v>0</v>
      </c>
      <c r="N639" s="801">
        <f>SUM(I639:M639)*$N$5</f>
        <v>0</v>
      </c>
      <c r="O639" s="800">
        <f>SUM(I639:N639)</f>
        <v>0</v>
      </c>
      <c r="P639" s="799">
        <f>ROUND(O639,-3)</f>
        <v>0</v>
      </c>
    </row>
    <row r="640" spans="2:16" s="426" customFormat="1" ht="11.25" x14ac:dyDescent="0.2">
      <c r="B640" s="983" t="str">
        <f>'Detailed Matrix'!E83</f>
        <v>Building Operation Changes</v>
      </c>
      <c r="C640" s="980" t="str">
        <f>'Detailed Matrix'!F83</f>
        <v>Continual improvements written into policy</v>
      </c>
      <c r="D640" s="991" t="s">
        <v>556</v>
      </c>
      <c r="E640" s="992">
        <v>1</v>
      </c>
      <c r="F640" s="993"/>
      <c r="G640" s="994"/>
      <c r="H640" s="995">
        <f t="shared" si="105"/>
        <v>0</v>
      </c>
      <c r="I640" s="996"/>
      <c r="J640" s="997"/>
      <c r="K640" s="998"/>
      <c r="L640" s="998"/>
      <c r="M640" s="998"/>
      <c r="N640" s="998"/>
      <c r="O640" s="997"/>
      <c r="P640" s="996"/>
    </row>
    <row r="641" spans="2:16" s="426" customFormat="1" ht="11.25" x14ac:dyDescent="0.2">
      <c r="B641" s="984"/>
      <c r="C641" s="981"/>
      <c r="D641" s="986"/>
      <c r="E641" s="790">
        <v>1</v>
      </c>
      <c r="F641" s="791"/>
      <c r="G641" s="584"/>
      <c r="H641" s="792">
        <f t="shared" si="105"/>
        <v>0</v>
      </c>
      <c r="I641" s="793"/>
      <c r="J641" s="794"/>
      <c r="K641" s="795"/>
      <c r="L641" s="795"/>
      <c r="M641" s="795"/>
      <c r="N641" s="795"/>
      <c r="O641" s="794"/>
      <c r="P641" s="793"/>
    </row>
    <row r="642" spans="2:16" s="426" customFormat="1" ht="11.25" x14ac:dyDescent="0.2">
      <c r="B642" s="984"/>
      <c r="C642" s="981"/>
      <c r="D642" s="986" t="s">
        <v>575</v>
      </c>
      <c r="E642" s="790">
        <v>1</v>
      </c>
      <c r="F642" s="791" t="s">
        <v>576</v>
      </c>
      <c r="G642" s="584">
        <v>5000</v>
      </c>
      <c r="H642" s="792">
        <f t="shared" si="105"/>
        <v>5000</v>
      </c>
      <c r="I642" s="793"/>
      <c r="J642" s="794"/>
      <c r="K642" s="795"/>
      <c r="L642" s="795"/>
      <c r="M642" s="795"/>
      <c r="N642" s="795"/>
      <c r="O642" s="794"/>
      <c r="P642" s="793"/>
    </row>
    <row r="643" spans="2:16" s="426" customFormat="1" ht="11.25" x14ac:dyDescent="0.2">
      <c r="B643" s="984"/>
      <c r="C643" s="981"/>
      <c r="D643" s="986"/>
      <c r="E643" s="790">
        <v>1</v>
      </c>
      <c r="F643" s="791"/>
      <c r="G643" s="584"/>
      <c r="H643" s="792">
        <f t="shared" si="105"/>
        <v>0</v>
      </c>
      <c r="I643" s="793"/>
      <c r="J643" s="794"/>
      <c r="K643" s="795"/>
      <c r="L643" s="795"/>
      <c r="M643" s="795"/>
      <c r="N643" s="795"/>
      <c r="O643" s="794"/>
      <c r="P643" s="793"/>
    </row>
    <row r="644" spans="2:16" s="426" customFormat="1" ht="11.25" x14ac:dyDescent="0.2">
      <c r="B644" s="984"/>
      <c r="C644" s="981"/>
      <c r="D644" s="986" t="s">
        <v>566</v>
      </c>
      <c r="E644" s="790">
        <v>1</v>
      </c>
      <c r="F644" s="791"/>
      <c r="G644" s="584"/>
      <c r="H644" s="792">
        <f t="shared" si="105"/>
        <v>0</v>
      </c>
      <c r="I644" s="793">
        <f>SUM(H640:H644)</f>
        <v>5000</v>
      </c>
      <c r="J644" s="794">
        <f>I644*$J$5</f>
        <v>650</v>
      </c>
      <c r="K644" s="795">
        <f>SUM(I644:J644)*$K$5</f>
        <v>254.25</v>
      </c>
      <c r="L644" s="795">
        <f>SUM(I644:K644)*$L$5</f>
        <v>324.73374999999999</v>
      </c>
      <c r="M644" s="795">
        <f>SUM(I644:L644)*$M$5</f>
        <v>373.73902500000003</v>
      </c>
      <c r="N644" s="795">
        <f>SUM(I644:M644)*$N$5</f>
        <v>660.27227750000009</v>
      </c>
      <c r="O644" s="794">
        <f>SUM(I644:N644)</f>
        <v>7262.9950525000004</v>
      </c>
      <c r="P644" s="793">
        <f>ROUND(O644,-3)</f>
        <v>7000</v>
      </c>
    </row>
    <row r="645" spans="2:16" s="426" customFormat="1" ht="11.25" x14ac:dyDescent="0.2">
      <c r="B645" s="984"/>
      <c r="C645" s="981"/>
      <c r="D645" s="986"/>
      <c r="E645" s="790"/>
      <c r="F645" s="791"/>
      <c r="G645" s="584"/>
      <c r="H645" s="792"/>
      <c r="I645" s="793"/>
      <c r="J645" s="794"/>
      <c r="K645" s="795"/>
      <c r="L645" s="795"/>
      <c r="M645" s="795"/>
      <c r="N645" s="795"/>
      <c r="O645" s="794"/>
      <c r="P645" s="793"/>
    </row>
    <row r="646" spans="2:16" s="426" customFormat="1" ht="11.25" x14ac:dyDescent="0.2">
      <c r="B646" s="984"/>
      <c r="C646" s="981"/>
      <c r="D646" s="986" t="s">
        <v>557</v>
      </c>
      <c r="E646" s="790">
        <v>1</v>
      </c>
      <c r="F646" s="791"/>
      <c r="G646" s="584"/>
      <c r="H646" s="792">
        <f t="shared" ref="H646:H649" si="106">E646*G646</f>
        <v>0</v>
      </c>
      <c r="I646" s="793"/>
      <c r="J646" s="794"/>
      <c r="K646" s="795"/>
      <c r="L646" s="795"/>
      <c r="M646" s="795"/>
      <c r="N646" s="795"/>
      <c r="O646" s="794"/>
      <c r="P646" s="793"/>
    </row>
    <row r="647" spans="2:16" s="426" customFormat="1" ht="11.25" x14ac:dyDescent="0.2">
      <c r="B647" s="984"/>
      <c r="C647" s="981"/>
      <c r="D647" s="986" t="s">
        <v>575</v>
      </c>
      <c r="E647" s="790">
        <v>1</v>
      </c>
      <c r="F647" s="791" t="s">
        <v>576</v>
      </c>
      <c r="G647" s="584">
        <v>25000</v>
      </c>
      <c r="H647" s="792">
        <f t="shared" si="106"/>
        <v>25000</v>
      </c>
      <c r="I647" s="793"/>
      <c r="J647" s="794"/>
      <c r="K647" s="795"/>
      <c r="L647" s="795"/>
      <c r="M647" s="795"/>
      <c r="N647" s="795"/>
      <c r="O647" s="794"/>
      <c r="P647" s="793"/>
    </row>
    <row r="648" spans="2:16" s="426" customFormat="1" ht="11.25" x14ac:dyDescent="0.2">
      <c r="B648" s="984"/>
      <c r="C648" s="981"/>
      <c r="D648" s="986"/>
      <c r="E648" s="790">
        <v>1</v>
      </c>
      <c r="F648" s="791"/>
      <c r="G648" s="584"/>
      <c r="H648" s="792">
        <f t="shared" si="106"/>
        <v>0</v>
      </c>
      <c r="I648" s="793"/>
      <c r="J648" s="794"/>
      <c r="K648" s="795"/>
      <c r="L648" s="795"/>
      <c r="M648" s="795"/>
      <c r="N648" s="795"/>
      <c r="O648" s="794"/>
      <c r="P648" s="793"/>
    </row>
    <row r="649" spans="2:16" s="426" customFormat="1" ht="12" thickBot="1" x14ac:dyDescent="0.25">
      <c r="B649" s="985"/>
      <c r="C649" s="982"/>
      <c r="D649" s="987" t="s">
        <v>566</v>
      </c>
      <c r="E649" s="988">
        <v>1</v>
      </c>
      <c r="F649" s="796"/>
      <c r="G649" s="797"/>
      <c r="H649" s="798">
        <f t="shared" si="106"/>
        <v>0</v>
      </c>
      <c r="I649" s="799">
        <f>SUM(H646:H649)</f>
        <v>25000</v>
      </c>
      <c r="J649" s="800">
        <f>I649*$J$5</f>
        <v>3250</v>
      </c>
      <c r="K649" s="801">
        <f>SUM(I649:J649)*$K$5</f>
        <v>1271.25</v>
      </c>
      <c r="L649" s="801">
        <f>SUM(I649:K649)*$L$5</f>
        <v>1623.66875</v>
      </c>
      <c r="M649" s="801">
        <f>SUM(I649:L649)*$M$5</f>
        <v>1868.695125</v>
      </c>
      <c r="N649" s="801">
        <f>SUM(I649:M649)*$N$5</f>
        <v>3301.3613875000005</v>
      </c>
      <c r="O649" s="800">
        <f>SUM(I649:N649)</f>
        <v>36314.975262500004</v>
      </c>
      <c r="P649" s="799">
        <f>ROUND(O649,-3)</f>
        <v>36000</v>
      </c>
    </row>
  </sheetData>
  <mergeCells count="53">
    <mergeCell ref="B2:P3"/>
    <mergeCell ref="C119:C133"/>
    <mergeCell ref="C134:C149"/>
    <mergeCell ref="C500:C509"/>
    <mergeCell ref="C590:C599"/>
    <mergeCell ref="C580:C589"/>
    <mergeCell ref="C150:C168"/>
    <mergeCell ref="C15:C23"/>
    <mergeCell ref="C24:C32"/>
    <mergeCell ref="C33:C41"/>
    <mergeCell ref="C42:C50"/>
    <mergeCell ref="B489:B499"/>
    <mergeCell ref="B500:B509"/>
    <mergeCell ref="C51:C65"/>
    <mergeCell ref="C6:C14"/>
    <mergeCell ref="B150:B168"/>
    <mergeCell ref="C169:C189"/>
    <mergeCell ref="C220:C230"/>
    <mergeCell ref="C231:C241"/>
    <mergeCell ref="C429:C438"/>
    <mergeCell ref="C419:C428"/>
    <mergeCell ref="C489:C499"/>
    <mergeCell ref="B449:B458"/>
    <mergeCell ref="B459:B468"/>
    <mergeCell ref="B469:B478"/>
    <mergeCell ref="B439:B448"/>
    <mergeCell ref="B479:B488"/>
    <mergeCell ref="C449:C458"/>
    <mergeCell ref="C459:C468"/>
    <mergeCell ref="C469:C478"/>
    <mergeCell ref="C439:C448"/>
    <mergeCell ref="C479:C488"/>
    <mergeCell ref="B205:B219"/>
    <mergeCell ref="B220:B230"/>
    <mergeCell ref="B231:B241"/>
    <mergeCell ref="B429:B438"/>
    <mergeCell ref="B419:B428"/>
    <mergeCell ref="C630:C639"/>
    <mergeCell ref="B6:B14"/>
    <mergeCell ref="B119:B133"/>
    <mergeCell ref="B134:B149"/>
    <mergeCell ref="B15:B23"/>
    <mergeCell ref="B24:B32"/>
    <mergeCell ref="B33:B41"/>
    <mergeCell ref="B51:B65"/>
    <mergeCell ref="B112:B118"/>
    <mergeCell ref="B42:B50"/>
    <mergeCell ref="B66:B81"/>
    <mergeCell ref="B82:B97"/>
    <mergeCell ref="B98:B104"/>
    <mergeCell ref="B105:B111"/>
    <mergeCell ref="B169:B189"/>
    <mergeCell ref="B190:B20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D743-0AF8-4F8D-96D5-D4A866F185CC}">
  <sheetPr>
    <tabColor rgb="FF0070C0"/>
  </sheetPr>
  <dimension ref="B2:P118"/>
  <sheetViews>
    <sheetView topLeftCell="B1" zoomScaleNormal="100" workbookViewId="0">
      <selection activeCell="B6" sqref="B6:B12"/>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2.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6" ht="15.6" customHeight="1" x14ac:dyDescent="0.25">
      <c r="B2" s="1243" t="str" cm="1">
        <f t="array" aca="1" ref="B2" ca="1">MID(CELL("filename",A1),FIND("]",CELL("filename",A1))+1,256)</f>
        <v>Embodied Carbon</v>
      </c>
      <c r="C2" s="1244"/>
      <c r="D2" s="1244"/>
      <c r="E2" s="1244"/>
      <c r="F2" s="1244"/>
      <c r="G2" s="1244"/>
      <c r="H2" s="1244"/>
      <c r="I2" s="1244"/>
      <c r="J2" s="1244"/>
      <c r="K2" s="1244"/>
      <c r="L2" s="1244"/>
      <c r="M2" s="1244"/>
      <c r="N2" s="1244"/>
      <c r="O2" s="1244"/>
      <c r="P2" s="1245"/>
    </row>
    <row r="3" spans="2:16" ht="15" customHeight="1" thickBot="1" x14ac:dyDescent="0.3">
      <c r="B3" s="1246"/>
      <c r="C3" s="1247"/>
      <c r="D3" s="1247"/>
      <c r="E3" s="1247"/>
      <c r="F3" s="1247"/>
      <c r="G3" s="1247"/>
      <c r="H3" s="1247"/>
      <c r="I3" s="1247"/>
      <c r="J3" s="1247"/>
      <c r="K3" s="1247"/>
      <c r="L3" s="1247"/>
      <c r="M3" s="1247"/>
      <c r="N3" s="1247"/>
      <c r="O3" s="1247"/>
      <c r="P3" s="1248"/>
    </row>
    <row r="4" spans="2:16"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6"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6" s="415" customFormat="1" ht="11.25" x14ac:dyDescent="0.2">
      <c r="B6" s="1255" t="str">
        <f>'Detailed Matrix'!E4</f>
        <v>Remove basement</v>
      </c>
      <c r="C6" s="1258" t="str">
        <f>'Detailed Matrix'!F4</f>
        <v>Removal of basement and utilise above ground space</v>
      </c>
      <c r="D6" s="390"/>
      <c r="E6" s="391"/>
      <c r="F6" s="392"/>
      <c r="G6" s="393"/>
      <c r="H6" s="394"/>
      <c r="I6" s="395"/>
      <c r="J6" s="396"/>
      <c r="K6" s="397"/>
      <c r="L6" s="397"/>
      <c r="M6" s="397"/>
      <c r="N6" s="397"/>
      <c r="O6" s="396"/>
      <c r="P6" s="779"/>
    </row>
    <row r="7" spans="2:16" s="415" customFormat="1" ht="11.25" x14ac:dyDescent="0.2">
      <c r="B7" s="1256"/>
      <c r="C7" s="1259"/>
      <c r="D7" s="669" t="s">
        <v>577</v>
      </c>
      <c r="E7" s="399"/>
      <c r="F7" s="400"/>
      <c r="G7" s="401"/>
      <c r="H7" s="722"/>
      <c r="I7" s="723"/>
      <c r="J7" s="724"/>
      <c r="K7" s="725"/>
      <c r="L7" s="725"/>
      <c r="M7" s="725"/>
      <c r="N7" s="725"/>
      <c r="O7" s="724"/>
      <c r="P7" s="780"/>
    </row>
    <row r="8" spans="2:16" s="420" customFormat="1" ht="11.25" x14ac:dyDescent="0.2">
      <c r="B8" s="1256"/>
      <c r="C8" s="1259"/>
      <c r="D8" s="416" t="s">
        <v>578</v>
      </c>
      <c r="E8" s="417"/>
      <c r="F8" s="418"/>
      <c r="G8" s="419"/>
      <c r="H8" s="402">
        <f t="shared" ref="H8" si="0">E8*G8</f>
        <v>0</v>
      </c>
      <c r="I8" s="403">
        <f>SUM(H6:H8)</f>
        <v>0</v>
      </c>
      <c r="J8" s="404">
        <f>I8*$J$5</f>
        <v>0</v>
      </c>
      <c r="K8" s="405">
        <f>SUM(I8:J8)*$K$5</f>
        <v>0</v>
      </c>
      <c r="L8" s="405">
        <f>SUM(I8:K8)*$L$5</f>
        <v>0</v>
      </c>
      <c r="M8" s="405">
        <f>SUM(I8:L8)*$M$5</f>
        <v>0</v>
      </c>
      <c r="N8" s="405">
        <f>SUM(I8:M8)*$N$5</f>
        <v>0</v>
      </c>
      <c r="O8" s="406">
        <f>SUM(I8:N8)</f>
        <v>0</v>
      </c>
      <c r="P8" s="781" t="s">
        <v>524</v>
      </c>
    </row>
    <row r="9" spans="2:16" s="420" customFormat="1" ht="11.25" x14ac:dyDescent="0.2">
      <c r="B9" s="1256"/>
      <c r="C9" s="1259"/>
      <c r="D9" s="763"/>
      <c r="E9" s="759"/>
      <c r="F9" s="760"/>
      <c r="G9" s="761"/>
      <c r="H9" s="717"/>
      <c r="I9" s="718"/>
      <c r="J9" s="719"/>
      <c r="K9" s="720"/>
      <c r="L9" s="720"/>
      <c r="M9" s="720"/>
      <c r="N9" s="720"/>
      <c r="O9" s="721"/>
      <c r="P9" s="782"/>
    </row>
    <row r="10" spans="2:16" s="415" customFormat="1" ht="11.25" x14ac:dyDescent="0.2">
      <c r="B10" s="1256"/>
      <c r="C10" s="1259"/>
      <c r="D10" s="669" t="s">
        <v>579</v>
      </c>
      <c r="E10" s="399"/>
      <c r="F10" s="400"/>
      <c r="G10" s="401"/>
      <c r="H10" s="722"/>
      <c r="I10" s="723"/>
      <c r="J10" s="724"/>
      <c r="K10" s="725"/>
      <c r="L10" s="725"/>
      <c r="M10" s="725"/>
      <c r="N10" s="725"/>
      <c r="O10" s="724"/>
      <c r="P10" s="780"/>
    </row>
    <row r="11" spans="2:16" s="420" customFormat="1" ht="11.25" x14ac:dyDescent="0.2">
      <c r="B11" s="1256"/>
      <c r="C11" s="1259"/>
      <c r="D11" s="416" t="s">
        <v>578</v>
      </c>
      <c r="E11" s="417"/>
      <c r="F11" s="418"/>
      <c r="G11" s="419"/>
      <c r="H11" s="402">
        <f t="shared" ref="H11" si="1">E11*G11</f>
        <v>0</v>
      </c>
      <c r="I11" s="403">
        <f>SUM(H9:H11)</f>
        <v>0</v>
      </c>
      <c r="J11" s="404">
        <f>I11*$J$5</f>
        <v>0</v>
      </c>
      <c r="K11" s="405">
        <f>SUM(I11:J11)*$K$5</f>
        <v>0</v>
      </c>
      <c r="L11" s="405">
        <f>SUM(I11:K11)*$L$5</f>
        <v>0</v>
      </c>
      <c r="M11" s="405">
        <f>SUM(I11:L11)*$M$5</f>
        <v>0</v>
      </c>
      <c r="N11" s="405">
        <f>SUM(I11:M11)*$N$5</f>
        <v>0</v>
      </c>
      <c r="O11" s="406">
        <f>SUM(I11:N11)</f>
        <v>0</v>
      </c>
      <c r="P11" s="781" t="s">
        <v>524</v>
      </c>
    </row>
    <row r="12" spans="2:16" s="420" customFormat="1" ht="12" thickBot="1" x14ac:dyDescent="0.25">
      <c r="B12" s="1257"/>
      <c r="C12" s="1260"/>
      <c r="D12" s="407"/>
      <c r="E12" s="408"/>
      <c r="F12" s="409"/>
      <c r="G12" s="410"/>
      <c r="H12" s="411"/>
      <c r="I12" s="412"/>
      <c r="J12" s="421"/>
      <c r="K12" s="422"/>
      <c r="L12" s="422"/>
      <c r="M12" s="422"/>
      <c r="N12" s="422"/>
      <c r="O12" s="413"/>
      <c r="P12" s="783"/>
    </row>
    <row r="13" spans="2:16" s="415" customFormat="1" ht="11.25" x14ac:dyDescent="0.2">
      <c r="B13" s="1263" t="str">
        <f>'Detailed Matrix'!E5</f>
        <v>Low carbon concrete</v>
      </c>
      <c r="C13" s="1266" t="str">
        <f>'Detailed Matrix'!F5</f>
        <v>Use of low carbon concrete</v>
      </c>
      <c r="D13" s="390"/>
      <c r="E13" s="391"/>
      <c r="F13" s="392"/>
      <c r="G13" s="393"/>
      <c r="H13" s="394"/>
      <c r="I13" s="395"/>
      <c r="J13" s="396"/>
      <c r="K13" s="397"/>
      <c r="L13" s="397"/>
      <c r="M13" s="397"/>
      <c r="N13" s="397"/>
      <c r="O13" s="396"/>
      <c r="P13" s="779"/>
    </row>
    <row r="14" spans="2:16" s="415" customFormat="1" ht="15" customHeight="1" x14ac:dyDescent="0.2">
      <c r="B14" s="1264"/>
      <c r="C14" s="1267"/>
      <c r="D14" s="669" t="s">
        <v>577</v>
      </c>
      <c r="E14" s="399"/>
      <c r="F14" s="400"/>
      <c r="G14" s="401"/>
      <c r="H14" s="722"/>
      <c r="I14" s="723"/>
      <c r="J14" s="724"/>
      <c r="K14" s="725"/>
      <c r="L14" s="725"/>
      <c r="M14" s="725"/>
      <c r="N14" s="725"/>
      <c r="O14" s="724"/>
      <c r="P14" s="780"/>
    </row>
    <row r="15" spans="2:16" s="415" customFormat="1" ht="15" customHeight="1" x14ac:dyDescent="0.2">
      <c r="B15" s="1264"/>
      <c r="C15" s="1267"/>
      <c r="D15" s="416" t="s">
        <v>580</v>
      </c>
      <c r="E15" s="417"/>
      <c r="F15" s="418"/>
      <c r="G15" s="419"/>
      <c r="H15" s="402"/>
      <c r="I15" s="403"/>
      <c r="J15" s="404"/>
      <c r="K15" s="405"/>
      <c r="L15" s="405"/>
      <c r="M15" s="405"/>
      <c r="N15" s="405"/>
      <c r="O15" s="406"/>
      <c r="P15" s="781"/>
    </row>
    <row r="16" spans="2:16" s="415" customFormat="1" ht="15" customHeight="1" x14ac:dyDescent="0.2">
      <c r="B16" s="1264"/>
      <c r="C16" s="1267"/>
      <c r="D16" s="423" t="s">
        <v>23</v>
      </c>
      <c r="E16" s="417">
        <f>'Key Data'!$B$28</f>
        <v>303.73599999999999</v>
      </c>
      <c r="F16" s="418" t="s">
        <v>24</v>
      </c>
      <c r="G16" s="419">
        <f>(220*10%)+3</f>
        <v>25</v>
      </c>
      <c r="H16" s="402">
        <f>E16*G16</f>
        <v>7593.4</v>
      </c>
      <c r="I16" s="403"/>
      <c r="J16" s="404"/>
      <c r="K16" s="405"/>
      <c r="L16" s="405"/>
      <c r="M16" s="405"/>
      <c r="N16" s="405"/>
      <c r="O16" s="406"/>
      <c r="P16" s="781"/>
    </row>
    <row r="17" spans="2:16" s="415" customFormat="1" ht="15" customHeight="1" x14ac:dyDescent="0.2">
      <c r="B17" s="1264"/>
      <c r="C17" s="1267"/>
      <c r="D17" s="423" t="s">
        <v>25</v>
      </c>
      <c r="E17" s="417">
        <f>'Key Data'!$B$29</f>
        <v>164.85899999999998</v>
      </c>
      <c r="F17" s="418" t="s">
        <v>24</v>
      </c>
      <c r="G17" s="419">
        <f>$G$16</f>
        <v>25</v>
      </c>
      <c r="H17" s="402">
        <f>E17*G17</f>
        <v>4121.4749999999995</v>
      </c>
      <c r="I17" s="403"/>
      <c r="J17" s="404"/>
      <c r="K17" s="405"/>
      <c r="L17" s="405"/>
      <c r="M17" s="405"/>
      <c r="N17" s="405"/>
      <c r="O17" s="406"/>
      <c r="P17" s="781"/>
    </row>
    <row r="18" spans="2:16" s="415" customFormat="1" ht="15" customHeight="1" x14ac:dyDescent="0.2">
      <c r="B18" s="1264"/>
      <c r="C18" s="1267"/>
      <c r="D18" s="423" t="s">
        <v>26</v>
      </c>
      <c r="E18" s="417">
        <f>'Key Data'!$B$30</f>
        <v>458.01999359999996</v>
      </c>
      <c r="F18" s="418" t="s">
        <v>24</v>
      </c>
      <c r="G18" s="419">
        <f t="shared" ref="G18:G21" si="2">$G$16</f>
        <v>25</v>
      </c>
      <c r="H18" s="402">
        <f t="shared" ref="H18:H21" si="3">E18*G18</f>
        <v>11450.499839999999</v>
      </c>
      <c r="I18" s="403"/>
      <c r="J18" s="404"/>
      <c r="K18" s="405"/>
      <c r="L18" s="405"/>
      <c r="M18" s="405"/>
      <c r="N18" s="405"/>
      <c r="O18" s="406"/>
      <c r="P18" s="781"/>
    </row>
    <row r="19" spans="2:16" s="415" customFormat="1" ht="15" customHeight="1" x14ac:dyDescent="0.2">
      <c r="B19" s="1264"/>
      <c r="C19" s="1267"/>
      <c r="D19" s="423" t="s">
        <v>27</v>
      </c>
      <c r="E19" s="417">
        <f>'Key Data'!$B$31</f>
        <v>996.80000000000007</v>
      </c>
      <c r="F19" s="418" t="s">
        <v>24</v>
      </c>
      <c r="G19" s="419">
        <f t="shared" si="2"/>
        <v>25</v>
      </c>
      <c r="H19" s="402">
        <f t="shared" si="3"/>
        <v>24920</v>
      </c>
      <c r="I19" s="403"/>
      <c r="J19" s="404"/>
      <c r="K19" s="405"/>
      <c r="L19" s="405"/>
      <c r="M19" s="405"/>
      <c r="N19" s="405"/>
      <c r="O19" s="406"/>
      <c r="P19" s="781"/>
    </row>
    <row r="20" spans="2:16" s="415" customFormat="1" ht="15" customHeight="1" x14ac:dyDescent="0.2">
      <c r="B20" s="1264"/>
      <c r="C20" s="1267"/>
      <c r="D20" s="423" t="s">
        <v>28</v>
      </c>
      <c r="E20" s="417">
        <f>'Key Data'!$B$32</f>
        <v>2506.2750000000001</v>
      </c>
      <c r="F20" s="418" t="s">
        <v>24</v>
      </c>
      <c r="G20" s="419">
        <f t="shared" si="2"/>
        <v>25</v>
      </c>
      <c r="H20" s="402">
        <f t="shared" si="3"/>
        <v>62656.875</v>
      </c>
      <c r="I20" s="403"/>
      <c r="J20" s="404"/>
      <c r="K20" s="405"/>
      <c r="L20" s="405"/>
      <c r="M20" s="405"/>
      <c r="N20" s="405"/>
      <c r="O20" s="406"/>
      <c r="P20" s="781"/>
    </row>
    <row r="21" spans="2:16" s="415" customFormat="1" ht="15" customHeight="1" x14ac:dyDescent="0.2">
      <c r="B21" s="1264"/>
      <c r="C21" s="1267"/>
      <c r="D21" s="423" t="s">
        <v>29</v>
      </c>
      <c r="E21" s="417">
        <f>'Key Data'!$B$33</f>
        <v>123.75</v>
      </c>
      <c r="F21" s="418" t="s">
        <v>24</v>
      </c>
      <c r="G21" s="419">
        <f t="shared" si="2"/>
        <v>25</v>
      </c>
      <c r="H21" s="402">
        <f t="shared" si="3"/>
        <v>3093.75</v>
      </c>
      <c r="I21" s="403">
        <f>SUM(H13:H21)</f>
        <v>113835.99984</v>
      </c>
      <c r="J21" s="404">
        <f>I21*$J$5</f>
        <v>14798.6799792</v>
      </c>
      <c r="K21" s="405">
        <f>SUM(I21:J21)*$K$5</f>
        <v>5788.5605918639994</v>
      </c>
      <c r="L21" s="405">
        <f>SUM(I21:K21)*$L$5</f>
        <v>7393.2782226085201</v>
      </c>
      <c r="M21" s="405">
        <f>SUM(I21:L21)*$M$5</f>
        <v>8508.9911180203508</v>
      </c>
      <c r="N21" s="405">
        <f>SUM(I21:M21)*$N$5</f>
        <v>15032.550975169288</v>
      </c>
      <c r="O21" s="406">
        <f>SUM(I21:N21)</f>
        <v>165358.06072686217</v>
      </c>
      <c r="P21" s="781">
        <f>ROUND(O21,-3)</f>
        <v>165000</v>
      </c>
    </row>
    <row r="22" spans="2:16" s="415" customFormat="1" ht="15" customHeight="1" x14ac:dyDescent="0.2">
      <c r="B22" s="1264"/>
      <c r="C22" s="1267"/>
      <c r="D22" s="423"/>
      <c r="E22" s="417"/>
      <c r="F22" s="418"/>
      <c r="G22" s="419"/>
      <c r="H22" s="402"/>
      <c r="I22" s="403"/>
      <c r="J22" s="404"/>
      <c r="K22" s="405"/>
      <c r="L22" s="405"/>
      <c r="M22" s="405"/>
      <c r="N22" s="405"/>
      <c r="O22" s="406"/>
      <c r="P22" s="781"/>
    </row>
    <row r="23" spans="2:16" s="415" customFormat="1" ht="15" customHeight="1" x14ac:dyDescent="0.2">
      <c r="B23" s="1264"/>
      <c r="C23" s="1267"/>
      <c r="D23" s="669" t="s">
        <v>579</v>
      </c>
      <c r="E23" s="417"/>
      <c r="F23" s="418"/>
      <c r="G23" s="419"/>
      <c r="H23" s="402"/>
      <c r="I23" s="403"/>
      <c r="J23" s="406"/>
      <c r="K23" s="424"/>
      <c r="L23" s="424"/>
      <c r="M23" s="424"/>
      <c r="N23" s="424"/>
      <c r="O23" s="406"/>
      <c r="P23" s="781"/>
    </row>
    <row r="24" spans="2:16" s="415" customFormat="1" ht="12" customHeight="1" x14ac:dyDescent="0.2">
      <c r="B24" s="1264"/>
      <c r="C24" s="1267"/>
      <c r="D24" s="416" t="s">
        <v>580</v>
      </c>
      <c r="E24" s="417"/>
      <c r="F24" s="418"/>
      <c r="G24" s="419"/>
      <c r="H24" s="402"/>
      <c r="I24" s="403"/>
      <c r="J24" s="404"/>
      <c r="K24" s="405"/>
      <c r="L24" s="405"/>
      <c r="M24" s="405"/>
      <c r="N24" s="405"/>
      <c r="O24" s="406"/>
      <c r="P24" s="781"/>
    </row>
    <row r="25" spans="2:16" s="415" customFormat="1" ht="12" customHeight="1" x14ac:dyDescent="0.2">
      <c r="B25" s="1264"/>
      <c r="C25" s="1267"/>
      <c r="D25" s="423" t="s">
        <v>23</v>
      </c>
      <c r="E25" s="417">
        <f>'Key Data'!$B$28</f>
        <v>303.73599999999999</v>
      </c>
      <c r="F25" s="418" t="s">
        <v>24</v>
      </c>
      <c r="G25" s="419">
        <v>35</v>
      </c>
      <c r="H25" s="402">
        <f>E25*G25</f>
        <v>10630.76</v>
      </c>
      <c r="I25" s="403"/>
      <c r="J25" s="404"/>
      <c r="K25" s="405"/>
      <c r="L25" s="405"/>
      <c r="M25" s="405"/>
      <c r="N25" s="405"/>
      <c r="O25" s="406"/>
      <c r="P25" s="781"/>
    </row>
    <row r="26" spans="2:16" s="415" customFormat="1" ht="12" customHeight="1" x14ac:dyDescent="0.2">
      <c r="B26" s="1264"/>
      <c r="C26" s="1267"/>
      <c r="D26" s="423" t="s">
        <v>25</v>
      </c>
      <c r="E26" s="417">
        <f>'Key Data'!$B$29</f>
        <v>164.85899999999998</v>
      </c>
      <c r="F26" s="418" t="s">
        <v>24</v>
      </c>
      <c r="G26" s="419">
        <f>G25</f>
        <v>35</v>
      </c>
      <c r="H26" s="402">
        <f>E26*G26</f>
        <v>5770.0649999999996</v>
      </c>
      <c r="I26" s="403"/>
      <c r="J26" s="404"/>
      <c r="K26" s="405"/>
      <c r="L26" s="405"/>
      <c r="M26" s="405"/>
      <c r="N26" s="405"/>
      <c r="O26" s="406"/>
      <c r="P26" s="781"/>
    </row>
    <row r="27" spans="2:16" s="415" customFormat="1" ht="12" customHeight="1" x14ac:dyDescent="0.2">
      <c r="B27" s="1264"/>
      <c r="C27" s="1267"/>
      <c r="D27" s="423" t="s">
        <v>26</v>
      </c>
      <c r="E27" s="417">
        <f>'Key Data'!$B$30</f>
        <v>458.01999359999996</v>
      </c>
      <c r="F27" s="418" t="s">
        <v>24</v>
      </c>
      <c r="G27" s="419">
        <f t="shared" ref="G27:G30" si="4">G26</f>
        <v>35</v>
      </c>
      <c r="H27" s="402">
        <f t="shared" ref="H27:H30" si="5">E27*G27</f>
        <v>16030.699775999999</v>
      </c>
      <c r="I27" s="403"/>
      <c r="J27" s="404"/>
      <c r="K27" s="405"/>
      <c r="L27" s="405"/>
      <c r="M27" s="405"/>
      <c r="N27" s="405"/>
      <c r="O27" s="406"/>
      <c r="P27" s="781"/>
    </row>
    <row r="28" spans="2:16" s="415" customFormat="1" ht="12" customHeight="1" x14ac:dyDescent="0.2">
      <c r="B28" s="1264"/>
      <c r="C28" s="1267"/>
      <c r="D28" s="423" t="s">
        <v>27</v>
      </c>
      <c r="E28" s="417">
        <f>'Key Data'!$B$31</f>
        <v>996.80000000000007</v>
      </c>
      <c r="F28" s="418" t="s">
        <v>24</v>
      </c>
      <c r="G28" s="419">
        <f t="shared" si="4"/>
        <v>35</v>
      </c>
      <c r="H28" s="402">
        <f t="shared" si="5"/>
        <v>34888</v>
      </c>
      <c r="I28" s="403"/>
      <c r="J28" s="404"/>
      <c r="K28" s="405"/>
      <c r="L28" s="405"/>
      <c r="M28" s="405"/>
      <c r="N28" s="405"/>
      <c r="O28" s="406"/>
      <c r="P28" s="781"/>
    </row>
    <row r="29" spans="2:16" s="415" customFormat="1" ht="12" customHeight="1" x14ac:dyDescent="0.2">
      <c r="B29" s="1264"/>
      <c r="C29" s="1267"/>
      <c r="D29" s="423" t="s">
        <v>28</v>
      </c>
      <c r="E29" s="417">
        <f>'Key Data'!$B$32</f>
        <v>2506.2750000000001</v>
      </c>
      <c r="F29" s="418" t="s">
        <v>24</v>
      </c>
      <c r="G29" s="419">
        <f t="shared" si="4"/>
        <v>35</v>
      </c>
      <c r="H29" s="402">
        <f t="shared" si="5"/>
        <v>87719.625</v>
      </c>
      <c r="I29" s="403"/>
      <c r="J29" s="404"/>
      <c r="K29" s="405"/>
      <c r="L29" s="405"/>
      <c r="M29" s="405"/>
      <c r="N29" s="405"/>
      <c r="O29" s="406"/>
      <c r="P29" s="781"/>
    </row>
    <row r="30" spans="2:16" s="415" customFormat="1" ht="12" customHeight="1" x14ac:dyDescent="0.2">
      <c r="B30" s="1264"/>
      <c r="C30" s="1267"/>
      <c r="D30" s="423" t="s">
        <v>29</v>
      </c>
      <c r="E30" s="417">
        <f>'Key Data'!$B$33</f>
        <v>123.75</v>
      </c>
      <c r="F30" s="418" t="s">
        <v>24</v>
      </c>
      <c r="G30" s="419">
        <f t="shared" si="4"/>
        <v>35</v>
      </c>
      <c r="H30" s="402">
        <f t="shared" si="5"/>
        <v>4331.25</v>
      </c>
      <c r="I30" s="403">
        <f>SUM(H23:H30)</f>
        <v>159370.39977600001</v>
      </c>
      <c r="J30" s="404">
        <f>I30*$J$5</f>
        <v>20718.151970880001</v>
      </c>
      <c r="K30" s="405">
        <f>SUM(I30:J30)*$K$5</f>
        <v>8103.9848286095994</v>
      </c>
      <c r="L30" s="405">
        <f>SUM(I30:K30)*$L$5</f>
        <v>10350.589511651928</v>
      </c>
      <c r="M30" s="405">
        <f>SUM(I30:L30)*$M$5</f>
        <v>11912.58756522849</v>
      </c>
      <c r="N30" s="405">
        <f>SUM(I30:M30)*$N$5</f>
        <v>21045.571365237003</v>
      </c>
      <c r="O30" s="406">
        <f>SUM(I30:N30)</f>
        <v>231501.28501760701</v>
      </c>
      <c r="P30" s="781">
        <f>ROUND(O30,-3)</f>
        <v>232000</v>
      </c>
    </row>
    <row r="31" spans="2:16" s="415" customFormat="1" ht="14.45" customHeight="1" thickBot="1" x14ac:dyDescent="0.25">
      <c r="B31" s="1265"/>
      <c r="C31" s="1268"/>
      <c r="D31" s="762"/>
      <c r="E31" s="408"/>
      <c r="F31" s="409"/>
      <c r="G31" s="410"/>
      <c r="H31" s="411"/>
      <c r="I31" s="412"/>
      <c r="J31" s="421"/>
      <c r="K31" s="422"/>
      <c r="L31" s="422"/>
      <c r="M31" s="422"/>
      <c r="N31" s="422"/>
      <c r="O31" s="413"/>
      <c r="P31" s="783"/>
    </row>
    <row r="32" spans="2:16" s="420" customFormat="1" ht="26.1" customHeight="1" x14ac:dyDescent="0.2">
      <c r="B32" s="754" t="str">
        <f>'Detailed Matrix'!E6</f>
        <v>Low waste design strategy</v>
      </c>
      <c r="C32" s="1261" t="str">
        <f>'Detailed Matrix'!F6</f>
        <v>Alterations to room/ shape layouts including heights to minim ise material wasteage</v>
      </c>
      <c r="D32" s="452"/>
      <c r="E32" s="453"/>
      <c r="F32" s="454"/>
      <c r="G32" s="455"/>
      <c r="H32" s="456"/>
      <c r="I32" s="457"/>
      <c r="J32" s="458"/>
      <c r="K32" s="459"/>
      <c r="L32" s="459"/>
      <c r="M32" s="459"/>
      <c r="N32" s="459"/>
      <c r="O32" s="458"/>
      <c r="P32" s="784"/>
    </row>
    <row r="33" spans="2:16" s="420" customFormat="1" ht="11.25" x14ac:dyDescent="0.2">
      <c r="B33" s="755"/>
      <c r="C33" s="1262"/>
      <c r="D33" s="669" t="s">
        <v>577</v>
      </c>
      <c r="E33" s="479"/>
      <c r="F33" s="480"/>
      <c r="G33" s="481"/>
      <c r="H33" s="665"/>
      <c r="I33" s="666"/>
      <c r="J33" s="667"/>
      <c r="K33" s="668"/>
      <c r="L33" s="668"/>
      <c r="M33" s="668"/>
      <c r="N33" s="668"/>
      <c r="O33" s="667"/>
      <c r="P33" s="785"/>
    </row>
    <row r="34" spans="2:16" s="420" customFormat="1" ht="11.25" x14ac:dyDescent="0.2">
      <c r="B34" s="755"/>
      <c r="C34" s="1262"/>
      <c r="D34" s="460" t="s">
        <v>581</v>
      </c>
      <c r="E34" s="461"/>
      <c r="F34" s="462"/>
      <c r="G34" s="463"/>
      <c r="H34" s="464">
        <f>E34*G34</f>
        <v>0</v>
      </c>
      <c r="I34" s="465">
        <f>SUM(H32:H34)</f>
        <v>0</v>
      </c>
      <c r="J34" s="466">
        <f>I34*$J$5</f>
        <v>0</v>
      </c>
      <c r="K34" s="467">
        <f>SUM(I34:J34)*$K$5</f>
        <v>0</v>
      </c>
      <c r="L34" s="467">
        <f>SUM(I34:K34)*$L$5</f>
        <v>0</v>
      </c>
      <c r="M34" s="467">
        <f>SUM(I34:L34)*$M$5</f>
        <v>0</v>
      </c>
      <c r="N34" s="467">
        <f>SUM(I34:M34)*$N$5</f>
        <v>0</v>
      </c>
      <c r="O34" s="468">
        <f>SUM(I34:N34)</f>
        <v>0</v>
      </c>
      <c r="P34" s="786" t="s">
        <v>528</v>
      </c>
    </row>
    <row r="35" spans="2:16" s="420" customFormat="1" ht="11.25" x14ac:dyDescent="0.2">
      <c r="B35" s="755"/>
      <c r="C35" s="767"/>
      <c r="D35" s="757"/>
      <c r="E35" s="657"/>
      <c r="F35" s="658"/>
      <c r="G35" s="659"/>
      <c r="H35" s="660"/>
      <c r="I35" s="661"/>
      <c r="J35" s="662"/>
      <c r="K35" s="663"/>
      <c r="L35" s="663"/>
      <c r="M35" s="663"/>
      <c r="N35" s="663"/>
      <c r="O35" s="664"/>
      <c r="P35" s="787"/>
    </row>
    <row r="36" spans="2:16" s="420" customFormat="1" ht="11.25" x14ac:dyDescent="0.2">
      <c r="B36" s="755"/>
      <c r="C36" s="767"/>
      <c r="D36" s="669" t="s">
        <v>579</v>
      </c>
      <c r="E36" s="479"/>
      <c r="F36" s="480"/>
      <c r="G36" s="481"/>
      <c r="H36" s="665"/>
      <c r="I36" s="666"/>
      <c r="J36" s="667"/>
      <c r="K36" s="668"/>
      <c r="L36" s="668"/>
      <c r="M36" s="668"/>
      <c r="N36" s="668"/>
      <c r="O36" s="667"/>
      <c r="P36" s="785"/>
    </row>
    <row r="37" spans="2:16" s="420" customFormat="1" ht="11.25" x14ac:dyDescent="0.2">
      <c r="B37" s="755"/>
      <c r="C37" s="767"/>
      <c r="D37" s="460" t="s">
        <v>581</v>
      </c>
      <c r="E37" s="461"/>
      <c r="F37" s="462"/>
      <c r="G37" s="463"/>
      <c r="H37" s="464">
        <f>E37*G37</f>
        <v>0</v>
      </c>
      <c r="I37" s="465">
        <f>SUM(H35:H37)</f>
        <v>0</v>
      </c>
      <c r="J37" s="466">
        <f>I37*$J$5</f>
        <v>0</v>
      </c>
      <c r="K37" s="467">
        <f>SUM(I37:J37)*$K$5</f>
        <v>0</v>
      </c>
      <c r="L37" s="467">
        <f>SUM(I37:K37)*$L$5</f>
        <v>0</v>
      </c>
      <c r="M37" s="467">
        <f>SUM(I37:L37)*$M$5</f>
        <v>0</v>
      </c>
      <c r="N37" s="467">
        <f>SUM(I37:M37)*$N$5</f>
        <v>0</v>
      </c>
      <c r="O37" s="468">
        <f>SUM(I37:N37)</f>
        <v>0</v>
      </c>
      <c r="P37" s="786" t="s">
        <v>528</v>
      </c>
    </row>
    <row r="38" spans="2:16" s="420" customFormat="1" ht="12" thickBot="1" x14ac:dyDescent="0.25">
      <c r="B38" s="755"/>
      <c r="C38" s="756"/>
      <c r="D38" s="757"/>
      <c r="E38" s="657"/>
      <c r="F38" s="658"/>
      <c r="G38" s="659"/>
      <c r="H38" s="660"/>
      <c r="I38" s="661"/>
      <c r="J38" s="662"/>
      <c r="K38" s="663"/>
      <c r="L38" s="663"/>
      <c r="M38" s="663"/>
      <c r="N38" s="663"/>
      <c r="O38" s="664"/>
      <c r="P38" s="787"/>
    </row>
    <row r="39" spans="2:16" s="415" customFormat="1" ht="11.25" x14ac:dyDescent="0.2">
      <c r="B39" s="1255" t="str">
        <f>'Detailed Matrix'!E7</f>
        <v>Enhanced Construction Monitoring</v>
      </c>
      <c r="C39" s="1269" t="str">
        <f>'Detailed Matrix'!F7</f>
        <v xml:space="preserve">Monitoring during to ensure low material wastage </v>
      </c>
      <c r="D39" s="390"/>
      <c r="E39" s="391"/>
      <c r="F39" s="392"/>
      <c r="G39" s="393"/>
      <c r="H39" s="394"/>
      <c r="I39" s="395"/>
      <c r="J39" s="396"/>
      <c r="K39" s="397"/>
      <c r="L39" s="397"/>
      <c r="M39" s="397"/>
      <c r="N39" s="397"/>
      <c r="O39" s="396"/>
      <c r="P39" s="779"/>
    </row>
    <row r="40" spans="2:16" s="415" customFormat="1" ht="11.25" x14ac:dyDescent="0.2">
      <c r="B40" s="1256"/>
      <c r="C40" s="1270"/>
      <c r="D40" s="768"/>
      <c r="E40" s="399"/>
      <c r="F40" s="400"/>
      <c r="G40" s="401"/>
      <c r="H40" s="722"/>
      <c r="I40" s="723"/>
      <c r="J40" s="724"/>
      <c r="K40" s="725"/>
      <c r="L40" s="725"/>
      <c r="M40" s="725"/>
      <c r="N40" s="725"/>
      <c r="O40" s="724"/>
      <c r="P40" s="780"/>
    </row>
    <row r="41" spans="2:16" s="415" customFormat="1" ht="11.25" x14ac:dyDescent="0.2">
      <c r="B41" s="1256"/>
      <c r="C41" s="1270"/>
      <c r="D41" s="669" t="s">
        <v>577</v>
      </c>
      <c r="E41" s="417"/>
      <c r="F41" s="418"/>
      <c r="G41" s="419"/>
      <c r="H41" s="402"/>
      <c r="I41" s="403"/>
      <c r="J41" s="406"/>
      <c r="K41" s="424"/>
      <c r="L41" s="424"/>
      <c r="M41" s="424"/>
      <c r="N41" s="424"/>
      <c r="O41" s="406"/>
      <c r="P41" s="781"/>
    </row>
    <row r="42" spans="2:16" s="415" customFormat="1" ht="11.25" x14ac:dyDescent="0.2">
      <c r="B42" s="1256"/>
      <c r="C42" s="1270"/>
      <c r="D42" s="425" t="s">
        <v>582</v>
      </c>
      <c r="E42" s="417">
        <f>'Key Data'!$B$3</f>
        <v>104</v>
      </c>
      <c r="F42" s="418" t="s">
        <v>583</v>
      </c>
      <c r="G42" s="419">
        <v>1500</v>
      </c>
      <c r="H42" s="402">
        <f t="shared" ref="H42:H45" si="6">E42*G42</f>
        <v>156000</v>
      </c>
      <c r="I42" s="403"/>
      <c r="J42" s="406"/>
      <c r="K42" s="424"/>
      <c r="L42" s="424"/>
      <c r="M42" s="424"/>
      <c r="N42" s="424"/>
      <c r="O42" s="406"/>
      <c r="P42" s="781"/>
    </row>
    <row r="43" spans="2:16" s="415" customFormat="1" ht="11.25" x14ac:dyDescent="0.2">
      <c r="B43" s="1256"/>
      <c r="C43" s="1270"/>
      <c r="D43" s="425" t="s">
        <v>584</v>
      </c>
      <c r="E43" s="417">
        <f>'Key Data'!$B$3</f>
        <v>104</v>
      </c>
      <c r="F43" s="418" t="s">
        <v>583</v>
      </c>
      <c r="G43" s="419">
        <v>50</v>
      </c>
      <c r="H43" s="402">
        <f t="shared" si="6"/>
        <v>5200</v>
      </c>
      <c r="I43" s="403"/>
      <c r="J43" s="406"/>
      <c r="K43" s="424"/>
      <c r="L43" s="424"/>
      <c r="M43" s="424"/>
      <c r="N43" s="424"/>
      <c r="O43" s="406"/>
      <c r="P43" s="781"/>
    </row>
    <row r="44" spans="2:16" s="415" customFormat="1" ht="11.25" x14ac:dyDescent="0.2">
      <c r="B44" s="1256"/>
      <c r="C44" s="1270"/>
      <c r="D44" s="416"/>
      <c r="E44" s="417"/>
      <c r="F44" s="418"/>
      <c r="G44" s="419"/>
      <c r="H44" s="402"/>
      <c r="I44" s="403"/>
      <c r="J44" s="406"/>
      <c r="K44" s="424"/>
      <c r="L44" s="424"/>
      <c r="M44" s="424"/>
      <c r="N44" s="424"/>
      <c r="O44" s="406"/>
      <c r="P44" s="781"/>
    </row>
    <row r="45" spans="2:16" s="415" customFormat="1" ht="11.25" x14ac:dyDescent="0.2">
      <c r="B45" s="1256"/>
      <c r="C45" s="1270"/>
      <c r="D45" s="416" t="s">
        <v>585</v>
      </c>
      <c r="E45" s="417">
        <f>'Key Data'!$B$3</f>
        <v>104</v>
      </c>
      <c r="F45" s="418" t="s">
        <v>583</v>
      </c>
      <c r="G45" s="419">
        <v>250</v>
      </c>
      <c r="H45" s="402">
        <f t="shared" si="6"/>
        <v>26000</v>
      </c>
      <c r="I45" s="403"/>
      <c r="J45" s="406"/>
      <c r="K45" s="424"/>
      <c r="L45" s="424"/>
      <c r="M45" s="424"/>
      <c r="N45" s="424"/>
      <c r="O45" s="406"/>
      <c r="P45" s="781"/>
    </row>
    <row r="46" spans="2:16" s="415" customFormat="1" ht="11.25" x14ac:dyDescent="0.2">
      <c r="B46" s="1256"/>
      <c r="C46" s="1270"/>
      <c r="D46" s="416"/>
      <c r="E46" s="417"/>
      <c r="F46" s="418"/>
      <c r="G46" s="419"/>
      <c r="H46" s="402"/>
      <c r="I46" s="403">
        <f>SUM(H39:H46)</f>
        <v>187200</v>
      </c>
      <c r="J46" s="404">
        <f>I46*$J$5</f>
        <v>24336</v>
      </c>
      <c r="K46" s="405">
        <f>SUM(I46:J46)*$K$5</f>
        <v>9519.119999999999</v>
      </c>
      <c r="L46" s="405">
        <f>SUM(I46:K46)*$L$5</f>
        <v>12158.0316</v>
      </c>
      <c r="M46" s="405">
        <f>SUM(I46:L46)*$M$5</f>
        <v>13992.789095999999</v>
      </c>
      <c r="N46" s="405">
        <f>SUM(I46:M46)*$N$5</f>
        <v>24720.5940696</v>
      </c>
      <c r="O46" s="406">
        <f>SUM(I46:N46)</f>
        <v>271926.53476559999</v>
      </c>
      <c r="P46" s="781">
        <f>ROUND(O46,-3)</f>
        <v>272000</v>
      </c>
    </row>
    <row r="47" spans="2:16" s="415" customFormat="1" ht="11.25" x14ac:dyDescent="0.2">
      <c r="B47" s="1256"/>
      <c r="C47" s="1270"/>
      <c r="D47" s="763"/>
      <c r="E47" s="759"/>
      <c r="F47" s="760"/>
      <c r="G47" s="761"/>
      <c r="H47" s="717"/>
      <c r="I47" s="718"/>
      <c r="J47" s="719"/>
      <c r="K47" s="720"/>
      <c r="L47" s="720"/>
      <c r="M47" s="720"/>
      <c r="N47" s="720"/>
      <c r="O47" s="721"/>
      <c r="P47" s="782"/>
    </row>
    <row r="48" spans="2:16" s="415" customFormat="1" ht="11.25" x14ac:dyDescent="0.2">
      <c r="B48" s="1256"/>
      <c r="C48" s="1270"/>
      <c r="D48" s="768"/>
      <c r="E48" s="399"/>
      <c r="F48" s="400"/>
      <c r="G48" s="401"/>
      <c r="H48" s="722"/>
      <c r="I48" s="723"/>
      <c r="J48" s="724"/>
      <c r="K48" s="725"/>
      <c r="L48" s="725"/>
      <c r="M48" s="725"/>
      <c r="N48" s="725"/>
      <c r="O48" s="724"/>
      <c r="P48" s="780"/>
    </row>
    <row r="49" spans="2:16" s="415" customFormat="1" ht="11.25" x14ac:dyDescent="0.2">
      <c r="B49" s="1256"/>
      <c r="C49" s="1270"/>
      <c r="D49" s="669" t="s">
        <v>579</v>
      </c>
      <c r="E49" s="417"/>
      <c r="F49" s="418"/>
      <c r="G49" s="419"/>
      <c r="H49" s="402"/>
      <c r="I49" s="403"/>
      <c r="J49" s="406"/>
      <c r="K49" s="424"/>
      <c r="L49" s="424"/>
      <c r="M49" s="424"/>
      <c r="N49" s="424"/>
      <c r="O49" s="406"/>
      <c r="P49" s="781"/>
    </row>
    <row r="50" spans="2:16" s="415" customFormat="1" ht="11.25" x14ac:dyDescent="0.2">
      <c r="B50" s="1256"/>
      <c r="C50" s="1270"/>
      <c r="D50" s="425" t="s">
        <v>582</v>
      </c>
      <c r="E50" s="417">
        <f>'Key Data'!$B$3</f>
        <v>104</v>
      </c>
      <c r="F50" s="418" t="s">
        <v>583</v>
      </c>
      <c r="G50" s="419">
        <v>1500</v>
      </c>
      <c r="H50" s="402">
        <f t="shared" ref="H50:H51" si="7">E50*G50</f>
        <v>156000</v>
      </c>
      <c r="I50" s="403"/>
      <c r="J50" s="406"/>
      <c r="K50" s="424"/>
      <c r="L50" s="424"/>
      <c r="M50" s="424"/>
      <c r="N50" s="424"/>
      <c r="O50" s="406"/>
      <c r="P50" s="781"/>
    </row>
    <row r="51" spans="2:16" s="415" customFormat="1" ht="11.25" x14ac:dyDescent="0.2">
      <c r="B51" s="1256"/>
      <c r="C51" s="1270"/>
      <c r="D51" s="425" t="s">
        <v>584</v>
      </c>
      <c r="E51" s="417">
        <f>'Key Data'!$B$3</f>
        <v>104</v>
      </c>
      <c r="F51" s="418" t="s">
        <v>583</v>
      </c>
      <c r="G51" s="419">
        <v>50</v>
      </c>
      <c r="H51" s="402">
        <f t="shared" si="7"/>
        <v>5200</v>
      </c>
      <c r="I51" s="403"/>
      <c r="J51" s="406"/>
      <c r="K51" s="424"/>
      <c r="L51" s="424"/>
      <c r="M51" s="424"/>
      <c r="N51" s="424"/>
      <c r="O51" s="406"/>
      <c r="P51" s="781"/>
    </row>
    <row r="52" spans="2:16" s="415" customFormat="1" ht="11.25" x14ac:dyDescent="0.2">
      <c r="B52" s="1256"/>
      <c r="C52" s="1270"/>
      <c r="D52" s="416"/>
      <c r="E52" s="417"/>
      <c r="F52" s="418"/>
      <c r="G52" s="419"/>
      <c r="H52" s="402"/>
      <c r="I52" s="403"/>
      <c r="J52" s="406"/>
      <c r="K52" s="424"/>
      <c r="L52" s="424"/>
      <c r="M52" s="424"/>
      <c r="N52" s="424"/>
      <c r="O52" s="406"/>
      <c r="P52" s="781"/>
    </row>
    <row r="53" spans="2:16" s="415" customFormat="1" ht="11.25" x14ac:dyDescent="0.2">
      <c r="B53" s="1256"/>
      <c r="C53" s="1270"/>
      <c r="D53" s="416" t="s">
        <v>585</v>
      </c>
      <c r="E53" s="417">
        <f>'Key Data'!$B$3</f>
        <v>104</v>
      </c>
      <c r="F53" s="418" t="s">
        <v>583</v>
      </c>
      <c r="G53" s="419">
        <v>250</v>
      </c>
      <c r="H53" s="402">
        <f t="shared" ref="H53" si="8">E53*G53</f>
        <v>26000</v>
      </c>
      <c r="I53" s="403"/>
      <c r="J53" s="406"/>
      <c r="K53" s="424"/>
      <c r="L53" s="424"/>
      <c r="M53" s="424"/>
      <c r="N53" s="424"/>
      <c r="O53" s="406"/>
      <c r="P53" s="781"/>
    </row>
    <row r="54" spans="2:16" s="415" customFormat="1" ht="11.25" x14ac:dyDescent="0.2">
      <c r="B54" s="1256"/>
      <c r="C54" s="1270"/>
      <c r="D54" s="416"/>
      <c r="E54" s="417"/>
      <c r="F54" s="418"/>
      <c r="G54" s="419"/>
      <c r="H54" s="402"/>
      <c r="I54" s="403">
        <f>SUM(H47:H54)</f>
        <v>187200</v>
      </c>
      <c r="J54" s="404">
        <f>I54*$J$5</f>
        <v>24336</v>
      </c>
      <c r="K54" s="405">
        <f>SUM(I54:J54)*$K$5</f>
        <v>9519.119999999999</v>
      </c>
      <c r="L54" s="405">
        <f>SUM(I54:K54)*$L$5</f>
        <v>12158.0316</v>
      </c>
      <c r="M54" s="405">
        <f>SUM(I54:L54)*$M$5</f>
        <v>13992.789095999999</v>
      </c>
      <c r="N54" s="405">
        <f>SUM(I54:M54)*$N$5</f>
        <v>24720.5940696</v>
      </c>
      <c r="O54" s="406">
        <f>SUM(I54:N54)</f>
        <v>271926.53476559999</v>
      </c>
      <c r="P54" s="781">
        <f>ROUND(O54,-3)</f>
        <v>272000</v>
      </c>
    </row>
    <row r="55" spans="2:16" s="415" customFormat="1" ht="12" thickBot="1" x14ac:dyDescent="0.25">
      <c r="B55" s="1256"/>
      <c r="C55" s="1270"/>
      <c r="D55" s="763"/>
      <c r="E55" s="759"/>
      <c r="F55" s="760"/>
      <c r="G55" s="761"/>
      <c r="H55" s="717"/>
      <c r="I55" s="718"/>
      <c r="J55" s="721"/>
      <c r="K55" s="764"/>
      <c r="L55" s="764"/>
      <c r="M55" s="764"/>
      <c r="N55" s="764"/>
      <c r="O55" s="721"/>
      <c r="P55" s="782"/>
    </row>
    <row r="56" spans="2:16" s="420" customFormat="1" ht="11.25" x14ac:dyDescent="0.2">
      <c r="B56" s="1277" t="str">
        <f>'Detailed Matrix'!E8</f>
        <v>Structural Optimisation</v>
      </c>
      <c r="C56" s="1261" t="str">
        <f>'Detailed Matrix'!F8</f>
        <v>Stage 01 - vertical improvement</v>
      </c>
      <c r="D56" s="452"/>
      <c r="E56" s="453"/>
      <c r="F56" s="454"/>
      <c r="G56" s="455"/>
      <c r="H56" s="456"/>
      <c r="I56" s="457"/>
      <c r="J56" s="458"/>
      <c r="K56" s="459"/>
      <c r="L56" s="459"/>
      <c r="M56" s="459"/>
      <c r="N56" s="459"/>
      <c r="O56" s="458"/>
      <c r="P56" s="784"/>
    </row>
    <row r="57" spans="2:16" s="420" customFormat="1" ht="11.25" x14ac:dyDescent="0.2">
      <c r="B57" s="1278"/>
      <c r="C57" s="1262"/>
      <c r="D57" s="669" t="s">
        <v>577</v>
      </c>
      <c r="E57" s="749"/>
      <c r="F57" s="750"/>
      <c r="G57" s="751"/>
      <c r="H57" s="771"/>
      <c r="I57" s="772"/>
      <c r="J57" s="773"/>
      <c r="K57" s="774"/>
      <c r="L57" s="774"/>
      <c r="M57" s="774"/>
      <c r="N57" s="774"/>
      <c r="O57" s="773"/>
      <c r="P57" s="788"/>
    </row>
    <row r="58" spans="2:16" s="420" customFormat="1" ht="11.25" x14ac:dyDescent="0.2">
      <c r="B58" s="1278"/>
      <c r="C58" s="1262"/>
      <c r="D58" s="757" t="s">
        <v>581</v>
      </c>
      <c r="E58" s="749"/>
      <c r="F58" s="750"/>
      <c r="G58" s="751"/>
      <c r="H58" s="771">
        <f>E58*G58</f>
        <v>0</v>
      </c>
      <c r="I58" s="772">
        <f>SUM(H57:H58)</f>
        <v>0</v>
      </c>
      <c r="J58" s="773">
        <f>I58*$J$5</f>
        <v>0</v>
      </c>
      <c r="K58" s="774">
        <f>SUM(I58:J58)*$K$5</f>
        <v>0</v>
      </c>
      <c r="L58" s="774">
        <f>SUM(I58:K58)*$L$5</f>
        <v>0</v>
      </c>
      <c r="M58" s="774">
        <f>SUM(I58:L58)*$M$5</f>
        <v>0</v>
      </c>
      <c r="N58" s="774">
        <f>SUM(I58:M58)*$N$5</f>
        <v>0</v>
      </c>
      <c r="O58" s="773">
        <f>SUM(I58:N58)</f>
        <v>0</v>
      </c>
      <c r="P58" s="786" t="s">
        <v>528</v>
      </c>
    </row>
    <row r="59" spans="2:16" s="420" customFormat="1" ht="11.25" x14ac:dyDescent="0.2">
      <c r="B59" s="1278"/>
      <c r="C59" s="1262"/>
      <c r="D59" s="770"/>
      <c r="E59" s="749"/>
      <c r="F59" s="750"/>
      <c r="G59" s="751"/>
      <c r="H59" s="771"/>
      <c r="I59" s="772"/>
      <c r="J59" s="773"/>
      <c r="K59" s="774"/>
      <c r="L59" s="774"/>
      <c r="M59" s="774"/>
      <c r="N59" s="774"/>
      <c r="O59" s="773"/>
      <c r="P59" s="787"/>
    </row>
    <row r="60" spans="2:16" s="420" customFormat="1" ht="11.25" x14ac:dyDescent="0.2">
      <c r="B60" s="1278"/>
      <c r="C60" s="1262"/>
      <c r="D60" s="669" t="s">
        <v>579</v>
      </c>
      <c r="E60" s="749"/>
      <c r="F60" s="750"/>
      <c r="G60" s="751"/>
      <c r="H60" s="771"/>
      <c r="I60" s="772"/>
      <c r="J60" s="773"/>
      <c r="K60" s="774"/>
      <c r="L60" s="774"/>
      <c r="M60" s="774"/>
      <c r="N60" s="774"/>
      <c r="O60" s="773"/>
      <c r="P60" s="785"/>
    </row>
    <row r="61" spans="2:16" s="420" customFormat="1" ht="11.25" x14ac:dyDescent="0.2">
      <c r="B61" s="1278"/>
      <c r="C61" s="1262"/>
      <c r="D61" s="757" t="s">
        <v>581</v>
      </c>
      <c r="E61" s="749"/>
      <c r="F61" s="750"/>
      <c r="G61" s="751"/>
      <c r="H61" s="771">
        <f>E61*G61</f>
        <v>0</v>
      </c>
      <c r="I61" s="772">
        <f>SUM(H60:H61)</f>
        <v>0</v>
      </c>
      <c r="J61" s="773">
        <f>I61*$J$5</f>
        <v>0</v>
      </c>
      <c r="K61" s="774">
        <f>SUM(I61:J61)*$K$5</f>
        <v>0</v>
      </c>
      <c r="L61" s="774">
        <f>SUM(I61:K61)*$L$5</f>
        <v>0</v>
      </c>
      <c r="M61" s="774">
        <f>SUM(I61:L61)*$M$5</f>
        <v>0</v>
      </c>
      <c r="N61" s="774">
        <f>SUM(I61:M61)*$N$5</f>
        <v>0</v>
      </c>
      <c r="O61" s="773">
        <f>SUM(I61:N61)</f>
        <v>0</v>
      </c>
      <c r="P61" s="786" t="s">
        <v>528</v>
      </c>
    </row>
    <row r="62" spans="2:16" s="420" customFormat="1" ht="12" thickBot="1" x14ac:dyDescent="0.25">
      <c r="B62" s="1279"/>
      <c r="C62" s="1280"/>
      <c r="D62" s="469"/>
      <c r="E62" s="470"/>
      <c r="F62" s="471"/>
      <c r="G62" s="472"/>
      <c r="H62" s="473"/>
      <c r="I62" s="474"/>
      <c r="J62" s="765"/>
      <c r="K62" s="766"/>
      <c r="L62" s="766"/>
      <c r="M62" s="766"/>
      <c r="N62" s="766"/>
      <c r="O62" s="475"/>
      <c r="P62" s="789"/>
    </row>
    <row r="63" spans="2:16" s="420" customFormat="1" ht="21.95" customHeight="1" x14ac:dyDescent="0.2">
      <c r="B63" s="1278" t="str">
        <f>'Detailed Matrix'!E9</f>
        <v>Structural Optimisation</v>
      </c>
      <c r="C63" s="1262" t="str">
        <f>'Detailed Matrix'!F9</f>
        <v>Stage 02 - Removing transfer structure and slab optimizing</v>
      </c>
      <c r="D63" s="769"/>
      <c r="E63" s="479"/>
      <c r="F63" s="480"/>
      <c r="G63" s="481"/>
      <c r="H63" s="665"/>
      <c r="I63" s="666"/>
      <c r="J63" s="667"/>
      <c r="K63" s="668"/>
      <c r="L63" s="668"/>
      <c r="M63" s="668"/>
      <c r="N63" s="668"/>
      <c r="O63" s="667"/>
      <c r="P63" s="785"/>
    </row>
    <row r="64" spans="2:16" s="420" customFormat="1" ht="21.95" customHeight="1" x14ac:dyDescent="0.2">
      <c r="B64" s="1278"/>
      <c r="C64" s="1262"/>
      <c r="D64" s="669" t="s">
        <v>577</v>
      </c>
      <c r="E64" s="749"/>
      <c r="F64" s="750"/>
      <c r="G64" s="751"/>
      <c r="H64" s="771"/>
      <c r="I64" s="772"/>
      <c r="J64" s="773"/>
      <c r="K64" s="774"/>
      <c r="L64" s="774"/>
      <c r="M64" s="774"/>
      <c r="N64" s="774"/>
      <c r="O64" s="773"/>
      <c r="P64" s="788"/>
    </row>
    <row r="65" spans="2:16" s="420" customFormat="1" ht="21.95" customHeight="1" x14ac:dyDescent="0.2">
      <c r="B65" s="1278"/>
      <c r="C65" s="1262"/>
      <c r="D65" s="757" t="s">
        <v>581</v>
      </c>
      <c r="E65" s="749"/>
      <c r="F65" s="750"/>
      <c r="G65" s="751"/>
      <c r="H65" s="771">
        <f>E65*G65</f>
        <v>0</v>
      </c>
      <c r="I65" s="772">
        <f>SUM(H64:H65)</f>
        <v>0</v>
      </c>
      <c r="J65" s="773">
        <f>I65*$J$5</f>
        <v>0</v>
      </c>
      <c r="K65" s="774">
        <f>SUM(I65:J65)*$K$5</f>
        <v>0</v>
      </c>
      <c r="L65" s="774">
        <f>SUM(I65:K65)*$L$5</f>
        <v>0</v>
      </c>
      <c r="M65" s="774">
        <f>SUM(I65:L65)*$M$5</f>
        <v>0</v>
      </c>
      <c r="N65" s="774">
        <f>SUM(I65:M65)*$N$5</f>
        <v>0</v>
      </c>
      <c r="O65" s="773">
        <f>SUM(I65:N65)</f>
        <v>0</v>
      </c>
      <c r="P65" s="786" t="s">
        <v>528</v>
      </c>
    </row>
    <row r="66" spans="2:16" s="420" customFormat="1" ht="21.95" customHeight="1" x14ac:dyDescent="0.2">
      <c r="B66" s="1278"/>
      <c r="C66" s="1262"/>
      <c r="D66" s="770"/>
      <c r="E66" s="749"/>
      <c r="F66" s="750"/>
      <c r="G66" s="751"/>
      <c r="H66" s="771"/>
      <c r="I66" s="772"/>
      <c r="J66" s="773"/>
      <c r="K66" s="774"/>
      <c r="L66" s="774"/>
      <c r="M66" s="774"/>
      <c r="N66" s="774"/>
      <c r="O66" s="773"/>
      <c r="P66" s="787"/>
    </row>
    <row r="67" spans="2:16" s="420" customFormat="1" ht="21.95" customHeight="1" x14ac:dyDescent="0.2">
      <c r="B67" s="1278"/>
      <c r="C67" s="1262"/>
      <c r="D67" s="669" t="s">
        <v>579</v>
      </c>
      <c r="E67" s="749"/>
      <c r="F67" s="750"/>
      <c r="G67" s="751"/>
      <c r="H67" s="771"/>
      <c r="I67" s="772"/>
      <c r="J67" s="773"/>
      <c r="K67" s="774"/>
      <c r="L67" s="774"/>
      <c r="M67" s="774"/>
      <c r="N67" s="774"/>
      <c r="O67" s="773"/>
      <c r="P67" s="785"/>
    </row>
    <row r="68" spans="2:16" s="420" customFormat="1" ht="21.95" customHeight="1" x14ac:dyDescent="0.2">
      <c r="B68" s="1278"/>
      <c r="C68" s="1262"/>
      <c r="D68" s="757" t="s">
        <v>581</v>
      </c>
      <c r="E68" s="749"/>
      <c r="F68" s="750"/>
      <c r="G68" s="751"/>
      <c r="H68" s="771">
        <f>E68*G68</f>
        <v>0</v>
      </c>
      <c r="I68" s="772">
        <f>SUM(H67:H68)</f>
        <v>0</v>
      </c>
      <c r="J68" s="773">
        <f>I68*$J$5</f>
        <v>0</v>
      </c>
      <c r="K68" s="774">
        <f>SUM(I68:J68)*$K$5</f>
        <v>0</v>
      </c>
      <c r="L68" s="774">
        <f>SUM(I68:K68)*$L$5</f>
        <v>0</v>
      </c>
      <c r="M68" s="774">
        <f>SUM(I68:L68)*$M$5</f>
        <v>0</v>
      </c>
      <c r="N68" s="774">
        <f>SUM(I68:M68)*$N$5</f>
        <v>0</v>
      </c>
      <c r="O68" s="773">
        <f>SUM(I68:N68)</f>
        <v>0</v>
      </c>
      <c r="P68" s="786" t="s">
        <v>528</v>
      </c>
    </row>
    <row r="69" spans="2:16" s="420" customFormat="1" ht="21.95" customHeight="1" x14ac:dyDescent="0.2">
      <c r="B69" s="1278"/>
      <c r="C69" s="1262"/>
      <c r="D69" s="770"/>
      <c r="E69" s="749"/>
      <c r="F69" s="750"/>
      <c r="G69" s="751"/>
      <c r="H69" s="771"/>
      <c r="I69" s="772"/>
      <c r="J69" s="773"/>
      <c r="K69" s="774"/>
      <c r="L69" s="774"/>
      <c r="M69" s="774"/>
      <c r="N69" s="774"/>
      <c r="O69" s="773"/>
      <c r="P69" s="788"/>
    </row>
    <row r="70" spans="2:16" s="420" customFormat="1" ht="12" thickBot="1" x14ac:dyDescent="0.25">
      <c r="B70" s="1279"/>
      <c r="C70" s="1280"/>
      <c r="D70" s="757"/>
      <c r="E70" s="657"/>
      <c r="F70" s="658"/>
      <c r="G70" s="659"/>
      <c r="H70" s="660"/>
      <c r="I70" s="661"/>
      <c r="J70" s="662"/>
      <c r="K70" s="663"/>
      <c r="L70" s="663"/>
      <c r="M70" s="663"/>
      <c r="N70" s="663"/>
      <c r="O70" s="664"/>
      <c r="P70" s="787"/>
    </row>
    <row r="71" spans="2:16" s="420" customFormat="1" ht="11.25" x14ac:dyDescent="0.2">
      <c r="B71" s="1277" t="str">
        <f>'Detailed Matrix'!E10</f>
        <v>Local Procurement and use of low carbon materials including natural, recycled and refurbished materials</v>
      </c>
      <c r="C71" s="1261" t="str">
        <f>'Detailed Matrix'!F10</f>
        <v>Stage 01 - Low target use</v>
      </c>
      <c r="D71" s="452"/>
      <c r="E71" s="453"/>
      <c r="F71" s="454"/>
      <c r="G71" s="455"/>
      <c r="H71" s="456"/>
      <c r="I71" s="457"/>
      <c r="J71" s="458"/>
      <c r="K71" s="459"/>
      <c r="L71" s="459"/>
      <c r="M71" s="459"/>
      <c r="N71" s="459"/>
      <c r="O71" s="458"/>
      <c r="P71" s="784"/>
    </row>
    <row r="72" spans="2:16" s="420" customFormat="1" ht="11.25" x14ac:dyDescent="0.2">
      <c r="B72" s="1278"/>
      <c r="C72" s="1262"/>
      <c r="D72" s="669" t="s">
        <v>577</v>
      </c>
      <c r="E72" s="479"/>
      <c r="F72" s="480"/>
      <c r="G72" s="481"/>
      <c r="H72" s="665"/>
      <c r="I72" s="666"/>
      <c r="J72" s="667"/>
      <c r="K72" s="668"/>
      <c r="L72" s="668"/>
      <c r="M72" s="668"/>
      <c r="N72" s="668"/>
      <c r="O72" s="667"/>
      <c r="P72" s="785"/>
    </row>
    <row r="73" spans="2:16" s="420" customFormat="1" ht="11.25" x14ac:dyDescent="0.2">
      <c r="B73" s="1278"/>
      <c r="C73" s="1262"/>
      <c r="D73" s="460" t="s">
        <v>586</v>
      </c>
      <c r="E73" s="461">
        <v>1</v>
      </c>
      <c r="F73" s="462" t="s">
        <v>576</v>
      </c>
      <c r="G73" s="463">
        <v>0</v>
      </c>
      <c r="H73" s="464">
        <f>E73*G73</f>
        <v>0</v>
      </c>
      <c r="I73" s="465">
        <f>SUM(H72:H73)</f>
        <v>0</v>
      </c>
      <c r="J73" s="466">
        <f>I73*$J$5</f>
        <v>0</v>
      </c>
      <c r="K73" s="467">
        <f>SUM(I73:J73)*$K$5</f>
        <v>0</v>
      </c>
      <c r="L73" s="467">
        <f>SUM(I73:K73)*$L$5</f>
        <v>0</v>
      </c>
      <c r="M73" s="467">
        <f>SUM(I73:L73)*$M$5</f>
        <v>0</v>
      </c>
      <c r="N73" s="467">
        <f>SUM(I73:M73)*$N$5</f>
        <v>0</v>
      </c>
      <c r="O73" s="468">
        <f>SUM(I73:N73)</f>
        <v>0</v>
      </c>
      <c r="P73" s="786">
        <f>ROUND(O73,-3)</f>
        <v>0</v>
      </c>
    </row>
    <row r="74" spans="2:16" s="420" customFormat="1" ht="11.25" x14ac:dyDescent="0.2">
      <c r="B74" s="1278"/>
      <c r="C74" s="1262"/>
      <c r="D74" s="769"/>
      <c r="E74" s="479"/>
      <c r="F74" s="480"/>
      <c r="G74" s="481"/>
      <c r="H74" s="665"/>
      <c r="I74" s="666"/>
      <c r="J74" s="775"/>
      <c r="K74" s="776"/>
      <c r="L74" s="776"/>
      <c r="M74" s="776"/>
      <c r="N74" s="776"/>
      <c r="O74" s="667"/>
      <c r="P74" s="785"/>
    </row>
    <row r="75" spans="2:16" s="420" customFormat="1" ht="11.25" x14ac:dyDescent="0.2">
      <c r="B75" s="1278"/>
      <c r="C75" s="1262"/>
      <c r="D75" s="669" t="s">
        <v>579</v>
      </c>
      <c r="E75" s="479"/>
      <c r="F75" s="480"/>
      <c r="G75" s="481"/>
      <c r="H75" s="665"/>
      <c r="I75" s="666"/>
      <c r="J75" s="667"/>
      <c r="K75" s="668"/>
      <c r="L75" s="668"/>
      <c r="M75" s="668"/>
      <c r="N75" s="668"/>
      <c r="O75" s="667"/>
      <c r="P75" s="785"/>
    </row>
    <row r="76" spans="2:16" s="420" customFormat="1" ht="11.25" x14ac:dyDescent="0.2">
      <c r="B76" s="1278"/>
      <c r="C76" s="1262"/>
      <c r="D76" s="460" t="s">
        <v>586</v>
      </c>
      <c r="E76" s="461">
        <v>1</v>
      </c>
      <c r="F76" s="462" t="s">
        <v>576</v>
      </c>
      <c r="G76" s="463">
        <v>175000</v>
      </c>
      <c r="H76" s="464">
        <f>E76*G76</f>
        <v>175000</v>
      </c>
      <c r="I76" s="465">
        <f>SUM(H75:H76)</f>
        <v>175000</v>
      </c>
      <c r="J76" s="466">
        <f>I76*$J$5</f>
        <v>22750</v>
      </c>
      <c r="K76" s="467">
        <f>SUM(I76:J76)*$K$5</f>
        <v>8898.75</v>
      </c>
      <c r="L76" s="467">
        <f>SUM(I76:K76)*$L$5</f>
        <v>11365.68125</v>
      </c>
      <c r="M76" s="467">
        <f>SUM(I76:L76)*$M$5</f>
        <v>13080.865875</v>
      </c>
      <c r="N76" s="467">
        <f>SUM(I76:M76)*$N$5</f>
        <v>23109.5297125</v>
      </c>
      <c r="O76" s="468">
        <f>SUM(I76:N76)</f>
        <v>254204.82683749998</v>
      </c>
      <c r="P76" s="786">
        <f>ROUND(O76,-3)</f>
        <v>254000</v>
      </c>
    </row>
    <row r="77" spans="2:16" s="420" customFormat="1" ht="12" thickBot="1" x14ac:dyDescent="0.25">
      <c r="B77" s="1279"/>
      <c r="C77" s="1280"/>
      <c r="D77" s="757"/>
      <c r="E77" s="657"/>
      <c r="F77" s="658"/>
      <c r="G77" s="659"/>
      <c r="H77" s="660"/>
      <c r="I77" s="661"/>
      <c r="J77" s="662"/>
      <c r="K77" s="663"/>
      <c r="L77" s="663"/>
      <c r="M77" s="663"/>
      <c r="N77" s="663"/>
      <c r="O77" s="664"/>
      <c r="P77" s="787"/>
    </row>
    <row r="78" spans="2:16" s="420" customFormat="1" ht="11.25" x14ac:dyDescent="0.2">
      <c r="B78" s="1277" t="str">
        <f>'Detailed Matrix'!E11</f>
        <v>Local Procurement and use of low carbon materials including natural, recycled and refurbished materials</v>
      </c>
      <c r="C78" s="1261" t="str">
        <f>'Detailed Matrix'!F11</f>
        <v>Stage 02 - Medium target use</v>
      </c>
      <c r="D78" s="452"/>
      <c r="E78" s="453"/>
      <c r="F78" s="454"/>
      <c r="G78" s="455"/>
      <c r="H78" s="456"/>
      <c r="I78" s="457"/>
      <c r="J78" s="458"/>
      <c r="K78" s="459"/>
      <c r="L78" s="459"/>
      <c r="M78" s="459"/>
      <c r="N78" s="459"/>
      <c r="O78" s="458"/>
      <c r="P78" s="784"/>
    </row>
    <row r="79" spans="2:16" s="420" customFormat="1" ht="11.25" x14ac:dyDescent="0.2">
      <c r="B79" s="1278"/>
      <c r="C79" s="1262"/>
      <c r="D79" s="669" t="s">
        <v>577</v>
      </c>
      <c r="E79" s="479"/>
      <c r="F79" s="480"/>
      <c r="G79" s="481"/>
      <c r="H79" s="665"/>
      <c r="I79" s="666"/>
      <c r="J79" s="667"/>
      <c r="K79" s="668"/>
      <c r="L79" s="668"/>
      <c r="M79" s="668"/>
      <c r="N79" s="668"/>
      <c r="O79" s="667"/>
      <c r="P79" s="785"/>
    </row>
    <row r="80" spans="2:16" s="420" customFormat="1" ht="11.25" x14ac:dyDescent="0.2">
      <c r="B80" s="1278"/>
      <c r="C80" s="1262"/>
      <c r="D80" s="769" t="s">
        <v>586</v>
      </c>
      <c r="E80" s="479">
        <v>1</v>
      </c>
      <c r="F80" s="480" t="s">
        <v>576</v>
      </c>
      <c r="G80" s="481">
        <v>175000</v>
      </c>
      <c r="H80" s="464">
        <f>E80*G80</f>
        <v>175000</v>
      </c>
      <c r="I80" s="666"/>
      <c r="J80" s="667"/>
      <c r="K80" s="668"/>
      <c r="L80" s="668"/>
      <c r="M80" s="668"/>
      <c r="N80" s="668"/>
      <c r="O80" s="667"/>
      <c r="P80" s="785"/>
    </row>
    <row r="81" spans="2:16" s="420" customFormat="1" ht="11.25" x14ac:dyDescent="0.2">
      <c r="B81" s="1278"/>
      <c r="C81" s="1262"/>
      <c r="D81" s="460" t="s">
        <v>548</v>
      </c>
      <c r="E81" s="461">
        <f>-E73</f>
        <v>-1</v>
      </c>
      <c r="F81" s="462" t="s">
        <v>576</v>
      </c>
      <c r="G81" s="463">
        <f>G73</f>
        <v>0</v>
      </c>
      <c r="H81" s="464">
        <f>E81*G81</f>
        <v>0</v>
      </c>
      <c r="I81" s="465">
        <f>SUM(H79:H81)</f>
        <v>175000</v>
      </c>
      <c r="J81" s="466">
        <f>I81*$J$5</f>
        <v>22750</v>
      </c>
      <c r="K81" s="467">
        <f>SUM(I81:J81)*$K$5</f>
        <v>8898.75</v>
      </c>
      <c r="L81" s="467">
        <f>SUM(I81:K81)*$L$5</f>
        <v>11365.68125</v>
      </c>
      <c r="M81" s="467">
        <f>SUM(I81:L81)*$M$5</f>
        <v>13080.865875</v>
      </c>
      <c r="N81" s="467">
        <f>SUM(I81:M81)*$N$5</f>
        <v>23109.5297125</v>
      </c>
      <c r="O81" s="468">
        <f>SUM(I81:N81)</f>
        <v>254204.82683749998</v>
      </c>
      <c r="P81" s="786">
        <f>ROUND(O81,-3)</f>
        <v>254000</v>
      </c>
    </row>
    <row r="82" spans="2:16" s="420" customFormat="1" ht="11.25" x14ac:dyDescent="0.2">
      <c r="B82" s="1278"/>
      <c r="C82" s="1262"/>
      <c r="D82" s="769"/>
      <c r="E82" s="479"/>
      <c r="F82" s="480"/>
      <c r="G82" s="481"/>
      <c r="H82" s="665"/>
      <c r="I82" s="666"/>
      <c r="J82" s="775"/>
      <c r="K82" s="776"/>
      <c r="L82" s="776"/>
      <c r="M82" s="776"/>
      <c r="N82" s="776"/>
      <c r="O82" s="667"/>
      <c r="P82" s="785"/>
    </row>
    <row r="83" spans="2:16" s="420" customFormat="1" ht="11.25" x14ac:dyDescent="0.2">
      <c r="B83" s="1278"/>
      <c r="C83" s="1262"/>
      <c r="D83" s="669" t="s">
        <v>579</v>
      </c>
      <c r="E83" s="479"/>
      <c r="F83" s="480"/>
      <c r="G83" s="481"/>
      <c r="H83" s="665"/>
      <c r="I83" s="666"/>
      <c r="J83" s="667"/>
      <c r="K83" s="668"/>
      <c r="L83" s="668"/>
      <c r="M83" s="668"/>
      <c r="N83" s="668"/>
      <c r="O83" s="667"/>
      <c r="P83" s="785"/>
    </row>
    <row r="84" spans="2:16" s="420" customFormat="1" ht="11.25" x14ac:dyDescent="0.2">
      <c r="B84" s="1278"/>
      <c r="C84" s="1262"/>
      <c r="D84" s="769" t="s">
        <v>586</v>
      </c>
      <c r="E84" s="479">
        <v>1</v>
      </c>
      <c r="F84" s="480" t="s">
        <v>576</v>
      </c>
      <c r="G84" s="481">
        <v>500000</v>
      </c>
      <c r="H84" s="464">
        <f>E84*G84</f>
        <v>500000</v>
      </c>
      <c r="I84" s="666"/>
      <c r="J84" s="667"/>
      <c r="K84" s="668"/>
      <c r="L84" s="668"/>
      <c r="M84" s="668"/>
      <c r="N84" s="668"/>
      <c r="O84" s="667"/>
      <c r="P84" s="785"/>
    </row>
    <row r="85" spans="2:16" s="420" customFormat="1" ht="11.25" x14ac:dyDescent="0.2">
      <c r="B85" s="1278"/>
      <c r="C85" s="1262"/>
      <c r="D85" s="460" t="s">
        <v>548</v>
      </c>
      <c r="E85" s="461">
        <f>-E76</f>
        <v>-1</v>
      </c>
      <c r="F85" s="462" t="s">
        <v>576</v>
      </c>
      <c r="G85" s="463">
        <f>G76</f>
        <v>175000</v>
      </c>
      <c r="H85" s="464">
        <f>E85*G85</f>
        <v>-175000</v>
      </c>
      <c r="I85" s="465">
        <f>SUM(H83:H85)</f>
        <v>325000</v>
      </c>
      <c r="J85" s="466">
        <f>I85*$J$5</f>
        <v>42250</v>
      </c>
      <c r="K85" s="467">
        <f>SUM(I85:J85)*$K$5</f>
        <v>16526.25</v>
      </c>
      <c r="L85" s="467">
        <f>SUM(I85:K85)*$L$5</f>
        <v>21107.693749999999</v>
      </c>
      <c r="M85" s="467">
        <f>SUM(I85:L85)*$M$5</f>
        <v>24293.036624999997</v>
      </c>
      <c r="N85" s="467">
        <f>SUM(I85:M85)*$N$5</f>
        <v>42917.698037499998</v>
      </c>
      <c r="O85" s="468">
        <f>SUM(I85:N85)</f>
        <v>472094.67841249995</v>
      </c>
      <c r="P85" s="786">
        <f>ROUND(O85,-3)</f>
        <v>472000</v>
      </c>
    </row>
    <row r="86" spans="2:16" s="420" customFormat="1" ht="12" thickBot="1" x14ac:dyDescent="0.25">
      <c r="B86" s="1279"/>
      <c r="C86" s="1280"/>
      <c r="D86" s="757"/>
      <c r="E86" s="657"/>
      <c r="F86" s="658"/>
      <c r="G86" s="659"/>
      <c r="H86" s="660"/>
      <c r="I86" s="661"/>
      <c r="J86" s="662"/>
      <c r="K86" s="663"/>
      <c r="L86" s="663"/>
      <c r="M86" s="663"/>
      <c r="N86" s="663"/>
      <c r="O86" s="664"/>
      <c r="P86" s="787"/>
    </row>
    <row r="87" spans="2:16" s="420" customFormat="1" ht="11.25" x14ac:dyDescent="0.2">
      <c r="B87" s="1277" t="str">
        <f>'Detailed Matrix'!E12</f>
        <v>Local Procurement and use of low carbon materials including natural, recycled and refurbished materials</v>
      </c>
      <c r="C87" s="1261" t="str">
        <f>'Detailed Matrix'!F12</f>
        <v>Stage 03 - Maximum target use</v>
      </c>
      <c r="D87" s="452"/>
      <c r="E87" s="453"/>
      <c r="F87" s="454"/>
      <c r="G87" s="455"/>
      <c r="H87" s="456"/>
      <c r="I87" s="457"/>
      <c r="J87" s="458"/>
      <c r="K87" s="459"/>
      <c r="L87" s="459"/>
      <c r="M87" s="459"/>
      <c r="N87" s="459"/>
      <c r="O87" s="458"/>
      <c r="P87" s="784"/>
    </row>
    <row r="88" spans="2:16" s="420" customFormat="1" ht="11.25" x14ac:dyDescent="0.2">
      <c r="B88" s="1278"/>
      <c r="C88" s="1262"/>
      <c r="D88" s="669" t="s">
        <v>577</v>
      </c>
      <c r="E88" s="479"/>
      <c r="F88" s="480"/>
      <c r="G88" s="481"/>
      <c r="H88" s="665"/>
      <c r="I88" s="666"/>
      <c r="J88" s="667"/>
      <c r="K88" s="668"/>
      <c r="L88" s="668"/>
      <c r="M88" s="668"/>
      <c r="N88" s="668"/>
      <c r="O88" s="667"/>
      <c r="P88" s="785"/>
    </row>
    <row r="89" spans="2:16" s="420" customFormat="1" ht="11.25" x14ac:dyDescent="0.2">
      <c r="B89" s="1278"/>
      <c r="C89" s="1262"/>
      <c r="D89" s="769" t="s">
        <v>586</v>
      </c>
      <c r="E89" s="479">
        <v>1</v>
      </c>
      <c r="F89" s="480" t="s">
        <v>576</v>
      </c>
      <c r="G89" s="481">
        <v>500000</v>
      </c>
      <c r="H89" s="464">
        <f>E89*G89</f>
        <v>500000</v>
      </c>
      <c r="I89" s="666"/>
      <c r="J89" s="667"/>
      <c r="K89" s="668"/>
      <c r="L89" s="668"/>
      <c r="M89" s="668"/>
      <c r="N89" s="668"/>
      <c r="O89" s="667"/>
      <c r="P89" s="785"/>
    </row>
    <row r="90" spans="2:16" s="420" customFormat="1" ht="11.25" x14ac:dyDescent="0.2">
      <c r="B90" s="1278"/>
      <c r="C90" s="1262"/>
      <c r="D90" s="460" t="s">
        <v>587</v>
      </c>
      <c r="E90" s="461">
        <f>-E80</f>
        <v>-1</v>
      </c>
      <c r="F90" s="462" t="s">
        <v>576</v>
      </c>
      <c r="G90" s="463">
        <f>G80</f>
        <v>175000</v>
      </c>
      <c r="H90" s="464">
        <f>E90*G90</f>
        <v>-175000</v>
      </c>
      <c r="I90" s="465">
        <f>SUM(H88:H90)</f>
        <v>325000</v>
      </c>
      <c r="J90" s="466">
        <f>I90*$J$5</f>
        <v>42250</v>
      </c>
      <c r="K90" s="467">
        <f>SUM(I90:J90)*$K$5</f>
        <v>16526.25</v>
      </c>
      <c r="L90" s="467">
        <f>SUM(I90:K90)*$L$5</f>
        <v>21107.693749999999</v>
      </c>
      <c r="M90" s="467">
        <f>SUM(I90:L90)*$M$5</f>
        <v>24293.036624999997</v>
      </c>
      <c r="N90" s="467">
        <f>SUM(I90:M90)*$N$5</f>
        <v>42917.698037499998</v>
      </c>
      <c r="O90" s="468">
        <f>SUM(I90:N90)</f>
        <v>472094.67841249995</v>
      </c>
      <c r="P90" s="786">
        <f>ROUND(O90,-3)</f>
        <v>472000</v>
      </c>
    </row>
    <row r="91" spans="2:16" s="420" customFormat="1" ht="11.25" x14ac:dyDescent="0.2">
      <c r="B91" s="1278"/>
      <c r="C91" s="1262"/>
      <c r="D91" s="769"/>
      <c r="E91" s="479"/>
      <c r="F91" s="480"/>
      <c r="G91" s="481"/>
      <c r="H91" s="665"/>
      <c r="I91" s="666"/>
      <c r="J91" s="775"/>
      <c r="K91" s="776"/>
      <c r="L91" s="776"/>
      <c r="M91" s="776"/>
      <c r="N91" s="776"/>
      <c r="O91" s="667"/>
      <c r="P91" s="785"/>
    </row>
    <row r="92" spans="2:16" s="420" customFormat="1" ht="11.25" x14ac:dyDescent="0.2">
      <c r="B92" s="1278"/>
      <c r="C92" s="1262"/>
      <c r="D92" s="669" t="s">
        <v>579</v>
      </c>
      <c r="E92" s="479"/>
      <c r="F92" s="480"/>
      <c r="G92" s="481"/>
      <c r="H92" s="665"/>
      <c r="I92" s="666"/>
      <c r="J92" s="667"/>
      <c r="K92" s="668"/>
      <c r="L92" s="668"/>
      <c r="M92" s="668"/>
      <c r="N92" s="668"/>
      <c r="O92" s="667"/>
      <c r="P92" s="785"/>
    </row>
    <row r="93" spans="2:16" s="420" customFormat="1" ht="11.25" x14ac:dyDescent="0.2">
      <c r="B93" s="1278"/>
      <c r="C93" s="1262"/>
      <c r="D93" s="769" t="s">
        <v>586</v>
      </c>
      <c r="E93" s="479">
        <v>1</v>
      </c>
      <c r="F93" s="480" t="s">
        <v>576</v>
      </c>
      <c r="G93" s="481">
        <v>1200000</v>
      </c>
      <c r="H93" s="464">
        <f>E93*G93</f>
        <v>1200000</v>
      </c>
      <c r="I93" s="666"/>
      <c r="J93" s="667"/>
      <c r="K93" s="668"/>
      <c r="L93" s="668"/>
      <c r="M93" s="668"/>
      <c r="N93" s="668"/>
      <c r="O93" s="667"/>
      <c r="P93" s="785"/>
    </row>
    <row r="94" spans="2:16" s="420" customFormat="1" ht="11.25" x14ac:dyDescent="0.2">
      <c r="B94" s="1278"/>
      <c r="C94" s="1262"/>
      <c r="D94" s="460" t="s">
        <v>587</v>
      </c>
      <c r="E94" s="461">
        <f>-E84</f>
        <v>-1</v>
      </c>
      <c r="F94" s="462" t="s">
        <v>576</v>
      </c>
      <c r="G94" s="463">
        <f>G84</f>
        <v>500000</v>
      </c>
      <c r="H94" s="464">
        <f>E94*G94</f>
        <v>-500000</v>
      </c>
      <c r="I94" s="465">
        <f>SUM(H92:H94)</f>
        <v>700000</v>
      </c>
      <c r="J94" s="466">
        <f>I94*$J$5</f>
        <v>91000</v>
      </c>
      <c r="K94" s="467">
        <f>SUM(I94:J94)*$K$5</f>
        <v>35595</v>
      </c>
      <c r="L94" s="467">
        <f>SUM(I94:K94)*$L$5</f>
        <v>45462.724999999999</v>
      </c>
      <c r="M94" s="467">
        <f>SUM(I94:L94)*$M$5</f>
        <v>52323.463499999998</v>
      </c>
      <c r="N94" s="467">
        <f>SUM(I94:M94)*$N$5</f>
        <v>92438.118849999999</v>
      </c>
      <c r="O94" s="468">
        <f>SUM(I94:N94)</f>
        <v>1016819.3073499999</v>
      </c>
      <c r="P94" s="786">
        <f>ROUND(O94,-3)</f>
        <v>1017000</v>
      </c>
    </row>
    <row r="95" spans="2:16" s="420" customFormat="1" ht="12" thickBot="1" x14ac:dyDescent="0.25">
      <c r="B95" s="1279"/>
      <c r="C95" s="1280"/>
      <c r="D95" s="757"/>
      <c r="E95" s="657"/>
      <c r="F95" s="658"/>
      <c r="G95" s="659"/>
      <c r="H95" s="660"/>
      <c r="I95" s="661"/>
      <c r="J95" s="662"/>
      <c r="K95" s="663"/>
      <c r="L95" s="663"/>
      <c r="M95" s="663"/>
      <c r="N95" s="663"/>
      <c r="O95" s="664"/>
      <c r="P95" s="787"/>
    </row>
    <row r="96" spans="2:16" s="420" customFormat="1" ht="11.25" x14ac:dyDescent="0.2">
      <c r="B96" s="1277" t="str">
        <f>'Detailed Matrix'!E13</f>
        <v>Retention of existign structures</v>
      </c>
      <c r="C96" s="1261" t="str">
        <f>'Detailed Matrix'!F13</f>
        <v>Retention of existing structures</v>
      </c>
      <c r="D96" s="452"/>
      <c r="E96" s="453"/>
      <c r="F96" s="454"/>
      <c r="G96" s="455"/>
      <c r="H96" s="456"/>
      <c r="I96" s="457"/>
      <c r="J96" s="458"/>
      <c r="K96" s="459"/>
      <c r="L96" s="459"/>
      <c r="M96" s="459"/>
      <c r="N96" s="459"/>
      <c r="O96" s="458"/>
      <c r="P96" s="784"/>
    </row>
    <row r="97" spans="2:16" s="420" customFormat="1" ht="11.25" x14ac:dyDescent="0.2">
      <c r="B97" s="1278"/>
      <c r="C97" s="1262"/>
      <c r="D97" s="669" t="s">
        <v>577</v>
      </c>
      <c r="E97" s="479"/>
      <c r="F97" s="480"/>
      <c r="G97" s="481"/>
      <c r="H97" s="665"/>
      <c r="I97" s="666"/>
      <c r="J97" s="667"/>
      <c r="K97" s="668"/>
      <c r="L97" s="668"/>
      <c r="M97" s="668"/>
      <c r="N97" s="668"/>
      <c r="O97" s="667"/>
      <c r="P97" s="785"/>
    </row>
    <row r="98" spans="2:16" s="420" customFormat="1" ht="11.25" x14ac:dyDescent="0.2">
      <c r="B98" s="1278"/>
      <c r="C98" s="1262"/>
      <c r="D98" s="460"/>
      <c r="E98" s="461"/>
      <c r="F98" s="462"/>
      <c r="G98" s="463"/>
      <c r="H98" s="464">
        <f>E98*G98</f>
        <v>0</v>
      </c>
      <c r="I98" s="465">
        <f>SUM(H97:H98)</f>
        <v>0</v>
      </c>
      <c r="J98" s="466">
        <f>I98*$J$5</f>
        <v>0</v>
      </c>
      <c r="K98" s="467">
        <f>SUM(I98:J98)*$K$5</f>
        <v>0</v>
      </c>
      <c r="L98" s="467">
        <f>SUM(I98:K98)*$L$5</f>
        <v>0</v>
      </c>
      <c r="M98" s="467">
        <f>SUM(I98:L98)*$M$5</f>
        <v>0</v>
      </c>
      <c r="N98" s="467">
        <f>SUM(I98:M98)*$N$5</f>
        <v>0</v>
      </c>
      <c r="O98" s="468">
        <f>SUM(I98:N98)</f>
        <v>0</v>
      </c>
      <c r="P98" s="786" t="s">
        <v>524</v>
      </c>
    </row>
    <row r="99" spans="2:16" s="420" customFormat="1" ht="11.25" x14ac:dyDescent="0.2">
      <c r="B99" s="1278"/>
      <c r="C99" s="1262"/>
      <c r="D99" s="769"/>
      <c r="E99" s="479"/>
      <c r="F99" s="480"/>
      <c r="G99" s="481"/>
      <c r="H99" s="665"/>
      <c r="I99" s="666"/>
      <c r="J99" s="775"/>
      <c r="K99" s="776"/>
      <c r="L99" s="776"/>
      <c r="M99" s="776"/>
      <c r="N99" s="776"/>
      <c r="O99" s="667"/>
      <c r="P99" s="785"/>
    </row>
    <row r="100" spans="2:16" s="420" customFormat="1" ht="11.25" x14ac:dyDescent="0.2">
      <c r="B100" s="1278"/>
      <c r="C100" s="1262"/>
      <c r="D100" s="669" t="s">
        <v>579</v>
      </c>
      <c r="E100" s="479"/>
      <c r="F100" s="480"/>
      <c r="G100" s="481"/>
      <c r="H100" s="665"/>
      <c r="I100" s="666"/>
      <c r="J100" s="667"/>
      <c r="K100" s="668"/>
      <c r="L100" s="668"/>
      <c r="M100" s="668"/>
      <c r="N100" s="668"/>
      <c r="O100" s="667"/>
      <c r="P100" s="785"/>
    </row>
    <row r="101" spans="2:16" s="420" customFormat="1" ht="11.25" x14ac:dyDescent="0.2">
      <c r="B101" s="1278"/>
      <c r="C101" s="1262"/>
      <c r="D101" s="460"/>
      <c r="E101" s="461"/>
      <c r="F101" s="462"/>
      <c r="G101" s="463"/>
      <c r="H101" s="464">
        <f>E101*G101</f>
        <v>0</v>
      </c>
      <c r="I101" s="465">
        <f>SUM(H100:H101)</f>
        <v>0</v>
      </c>
      <c r="J101" s="466">
        <f>I101*$J$5</f>
        <v>0</v>
      </c>
      <c r="K101" s="467">
        <f>SUM(I101:J101)*$K$5</f>
        <v>0</v>
      </c>
      <c r="L101" s="467">
        <f>SUM(I101:K101)*$L$5</f>
        <v>0</v>
      </c>
      <c r="M101" s="467">
        <f>SUM(I101:L101)*$M$5</f>
        <v>0</v>
      </c>
      <c r="N101" s="467">
        <f>SUM(I101:M101)*$N$5</f>
        <v>0</v>
      </c>
      <c r="O101" s="468">
        <f>SUM(I101:N101)</f>
        <v>0</v>
      </c>
      <c r="P101" s="786" t="s">
        <v>524</v>
      </c>
    </row>
    <row r="102" spans="2:16" s="420" customFormat="1" ht="12" thickBot="1" x14ac:dyDescent="0.25">
      <c r="B102" s="1279"/>
      <c r="C102" s="1280"/>
      <c r="D102" s="757"/>
      <c r="E102" s="657"/>
      <c r="F102" s="658"/>
      <c r="G102" s="659"/>
      <c r="H102" s="660"/>
      <c r="I102" s="661"/>
      <c r="J102" s="662"/>
      <c r="K102" s="663"/>
      <c r="L102" s="663"/>
      <c r="M102" s="663"/>
      <c r="N102" s="663"/>
      <c r="O102" s="664"/>
      <c r="P102" s="787"/>
    </row>
    <row r="103" spans="2:16" s="420" customFormat="1" ht="11.25" x14ac:dyDescent="0.2">
      <c r="B103" s="1274" t="str">
        <f>'Detailed Matrix'!E14</f>
        <v>Utilising exposed soffits</v>
      </c>
      <c r="C103" s="1271" t="str">
        <f>'Detailed Matrix'!F14</f>
        <v>Removal of suspended/ plasterboard ceilings and utilsie exposed soffits</v>
      </c>
      <c r="D103" s="452"/>
      <c r="E103" s="453"/>
      <c r="F103" s="454"/>
      <c r="G103" s="455"/>
      <c r="H103" s="456"/>
      <c r="I103" s="457"/>
      <c r="J103" s="458"/>
      <c r="K103" s="459"/>
      <c r="L103" s="459"/>
      <c r="M103" s="459"/>
      <c r="N103" s="459"/>
      <c r="O103" s="458"/>
      <c r="P103" s="784"/>
    </row>
    <row r="104" spans="2:16" s="420" customFormat="1" ht="11.25" x14ac:dyDescent="0.2">
      <c r="B104" s="1275"/>
      <c r="C104" s="1272"/>
      <c r="D104" s="669" t="s">
        <v>577</v>
      </c>
      <c r="E104" s="479"/>
      <c r="F104" s="480"/>
      <c r="G104" s="481"/>
      <c r="H104" s="665"/>
      <c r="I104" s="666"/>
      <c r="J104" s="667"/>
      <c r="K104" s="668"/>
      <c r="L104" s="668"/>
      <c r="M104" s="668"/>
      <c r="N104" s="668"/>
      <c r="O104" s="667"/>
      <c r="P104" s="785"/>
    </row>
    <row r="105" spans="2:16" s="420" customFormat="1" ht="11.25" x14ac:dyDescent="0.2">
      <c r="B105" s="1275"/>
      <c r="C105" s="1272"/>
      <c r="D105" s="460" t="s">
        <v>588</v>
      </c>
      <c r="E105" s="461"/>
      <c r="F105" s="462"/>
      <c r="G105" s="463"/>
      <c r="H105" s="464"/>
      <c r="I105" s="465"/>
      <c r="J105" s="468"/>
      <c r="K105" s="566"/>
      <c r="L105" s="566"/>
      <c r="M105" s="566"/>
      <c r="N105" s="566"/>
      <c r="O105" s="468"/>
      <c r="P105" s="786"/>
    </row>
    <row r="106" spans="2:16" s="420" customFormat="1" ht="11.25" x14ac:dyDescent="0.2">
      <c r="B106" s="1275"/>
      <c r="C106" s="1272"/>
      <c r="D106" s="567" t="s">
        <v>589</v>
      </c>
      <c r="E106" s="568">
        <v>0.25</v>
      </c>
      <c r="F106" s="462"/>
      <c r="G106" s="463"/>
      <c r="H106" s="464"/>
      <c r="I106" s="465"/>
      <c r="J106" s="468"/>
      <c r="K106" s="566"/>
      <c r="L106" s="566"/>
      <c r="M106" s="566"/>
      <c r="N106" s="566"/>
      <c r="O106" s="468"/>
      <c r="P106" s="786"/>
    </row>
    <row r="107" spans="2:16" s="420" customFormat="1" ht="11.25" x14ac:dyDescent="0.2">
      <c r="B107" s="1275"/>
      <c r="C107" s="1272"/>
      <c r="D107" s="567" t="s">
        <v>590</v>
      </c>
      <c r="E107" s="461">
        <f>'Key Data'!$B$12*$E$106</f>
        <v>2922</v>
      </c>
      <c r="F107" s="462" t="s">
        <v>9</v>
      </c>
      <c r="G107" s="463">
        <v>-50</v>
      </c>
      <c r="H107" s="464">
        <f t="shared" ref="H107:H109" si="9">E107*G107</f>
        <v>-146100</v>
      </c>
      <c r="I107" s="465"/>
      <c r="J107" s="468"/>
      <c r="K107" s="566"/>
      <c r="L107" s="566"/>
      <c r="M107" s="566"/>
      <c r="N107" s="566"/>
      <c r="O107" s="468"/>
      <c r="P107" s="786"/>
    </row>
    <row r="108" spans="2:16" s="420" customFormat="1" ht="11.25" x14ac:dyDescent="0.2">
      <c r="B108" s="1275"/>
      <c r="C108" s="1272"/>
      <c r="D108" s="460"/>
      <c r="E108" s="461"/>
      <c r="F108" s="462"/>
      <c r="G108" s="463"/>
      <c r="H108" s="464"/>
      <c r="I108" s="465"/>
      <c r="J108" s="468"/>
      <c r="K108" s="566"/>
      <c r="L108" s="566"/>
      <c r="M108" s="566"/>
      <c r="N108" s="566"/>
      <c r="O108" s="468"/>
      <c r="P108" s="786"/>
    </row>
    <row r="109" spans="2:16" s="420" customFormat="1" ht="11.25" x14ac:dyDescent="0.2">
      <c r="B109" s="1275"/>
      <c r="C109" s="1272"/>
      <c r="D109" s="569" t="s">
        <v>591</v>
      </c>
      <c r="E109" s="461">
        <f>E107</f>
        <v>2922</v>
      </c>
      <c r="F109" s="462" t="s">
        <v>9</v>
      </c>
      <c r="G109" s="463">
        <v>25</v>
      </c>
      <c r="H109" s="464">
        <f t="shared" si="9"/>
        <v>73050</v>
      </c>
      <c r="I109" s="465"/>
      <c r="J109" s="468"/>
      <c r="K109" s="566"/>
      <c r="L109" s="566"/>
      <c r="M109" s="566"/>
      <c r="N109" s="566"/>
      <c r="O109" s="468"/>
      <c r="P109" s="786"/>
    </row>
    <row r="110" spans="2:16" s="420" customFormat="1" ht="11.25" x14ac:dyDescent="0.2">
      <c r="B110" s="1275"/>
      <c r="C110" s="1272"/>
      <c r="D110" s="460"/>
      <c r="E110" s="461"/>
      <c r="F110" s="462"/>
      <c r="G110" s="463"/>
      <c r="H110" s="464">
        <f>E110*G110</f>
        <v>0</v>
      </c>
      <c r="I110" s="465">
        <f>SUM(H103:H110)</f>
        <v>-73050</v>
      </c>
      <c r="J110" s="466">
        <f>I110*$J$5</f>
        <v>-9496.5</v>
      </c>
      <c r="K110" s="467">
        <f>SUM(I110:J110)*$K$5</f>
        <v>-3714.5924999999997</v>
      </c>
      <c r="L110" s="467">
        <f>SUM(I110:K110)*$L$5</f>
        <v>-4744.3600875000002</v>
      </c>
      <c r="M110" s="467">
        <f>SUM(I110:L110)*$M$5</f>
        <v>-5460.3271552499991</v>
      </c>
      <c r="N110" s="467">
        <f>SUM(I110:M110)*$N$5</f>
        <v>-9646.5779742750001</v>
      </c>
      <c r="O110" s="468">
        <f>SUM(I110:N110)</f>
        <v>-106112.35771702499</v>
      </c>
      <c r="P110" s="786">
        <f>ROUND(O110,-3)</f>
        <v>-106000</v>
      </c>
    </row>
    <row r="111" spans="2:16" s="420" customFormat="1" ht="11.25" x14ac:dyDescent="0.2">
      <c r="B111" s="1275"/>
      <c r="C111" s="1272"/>
      <c r="D111" s="669" t="s">
        <v>579</v>
      </c>
      <c r="E111" s="657"/>
      <c r="F111" s="658"/>
      <c r="G111" s="659"/>
      <c r="H111" s="660"/>
      <c r="I111" s="661"/>
      <c r="J111" s="662"/>
      <c r="K111" s="663"/>
      <c r="L111" s="663"/>
      <c r="M111" s="663"/>
      <c r="N111" s="663"/>
      <c r="O111" s="664"/>
      <c r="P111" s="787"/>
    </row>
    <row r="112" spans="2:16" s="420" customFormat="1" ht="11.25" x14ac:dyDescent="0.2">
      <c r="B112" s="1275"/>
      <c r="C112" s="1272"/>
      <c r="D112" s="460" t="s">
        <v>588</v>
      </c>
      <c r="E112" s="461"/>
      <c r="F112" s="462"/>
      <c r="G112" s="463"/>
      <c r="H112" s="464"/>
      <c r="I112" s="465"/>
      <c r="J112" s="468"/>
      <c r="K112" s="566"/>
      <c r="L112" s="566"/>
      <c r="M112" s="566"/>
      <c r="N112" s="566"/>
      <c r="O112" s="468"/>
      <c r="P112" s="786"/>
    </row>
    <row r="113" spans="2:16" s="420" customFormat="1" ht="11.25" x14ac:dyDescent="0.2">
      <c r="B113" s="1275"/>
      <c r="C113" s="1272"/>
      <c r="D113" s="567" t="s">
        <v>589</v>
      </c>
      <c r="E113" s="568">
        <v>0.75</v>
      </c>
      <c r="F113" s="462"/>
      <c r="G113" s="463"/>
      <c r="H113" s="464"/>
      <c r="I113" s="465"/>
      <c r="J113" s="468"/>
      <c r="K113" s="566"/>
      <c r="L113" s="566"/>
      <c r="M113" s="566"/>
      <c r="N113" s="566"/>
      <c r="O113" s="468"/>
      <c r="P113" s="786"/>
    </row>
    <row r="114" spans="2:16" s="420" customFormat="1" ht="11.25" x14ac:dyDescent="0.2">
      <c r="B114" s="1275"/>
      <c r="C114" s="1272"/>
      <c r="D114" s="567" t="s">
        <v>590</v>
      </c>
      <c r="E114" s="461">
        <f>'Key Data'!$B$12*$E$113</f>
        <v>8766</v>
      </c>
      <c r="F114" s="462" t="s">
        <v>9</v>
      </c>
      <c r="G114" s="463">
        <v>-50</v>
      </c>
      <c r="H114" s="464">
        <f t="shared" ref="H114" si="10">E114*G114</f>
        <v>-438300</v>
      </c>
      <c r="I114" s="465"/>
      <c r="J114" s="468"/>
      <c r="K114" s="566"/>
      <c r="L114" s="566"/>
      <c r="M114" s="566"/>
      <c r="N114" s="566"/>
      <c r="O114" s="468"/>
      <c r="P114" s="786"/>
    </row>
    <row r="115" spans="2:16" s="420" customFormat="1" ht="11.25" x14ac:dyDescent="0.2">
      <c r="B115" s="1275"/>
      <c r="C115" s="1272"/>
      <c r="D115" s="460"/>
      <c r="E115" s="461"/>
      <c r="F115" s="462"/>
      <c r="G115" s="463"/>
      <c r="H115" s="464"/>
      <c r="I115" s="465"/>
      <c r="J115" s="468"/>
      <c r="K115" s="566"/>
      <c r="L115" s="566"/>
      <c r="M115" s="566"/>
      <c r="N115" s="566"/>
      <c r="O115" s="468"/>
      <c r="P115" s="786"/>
    </row>
    <row r="116" spans="2:16" s="420" customFormat="1" ht="11.25" x14ac:dyDescent="0.2">
      <c r="B116" s="1275"/>
      <c r="C116" s="1272"/>
      <c r="D116" s="569" t="s">
        <v>591</v>
      </c>
      <c r="E116" s="461">
        <f>E114</f>
        <v>8766</v>
      </c>
      <c r="F116" s="462" t="s">
        <v>9</v>
      </c>
      <c r="G116" s="463">
        <v>25</v>
      </c>
      <c r="H116" s="464">
        <f t="shared" ref="H116" si="11">E116*G116</f>
        <v>219150</v>
      </c>
      <c r="I116" s="465"/>
      <c r="J116" s="468"/>
      <c r="K116" s="566"/>
      <c r="L116" s="566"/>
      <c r="M116" s="566"/>
      <c r="N116" s="566"/>
      <c r="O116" s="468"/>
      <c r="P116" s="786"/>
    </row>
    <row r="117" spans="2:16" s="420" customFormat="1" ht="11.25" x14ac:dyDescent="0.2">
      <c r="B117" s="1275"/>
      <c r="C117" s="1272"/>
      <c r="D117" s="460"/>
      <c r="E117" s="461"/>
      <c r="F117" s="462"/>
      <c r="G117" s="463"/>
      <c r="H117" s="464">
        <f>E117*G117</f>
        <v>0</v>
      </c>
      <c r="I117" s="465">
        <f>SUM(H110:H117)</f>
        <v>-219150</v>
      </c>
      <c r="J117" s="466">
        <f>I117*$J$5</f>
        <v>-28489.5</v>
      </c>
      <c r="K117" s="467">
        <f>SUM(I117:J117)*$K$5</f>
        <v>-11143.7775</v>
      </c>
      <c r="L117" s="467">
        <f>SUM(I117:K117)*$L$5</f>
        <v>-14233.0802625</v>
      </c>
      <c r="M117" s="467">
        <f>SUM(I117:L117)*$M$5</f>
        <v>-16380.981465749999</v>
      </c>
      <c r="N117" s="467">
        <f>SUM(I117:M117)*$N$5</f>
        <v>-28939.733922825006</v>
      </c>
      <c r="O117" s="468">
        <f>SUM(I117:N117)</f>
        <v>-318337.07315107505</v>
      </c>
      <c r="P117" s="786">
        <f>ROUND(O117,-3)</f>
        <v>-318000</v>
      </c>
    </row>
    <row r="118" spans="2:16" s="420" customFormat="1" ht="12" thickBot="1" x14ac:dyDescent="0.25">
      <c r="B118" s="1276"/>
      <c r="C118" s="1273"/>
      <c r="D118" s="469"/>
      <c r="E118" s="470"/>
      <c r="F118" s="471"/>
      <c r="G118" s="472"/>
      <c r="H118" s="473"/>
      <c r="I118" s="474"/>
      <c r="J118" s="475"/>
      <c r="K118" s="476"/>
      <c r="L118" s="476"/>
      <c r="M118" s="476"/>
      <c r="N118" s="476"/>
      <c r="O118" s="475"/>
      <c r="P118" s="789"/>
    </row>
  </sheetData>
  <mergeCells count="22">
    <mergeCell ref="C103:C118"/>
    <mergeCell ref="B103:B118"/>
    <mergeCell ref="B56:B62"/>
    <mergeCell ref="C56:C62"/>
    <mergeCell ref="B63:B70"/>
    <mergeCell ref="C63:C70"/>
    <mergeCell ref="B96:B102"/>
    <mergeCell ref="C96:C102"/>
    <mergeCell ref="B87:B95"/>
    <mergeCell ref="C87:C95"/>
    <mergeCell ref="B71:B77"/>
    <mergeCell ref="C71:C77"/>
    <mergeCell ref="B78:B86"/>
    <mergeCell ref="C78:C86"/>
    <mergeCell ref="B6:B12"/>
    <mergeCell ref="B39:B55"/>
    <mergeCell ref="B2:P3"/>
    <mergeCell ref="C6:C12"/>
    <mergeCell ref="C32:C34"/>
    <mergeCell ref="B13:B31"/>
    <mergeCell ref="C13:C31"/>
    <mergeCell ref="C39:C5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3B9FA-7428-466E-AC5A-3C06B28DC937}">
  <sheetPr>
    <tabColor rgb="FF0070C0"/>
  </sheetPr>
  <dimension ref="B2:Q33"/>
  <sheetViews>
    <sheetView zoomScaleNormal="100" workbookViewId="0">
      <selection activeCell="B6" sqref="B6:B12"/>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Renewable Energy</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1.25" x14ac:dyDescent="0.2">
      <c r="B6" s="1277" t="str">
        <f>'Detailed Matrix'!E85</f>
        <v>Renewables</v>
      </c>
      <c r="C6" s="1281" t="str">
        <f>'Detailed Matrix'!F85</f>
        <v>Low interventio: Basic PV provision to roof</v>
      </c>
      <c r="D6" s="452"/>
      <c r="E6" s="453"/>
      <c r="F6" s="454"/>
      <c r="G6" s="455"/>
      <c r="H6" s="456"/>
      <c r="I6" s="457"/>
      <c r="J6" s="458"/>
      <c r="K6" s="459"/>
      <c r="L6" s="459"/>
      <c r="M6" s="459"/>
      <c r="N6" s="459"/>
      <c r="O6" s="458"/>
      <c r="P6" s="457"/>
    </row>
    <row r="7" spans="2:17" s="420" customFormat="1" ht="11.25" x14ac:dyDescent="0.2">
      <c r="B7" s="1278"/>
      <c r="C7" s="1282"/>
      <c r="D7" s="669" t="s">
        <v>556</v>
      </c>
      <c r="E7" s="479"/>
      <c r="F7" s="480"/>
      <c r="G7" s="481"/>
      <c r="H7" s="665"/>
      <c r="I7" s="666"/>
      <c r="J7" s="667"/>
      <c r="K7" s="668"/>
      <c r="L7" s="668"/>
      <c r="M7" s="668"/>
      <c r="N7" s="668"/>
      <c r="O7" s="667"/>
      <c r="P7" s="666"/>
    </row>
    <row r="8" spans="2:17" s="420" customFormat="1" ht="11.25" x14ac:dyDescent="0.2">
      <c r="B8" s="1278"/>
      <c r="C8" s="1282"/>
      <c r="D8" s="565" t="s">
        <v>592</v>
      </c>
      <c r="E8" s="479">
        <f>'Key Data'!$B$15*25%</f>
        <v>157.5</v>
      </c>
      <c r="F8" s="480" t="s">
        <v>9</v>
      </c>
      <c r="G8" s="481">
        <v>250</v>
      </c>
      <c r="H8" s="464" t="s">
        <v>528</v>
      </c>
      <c r="I8" s="465">
        <f>SUM(H6:H8)</f>
        <v>0</v>
      </c>
      <c r="J8" s="466">
        <f>I8*$J$5</f>
        <v>0</v>
      </c>
      <c r="K8" s="467">
        <f>SUM(I8:J8)*$K$5</f>
        <v>0</v>
      </c>
      <c r="L8" s="467">
        <f>SUM(I8:K8)*$L$5</f>
        <v>0</v>
      </c>
      <c r="M8" s="467">
        <f>SUM(I8:L8)*$M$5</f>
        <v>0</v>
      </c>
      <c r="N8" s="467">
        <f>SUM(I8:M8)*$N$5</f>
        <v>0</v>
      </c>
      <c r="O8" s="468">
        <f>SUM(I8:N8)</f>
        <v>0</v>
      </c>
      <c r="P8" s="465">
        <f>ROUND(O8,-3)</f>
        <v>0</v>
      </c>
      <c r="Q8" s="420" t="s">
        <v>514</v>
      </c>
    </row>
    <row r="9" spans="2:17" s="420" customFormat="1" ht="11.25" x14ac:dyDescent="0.2">
      <c r="B9" s="1278"/>
      <c r="C9" s="1282"/>
      <c r="D9" s="565"/>
      <c r="E9" s="479"/>
      <c r="F9" s="480"/>
      <c r="G9" s="481"/>
      <c r="H9" s="464"/>
      <c r="I9" s="661"/>
      <c r="J9" s="662"/>
      <c r="K9" s="663"/>
      <c r="L9" s="663"/>
      <c r="M9" s="663"/>
      <c r="N9" s="663"/>
      <c r="O9" s="664"/>
      <c r="P9" s="661"/>
    </row>
    <row r="10" spans="2:17" s="420" customFormat="1" ht="11.25" x14ac:dyDescent="0.2">
      <c r="B10" s="1278"/>
      <c r="C10" s="1282"/>
      <c r="D10" s="669" t="s">
        <v>557</v>
      </c>
      <c r="E10" s="479"/>
      <c r="F10" s="480"/>
      <c r="G10" s="481"/>
      <c r="H10" s="665"/>
      <c r="I10" s="666"/>
      <c r="J10" s="667"/>
      <c r="K10" s="668"/>
      <c r="L10" s="668"/>
      <c r="M10" s="668"/>
      <c r="N10" s="668"/>
      <c r="O10" s="667"/>
      <c r="P10" s="666"/>
    </row>
    <row r="11" spans="2:17" s="420" customFormat="1" ht="11.25" x14ac:dyDescent="0.2">
      <c r="B11" s="1278"/>
      <c r="C11" s="1282"/>
      <c r="D11" s="565" t="s">
        <v>593</v>
      </c>
      <c r="E11" s="479">
        <f>'Key Data'!$B$15*85%</f>
        <v>535.5</v>
      </c>
      <c r="F11" s="480" t="s">
        <v>9</v>
      </c>
      <c r="G11" s="481">
        <f>G8</f>
        <v>250</v>
      </c>
      <c r="H11" s="464">
        <f t="shared" ref="H11" si="0">E11*G11</f>
        <v>133875</v>
      </c>
      <c r="I11" s="465">
        <f>SUM(H9:H11)</f>
        <v>133875</v>
      </c>
      <c r="J11" s="466">
        <f>I11*$J$5</f>
        <v>17403.75</v>
      </c>
      <c r="K11" s="467">
        <f>SUM(I11:J11)*$K$5</f>
        <v>6807.5437499999998</v>
      </c>
      <c r="L11" s="467">
        <f>SUM(I11:K11)*$L$5</f>
        <v>8694.7461562500011</v>
      </c>
      <c r="M11" s="467">
        <f>SUM(I11:L11)*$M$5</f>
        <v>10006.862394375001</v>
      </c>
      <c r="N11" s="467">
        <f>SUM(I11:M11)*$N$5</f>
        <v>17678.790230062503</v>
      </c>
      <c r="O11" s="468">
        <f>SUM(I11:N11)</f>
        <v>194466.69253068752</v>
      </c>
      <c r="P11" s="465">
        <f>ROUND(O11,-3)</f>
        <v>194000</v>
      </c>
    </row>
    <row r="12" spans="2:17" s="420" customFormat="1" ht="12" thickBot="1" x14ac:dyDescent="0.25">
      <c r="B12" s="1279"/>
      <c r="C12" s="1283"/>
      <c r="D12" s="469"/>
      <c r="E12" s="470"/>
      <c r="F12" s="471"/>
      <c r="G12" s="472"/>
      <c r="H12" s="473"/>
      <c r="I12" s="474"/>
      <c r="J12" s="475"/>
      <c r="K12" s="476"/>
      <c r="L12" s="476"/>
      <c r="M12" s="476"/>
      <c r="N12" s="476"/>
      <c r="O12" s="475"/>
      <c r="P12" s="474"/>
    </row>
    <row r="13" spans="2:17" s="426" customFormat="1" ht="11.25" x14ac:dyDescent="0.2">
      <c r="B13" s="1277" t="str">
        <f>'Detailed Matrix'!E86</f>
        <v>Renewables</v>
      </c>
      <c r="C13" s="1281" t="str">
        <f>'Detailed Matrix'!F86</f>
        <v>Medium Intevention: PC Provision with basic battery back-up</v>
      </c>
      <c r="D13" s="452"/>
      <c r="E13" s="453"/>
      <c r="F13" s="454"/>
      <c r="G13" s="455"/>
      <c r="H13" s="456"/>
      <c r="I13" s="457"/>
      <c r="J13" s="458"/>
      <c r="K13" s="459"/>
      <c r="L13" s="459"/>
      <c r="M13" s="459"/>
      <c r="N13" s="459"/>
      <c r="O13" s="458"/>
      <c r="P13" s="457"/>
    </row>
    <row r="14" spans="2:17" s="426" customFormat="1" ht="11.25" x14ac:dyDescent="0.2">
      <c r="B14" s="1278"/>
      <c r="C14" s="1282"/>
      <c r="D14" s="669" t="s">
        <v>556</v>
      </c>
      <c r="E14" s="479"/>
      <c r="F14" s="480"/>
      <c r="G14" s="481"/>
      <c r="H14" s="665"/>
      <c r="I14" s="666"/>
      <c r="J14" s="667"/>
      <c r="K14" s="668"/>
      <c r="L14" s="668"/>
      <c r="M14" s="668"/>
      <c r="N14" s="668"/>
      <c r="O14" s="667"/>
      <c r="P14" s="666"/>
    </row>
    <row r="15" spans="2:17" s="426" customFormat="1" ht="11.25" x14ac:dyDescent="0.2">
      <c r="B15" s="1278"/>
      <c r="C15" s="1282"/>
      <c r="D15" s="565" t="s">
        <v>592</v>
      </c>
      <c r="E15" s="479">
        <f>'Key Data'!$B$15*25%</f>
        <v>157.5</v>
      </c>
      <c r="F15" s="480" t="s">
        <v>9</v>
      </c>
      <c r="G15" s="481">
        <v>350</v>
      </c>
      <c r="H15" s="464">
        <f t="shared" ref="H15:H16" si="1">E15*G15</f>
        <v>55125</v>
      </c>
      <c r="I15" s="666"/>
      <c r="J15" s="667"/>
      <c r="K15" s="668"/>
      <c r="L15" s="668"/>
      <c r="M15" s="668"/>
      <c r="N15" s="668"/>
      <c r="O15" s="667"/>
      <c r="P15" s="666"/>
    </row>
    <row r="16" spans="2:17" s="426" customFormat="1" ht="11.25" x14ac:dyDescent="0.2">
      <c r="B16" s="1278"/>
      <c r="C16" s="1282"/>
      <c r="D16" s="565" t="s">
        <v>594</v>
      </c>
      <c r="E16" s="479">
        <f>-E8</f>
        <v>-157.5</v>
      </c>
      <c r="F16" s="480" t="s">
        <v>9</v>
      </c>
      <c r="G16" s="481">
        <f>G8</f>
        <v>250</v>
      </c>
      <c r="H16" s="464">
        <f t="shared" si="1"/>
        <v>-39375</v>
      </c>
      <c r="I16" s="465">
        <f>SUM(H13:H16)</f>
        <v>15750</v>
      </c>
      <c r="J16" s="466">
        <f>I16*$J$5</f>
        <v>2047.5</v>
      </c>
      <c r="K16" s="467">
        <f>SUM(I16:J16)*$K$5</f>
        <v>800.88749999999993</v>
      </c>
      <c r="L16" s="467">
        <f>SUM(I16:K16)*$L$5</f>
        <v>1022.9113125</v>
      </c>
      <c r="M16" s="467">
        <f>SUM(I16:L16)*$M$5</f>
        <v>1177.27792875</v>
      </c>
      <c r="N16" s="467">
        <f>SUM(I16:M16)*$N$5</f>
        <v>2079.8576741250004</v>
      </c>
      <c r="O16" s="468">
        <f>SUM(I16:N16)</f>
        <v>22878.434415375003</v>
      </c>
      <c r="P16" s="465">
        <f>ROUND(O16,-3)</f>
        <v>23000</v>
      </c>
      <c r="Q16" s="426" t="s">
        <v>514</v>
      </c>
    </row>
    <row r="17" spans="2:17" s="426" customFormat="1" ht="11.25" x14ac:dyDescent="0.2">
      <c r="B17" s="1278"/>
      <c r="C17" s="1282"/>
      <c r="D17" s="748"/>
      <c r="E17" s="479"/>
      <c r="F17" s="480"/>
      <c r="G17" s="481"/>
      <c r="H17" s="464"/>
      <c r="I17" s="661"/>
      <c r="J17" s="662"/>
      <c r="K17" s="663"/>
      <c r="L17" s="663"/>
      <c r="M17" s="663"/>
      <c r="N17" s="663"/>
      <c r="O17" s="664"/>
      <c r="P17" s="661"/>
    </row>
    <row r="18" spans="2:17" s="426" customFormat="1" ht="11.25" x14ac:dyDescent="0.2">
      <c r="B18" s="1278"/>
      <c r="C18" s="1282"/>
      <c r="D18" s="669" t="s">
        <v>557</v>
      </c>
      <c r="E18" s="479"/>
      <c r="F18" s="480"/>
      <c r="G18" s="481"/>
      <c r="H18" s="464"/>
      <c r="I18" s="661"/>
      <c r="J18" s="662"/>
      <c r="K18" s="663"/>
      <c r="L18" s="663"/>
      <c r="M18" s="663"/>
      <c r="N18" s="663"/>
      <c r="O18" s="664"/>
      <c r="P18" s="661"/>
    </row>
    <row r="19" spans="2:17" s="426" customFormat="1" ht="11.25" x14ac:dyDescent="0.2">
      <c r="B19" s="1278"/>
      <c r="C19" s="1282"/>
      <c r="D19" s="565" t="s">
        <v>593</v>
      </c>
      <c r="E19" s="479">
        <f>'Key Data'!$B$15*85%</f>
        <v>535.5</v>
      </c>
      <c r="F19" s="480" t="s">
        <v>9</v>
      </c>
      <c r="G19" s="481">
        <f>G15</f>
        <v>350</v>
      </c>
      <c r="H19" s="464">
        <f t="shared" ref="H19" si="2">E19*G19</f>
        <v>187425</v>
      </c>
      <c r="I19" s="661"/>
      <c r="J19" s="662"/>
      <c r="K19" s="663"/>
      <c r="L19" s="663"/>
      <c r="M19" s="663"/>
      <c r="N19" s="663"/>
      <c r="O19" s="664"/>
      <c r="P19" s="661"/>
    </row>
    <row r="20" spans="2:17" s="426" customFormat="1" ht="11.25" x14ac:dyDescent="0.2">
      <c r="B20" s="1278"/>
      <c r="C20" s="1282"/>
      <c r="D20" s="565" t="s">
        <v>594</v>
      </c>
      <c r="E20" s="479">
        <f>-E11</f>
        <v>-535.5</v>
      </c>
      <c r="F20" s="480" t="s">
        <v>9</v>
      </c>
      <c r="G20" s="481">
        <f>G11</f>
        <v>250</v>
      </c>
      <c r="H20" s="464">
        <f t="shared" ref="H20" si="3">E20*G20</f>
        <v>-133875</v>
      </c>
      <c r="I20" s="465">
        <f>SUM(H17:H20)</f>
        <v>53550</v>
      </c>
      <c r="J20" s="466">
        <f>I20*$J$5</f>
        <v>6961.5</v>
      </c>
      <c r="K20" s="467">
        <f>SUM(I20:J20)*$K$5</f>
        <v>2723.0174999999999</v>
      </c>
      <c r="L20" s="467">
        <f>SUM(I20:K20)*$L$5</f>
        <v>3477.8984625000003</v>
      </c>
      <c r="M20" s="467">
        <f>SUM(I20:L20)*$M$5</f>
        <v>4002.7449577500001</v>
      </c>
      <c r="N20" s="467">
        <f>SUM(I20:M20)*$N$5</f>
        <v>7071.516092025</v>
      </c>
      <c r="O20" s="468">
        <f>SUM(I20:N20)</f>
        <v>77786.677012275002</v>
      </c>
      <c r="P20" s="465">
        <f>ROUND(O20,-3)</f>
        <v>78000</v>
      </c>
    </row>
    <row r="21" spans="2:17" s="426" customFormat="1" ht="12" thickBot="1" x14ac:dyDescent="0.25">
      <c r="B21" s="1279"/>
      <c r="C21" s="1283"/>
      <c r="D21" s="469"/>
      <c r="E21" s="470"/>
      <c r="F21" s="471"/>
      <c r="G21" s="472"/>
      <c r="H21" s="473"/>
      <c r="I21" s="474"/>
      <c r="J21" s="475"/>
      <c r="K21" s="476"/>
      <c r="L21" s="476"/>
      <c r="M21" s="476"/>
      <c r="N21" s="476"/>
      <c r="O21" s="475"/>
      <c r="P21" s="474"/>
    </row>
    <row r="22" spans="2:17" s="420" customFormat="1" ht="11.25" x14ac:dyDescent="0.2">
      <c r="B22" s="1277" t="str">
        <f>'Detailed Matrix'!E87</f>
        <v>Renewables</v>
      </c>
      <c r="C22" s="1281" t="str">
        <f>'Detailed Matrix'!F91</f>
        <v>Grid independence</v>
      </c>
      <c r="D22" s="452"/>
      <c r="E22" s="453"/>
      <c r="F22" s="454"/>
      <c r="G22" s="455"/>
      <c r="H22" s="456"/>
      <c r="I22" s="457"/>
      <c r="J22" s="458"/>
      <c r="K22" s="459"/>
      <c r="L22" s="459"/>
      <c r="M22" s="459"/>
      <c r="N22" s="459"/>
      <c r="O22" s="458"/>
      <c r="P22" s="457"/>
    </row>
    <row r="23" spans="2:17" s="420" customFormat="1" ht="11.25" x14ac:dyDescent="0.2">
      <c r="B23" s="1278"/>
      <c r="C23" s="1282"/>
      <c r="D23" s="669" t="s">
        <v>556</v>
      </c>
      <c r="E23" s="479"/>
      <c r="F23" s="480"/>
      <c r="G23" s="481"/>
      <c r="H23" s="665"/>
      <c r="I23" s="666"/>
      <c r="J23" s="667"/>
      <c r="K23" s="668"/>
      <c r="L23" s="668"/>
      <c r="M23" s="668"/>
      <c r="N23" s="668"/>
      <c r="O23" s="667"/>
      <c r="P23" s="666"/>
    </row>
    <row r="24" spans="2:17" s="420" customFormat="1" ht="11.25" x14ac:dyDescent="0.2">
      <c r="B24" s="1278"/>
      <c r="C24" s="1282"/>
      <c r="D24" s="565" t="s">
        <v>592</v>
      </c>
      <c r="E24" s="479">
        <f>'Key Data'!$B$15*25%</f>
        <v>157.5</v>
      </c>
      <c r="F24" s="480" t="s">
        <v>9</v>
      </c>
      <c r="G24" s="481">
        <v>350</v>
      </c>
      <c r="H24" s="464">
        <f t="shared" ref="H24:H25" si="4">E24*G24</f>
        <v>55125</v>
      </c>
      <c r="I24" s="666"/>
      <c r="J24" s="667"/>
      <c r="K24" s="668"/>
      <c r="L24" s="668"/>
      <c r="M24" s="668"/>
      <c r="N24" s="668"/>
      <c r="O24" s="667"/>
      <c r="P24" s="666"/>
    </row>
    <row r="25" spans="2:17" s="420" customFormat="1" ht="11.25" x14ac:dyDescent="0.2">
      <c r="B25" s="1278"/>
      <c r="C25" s="1282"/>
      <c r="D25" s="565" t="s">
        <v>595</v>
      </c>
      <c r="E25" s="749">
        <f>'Key Data'!$B$19*25%</f>
        <v>1045.75</v>
      </c>
      <c r="F25" s="750" t="s">
        <v>9</v>
      </c>
      <c r="G25" s="751">
        <v>750</v>
      </c>
      <c r="H25" s="464">
        <f t="shared" si="4"/>
        <v>784312.5</v>
      </c>
      <c r="I25" s="666"/>
      <c r="J25" s="667"/>
      <c r="K25" s="668"/>
      <c r="L25" s="668"/>
      <c r="M25" s="668"/>
      <c r="N25" s="668"/>
      <c r="O25" s="667"/>
      <c r="P25" s="666"/>
    </row>
    <row r="26" spans="2:17" s="420" customFormat="1" ht="11.25" x14ac:dyDescent="0.2">
      <c r="B26" s="1278"/>
      <c r="C26" s="1282"/>
      <c r="D26" s="565" t="s">
        <v>596</v>
      </c>
      <c r="E26" s="749">
        <f>-E15</f>
        <v>-157.5</v>
      </c>
      <c r="F26" s="750" t="s">
        <v>12</v>
      </c>
      <c r="G26" s="751">
        <f>G15</f>
        <v>350</v>
      </c>
      <c r="H26" s="464">
        <f t="shared" ref="H26" si="5">E26*G26</f>
        <v>-55125</v>
      </c>
      <c r="I26" s="465">
        <f>SUM(H22:H26)</f>
        <v>784312.5</v>
      </c>
      <c r="J26" s="466">
        <f>I26*$J$5</f>
        <v>101960.625</v>
      </c>
      <c r="K26" s="467">
        <f>SUM(I26:J26)*$K$5</f>
        <v>39882.290625000001</v>
      </c>
      <c r="L26" s="467">
        <f>SUM(I26:K26)*$L$5</f>
        <v>50938.547859375001</v>
      </c>
      <c r="M26" s="467">
        <f>SUM(I26:L26)*$M$5</f>
        <v>58625.6378090625</v>
      </c>
      <c r="N26" s="467">
        <f>SUM(I26:M26)*$N$5</f>
        <v>103571.96012934376</v>
      </c>
      <c r="O26" s="468">
        <f>SUM(I26:N26)</f>
        <v>1139291.5614227813</v>
      </c>
      <c r="P26" s="465">
        <f>ROUND(O26,-3)</f>
        <v>1139000</v>
      </c>
      <c r="Q26" s="420" t="s">
        <v>514</v>
      </c>
    </row>
    <row r="27" spans="2:17" s="420" customFormat="1" ht="11.25" x14ac:dyDescent="0.2">
      <c r="B27" s="1278"/>
      <c r="C27" s="1282"/>
      <c r="D27" s="748"/>
      <c r="E27" s="749"/>
      <c r="F27" s="750"/>
      <c r="G27" s="751"/>
      <c r="H27" s="660"/>
      <c r="I27" s="661"/>
      <c r="J27" s="662"/>
      <c r="K27" s="663"/>
      <c r="L27" s="663"/>
      <c r="M27" s="663"/>
      <c r="N27" s="663"/>
      <c r="O27" s="664"/>
      <c r="P27" s="661"/>
    </row>
    <row r="28" spans="2:17" s="420" customFormat="1" ht="11.25" x14ac:dyDescent="0.2">
      <c r="B28" s="1278"/>
      <c r="C28" s="1282"/>
      <c r="D28" s="669" t="s">
        <v>557</v>
      </c>
      <c r="E28" s="749"/>
      <c r="F28" s="750"/>
      <c r="G28" s="751"/>
      <c r="H28" s="660"/>
      <c r="I28" s="661"/>
      <c r="J28" s="662"/>
      <c r="K28" s="663"/>
      <c r="L28" s="663"/>
      <c r="M28" s="663"/>
      <c r="N28" s="663"/>
      <c r="O28" s="664"/>
      <c r="P28" s="661"/>
    </row>
    <row r="29" spans="2:17" s="420" customFormat="1" ht="11.25" x14ac:dyDescent="0.2">
      <c r="B29" s="1278"/>
      <c r="C29" s="1282"/>
      <c r="D29" s="565" t="s">
        <v>593</v>
      </c>
      <c r="E29" s="479">
        <f>'Key Data'!$B$15*85%</f>
        <v>535.5</v>
      </c>
      <c r="F29" s="480" t="s">
        <v>9</v>
      </c>
      <c r="G29" s="481">
        <f>G25</f>
        <v>750</v>
      </c>
      <c r="H29" s="464">
        <f t="shared" ref="H29:H30" si="6">E29*G29</f>
        <v>401625</v>
      </c>
      <c r="I29" s="661"/>
      <c r="J29" s="662"/>
      <c r="K29" s="663"/>
      <c r="L29" s="663"/>
      <c r="M29" s="663"/>
      <c r="N29" s="663"/>
      <c r="O29" s="664"/>
      <c r="P29" s="661"/>
    </row>
    <row r="30" spans="2:17" s="420" customFormat="1" ht="11.25" x14ac:dyDescent="0.2">
      <c r="B30" s="1278"/>
      <c r="C30" s="1282"/>
      <c r="D30" s="565" t="s">
        <v>597</v>
      </c>
      <c r="E30" s="749">
        <f>'Key Data'!$B$19*50%</f>
        <v>2091.5</v>
      </c>
      <c r="F30" s="750" t="s">
        <v>9</v>
      </c>
      <c r="G30" s="751">
        <v>750</v>
      </c>
      <c r="H30" s="464">
        <f t="shared" si="6"/>
        <v>1568625</v>
      </c>
      <c r="I30" s="661"/>
      <c r="J30" s="662"/>
      <c r="K30" s="663"/>
      <c r="L30" s="663"/>
      <c r="M30" s="663"/>
      <c r="N30" s="663"/>
      <c r="O30" s="664"/>
      <c r="P30" s="661"/>
    </row>
    <row r="31" spans="2:17" s="420" customFormat="1" ht="11.25" x14ac:dyDescent="0.2">
      <c r="B31" s="1278"/>
      <c r="C31" s="1282"/>
      <c r="D31" s="565" t="s">
        <v>548</v>
      </c>
      <c r="E31" s="749">
        <f>-E19</f>
        <v>-535.5</v>
      </c>
      <c r="F31" s="750" t="s">
        <v>9</v>
      </c>
      <c r="G31" s="751">
        <f>G19</f>
        <v>350</v>
      </c>
      <c r="H31" s="464">
        <f t="shared" ref="H31" si="7">E31*G31</f>
        <v>-187425</v>
      </c>
      <c r="I31" s="465">
        <f>SUM(H27:H31)</f>
        <v>1782825</v>
      </c>
      <c r="J31" s="466">
        <f>I31*$J$5</f>
        <v>231767.25</v>
      </c>
      <c r="K31" s="467">
        <f>SUM(I31:J31)*$K$5</f>
        <v>90656.651249999995</v>
      </c>
      <c r="L31" s="467">
        <f>SUM(I31:K31)*$L$5</f>
        <v>115788.68956875001</v>
      </c>
      <c r="M31" s="467">
        <f>SUM(I31:L31)*$M$5</f>
        <v>133262.25544912502</v>
      </c>
      <c r="N31" s="467">
        <f>SUM(I31:M31)*$N$5</f>
        <v>235429.98462678754</v>
      </c>
      <c r="O31" s="468">
        <f>SUM(I31:N31)</f>
        <v>2589729.830894663</v>
      </c>
      <c r="P31" s="465">
        <f>ROUND(O31,-3)</f>
        <v>2590000</v>
      </c>
    </row>
    <row r="32" spans="2:17" s="420" customFormat="1" ht="11.25" x14ac:dyDescent="0.2">
      <c r="B32" s="1278"/>
      <c r="C32" s="1282"/>
      <c r="D32" s="748"/>
      <c r="E32" s="749"/>
      <c r="F32" s="750"/>
      <c r="G32" s="751"/>
      <c r="H32" s="660"/>
      <c r="I32" s="661"/>
      <c r="J32" s="662"/>
      <c r="K32" s="663"/>
      <c r="L32" s="663"/>
      <c r="M32" s="663"/>
      <c r="N32" s="663"/>
      <c r="O32" s="664"/>
      <c r="P32" s="661"/>
    </row>
    <row r="33" spans="2:16" s="420" customFormat="1" ht="12" thickBot="1" x14ac:dyDescent="0.25">
      <c r="B33" s="1279"/>
      <c r="C33" s="1283"/>
      <c r="D33" s="469"/>
      <c r="E33" s="470"/>
      <c r="F33" s="471"/>
      <c r="G33" s="472"/>
      <c r="H33" s="473"/>
      <c r="I33" s="474"/>
      <c r="J33" s="475"/>
      <c r="K33" s="476"/>
      <c r="L33" s="476"/>
      <c r="M33" s="476"/>
      <c r="N33" s="476"/>
      <c r="O33" s="475"/>
      <c r="P33" s="474"/>
    </row>
  </sheetData>
  <mergeCells count="7">
    <mergeCell ref="B22:B33"/>
    <mergeCell ref="C22:C33"/>
    <mergeCell ref="B2:P3"/>
    <mergeCell ref="B6:B12"/>
    <mergeCell ref="C6:C12"/>
    <mergeCell ref="B13:B21"/>
    <mergeCell ref="C13:C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B0B5D-1C79-4972-8399-CDD563E83164}">
  <sheetPr>
    <tabColor rgb="FF0070C0"/>
  </sheetPr>
  <dimension ref="B2:Q32"/>
  <sheetViews>
    <sheetView zoomScaleNormal="100" workbookViewId="0">
      <selection activeCell="B6" sqref="B6:B14"/>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Smart Energy</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1.25" x14ac:dyDescent="0.2">
      <c r="B6" s="1286" t="str">
        <f>'Detailed Matrix'!E89</f>
        <v>Low intervention</v>
      </c>
      <c r="C6" s="1252" t="str">
        <f>'Detailed Matrix'!F89</f>
        <v>Basisc Loadshedding</v>
      </c>
      <c r="D6" s="427"/>
      <c r="E6" s="428"/>
      <c r="F6" s="429"/>
      <c r="G6" s="430"/>
      <c r="H6" s="431"/>
      <c r="I6" s="432"/>
      <c r="J6" s="433"/>
      <c r="K6" s="434"/>
      <c r="L6" s="434"/>
      <c r="M6" s="434"/>
      <c r="N6" s="434"/>
      <c r="O6" s="433"/>
      <c r="P6" s="432"/>
    </row>
    <row r="7" spans="2:17" s="420" customFormat="1" ht="11.25" x14ac:dyDescent="0.2">
      <c r="B7" s="1287"/>
      <c r="C7" s="1253"/>
      <c r="D7" s="753" t="s">
        <v>556</v>
      </c>
      <c r="E7" s="483"/>
      <c r="F7" s="484"/>
      <c r="G7" s="485"/>
      <c r="H7" s="486"/>
      <c r="I7" s="487"/>
      <c r="J7" s="488"/>
      <c r="K7" s="489"/>
      <c r="L7" s="489"/>
      <c r="M7" s="489"/>
      <c r="N7" s="489"/>
      <c r="O7" s="488"/>
      <c r="P7" s="487"/>
    </row>
    <row r="8" spans="2:17" s="420" customFormat="1" ht="11.25" x14ac:dyDescent="0.2">
      <c r="B8" s="1287"/>
      <c r="C8" s="1253"/>
      <c r="D8" s="490" t="s">
        <v>598</v>
      </c>
      <c r="E8" s="483"/>
      <c r="F8" s="484"/>
      <c r="G8" s="485"/>
      <c r="H8" s="486"/>
      <c r="I8" s="487"/>
      <c r="J8" s="488"/>
      <c r="K8" s="489"/>
      <c r="L8" s="489"/>
      <c r="M8" s="489"/>
      <c r="N8" s="489"/>
      <c r="O8" s="488"/>
      <c r="P8" s="487"/>
    </row>
    <row r="9" spans="2:17" s="420" customFormat="1" ht="11.25" x14ac:dyDescent="0.2">
      <c r="B9" s="1287"/>
      <c r="C9" s="1253"/>
      <c r="D9" s="490" t="s">
        <v>599</v>
      </c>
      <c r="E9" s="483">
        <f>'Key Data'!$B$12</f>
        <v>11688</v>
      </c>
      <c r="F9" s="484" t="s">
        <v>9</v>
      </c>
      <c r="G9" s="485">
        <v>10</v>
      </c>
      <c r="H9" s="439">
        <f t="shared" ref="H9" si="0">E9*G9</f>
        <v>116880</v>
      </c>
      <c r="I9" s="440">
        <f>SUM(H6:H9)</f>
        <v>116880</v>
      </c>
      <c r="J9" s="441">
        <f>I9*$J$5</f>
        <v>15194.4</v>
      </c>
      <c r="K9" s="442">
        <f>SUM(I9:J9)*$K$5</f>
        <v>5943.348</v>
      </c>
      <c r="L9" s="442">
        <f>SUM(I9:K9)*$L$5</f>
        <v>7590.9761399999998</v>
      </c>
      <c r="M9" s="442">
        <f>SUM(I9:L9)*$M$5</f>
        <v>8736.5234483999993</v>
      </c>
      <c r="N9" s="442">
        <f>SUM(I9:M9)*$N$5</f>
        <v>15434.524758840002</v>
      </c>
      <c r="O9" s="443">
        <f>SUM(I9:N9)</f>
        <v>169779.77234724001</v>
      </c>
      <c r="P9" s="440">
        <f>ROUND(O9,-3)</f>
        <v>170000</v>
      </c>
      <c r="Q9" s="420" t="s">
        <v>600</v>
      </c>
    </row>
    <row r="10" spans="2:17" s="420" customFormat="1" ht="11.25" x14ac:dyDescent="0.2">
      <c r="B10" s="1287"/>
      <c r="C10" s="1253"/>
      <c r="D10" s="710"/>
      <c r="E10" s="711"/>
      <c r="F10" s="594"/>
      <c r="G10" s="606"/>
      <c r="H10" s="596"/>
      <c r="I10" s="597"/>
      <c r="J10" s="598"/>
      <c r="K10" s="599"/>
      <c r="L10" s="599"/>
      <c r="M10" s="599"/>
      <c r="N10" s="599"/>
      <c r="O10" s="600"/>
      <c r="P10" s="597"/>
    </row>
    <row r="11" spans="2:17" s="420" customFormat="1" ht="11.25" x14ac:dyDescent="0.2">
      <c r="B11" s="1287"/>
      <c r="C11" s="1253"/>
      <c r="D11" s="753" t="s">
        <v>557</v>
      </c>
      <c r="E11" s="483"/>
      <c r="F11" s="484"/>
      <c r="G11" s="485"/>
      <c r="H11" s="486"/>
      <c r="I11" s="487"/>
      <c r="J11" s="488"/>
      <c r="K11" s="489"/>
      <c r="L11" s="489"/>
      <c r="M11" s="489"/>
      <c r="N11" s="489"/>
      <c r="O11" s="488"/>
      <c r="P11" s="487"/>
    </row>
    <row r="12" spans="2:17" s="420" customFormat="1" ht="11.25" x14ac:dyDescent="0.2">
      <c r="B12" s="1287"/>
      <c r="C12" s="1253"/>
      <c r="D12" s="490" t="s">
        <v>598</v>
      </c>
      <c r="E12" s="483"/>
      <c r="F12" s="484"/>
      <c r="G12" s="485"/>
      <c r="H12" s="486"/>
      <c r="I12" s="487"/>
      <c r="J12" s="488"/>
      <c r="K12" s="489"/>
      <c r="L12" s="489"/>
      <c r="M12" s="489"/>
      <c r="N12" s="489"/>
      <c r="O12" s="488"/>
      <c r="P12" s="487"/>
    </row>
    <row r="13" spans="2:17" s="420" customFormat="1" ht="11.25" x14ac:dyDescent="0.2">
      <c r="B13" s="1287"/>
      <c r="C13" s="1253"/>
      <c r="D13" s="490" t="s">
        <v>599</v>
      </c>
      <c r="E13" s="483">
        <f>'Key Data'!$B$12</f>
        <v>11688</v>
      </c>
      <c r="F13" s="484" t="s">
        <v>9</v>
      </c>
      <c r="G13" s="485">
        <v>20</v>
      </c>
      <c r="H13" s="439">
        <f t="shared" ref="H13" si="1">E13*G13</f>
        <v>233760</v>
      </c>
      <c r="I13" s="440">
        <f>SUM(H10:H13)</f>
        <v>233760</v>
      </c>
      <c r="J13" s="441">
        <f>I13*$J$5</f>
        <v>30388.799999999999</v>
      </c>
      <c r="K13" s="442">
        <f>SUM(I13:J13)*$K$5</f>
        <v>11886.696</v>
      </c>
      <c r="L13" s="442">
        <f>SUM(I13:K13)*$L$5</f>
        <v>15181.95228</v>
      </c>
      <c r="M13" s="442">
        <f>SUM(I13:L13)*$M$5</f>
        <v>17473.046896799999</v>
      </c>
      <c r="N13" s="442">
        <f>SUM(I13:M13)*$N$5</f>
        <v>30869.049517680003</v>
      </c>
      <c r="O13" s="443">
        <f>SUM(I13:N13)</f>
        <v>339559.54469448002</v>
      </c>
      <c r="P13" s="440">
        <f>ROUND(O13,-3)</f>
        <v>340000</v>
      </c>
      <c r="Q13" s="420" t="s">
        <v>600</v>
      </c>
    </row>
    <row r="14" spans="2:17" s="420" customFormat="1" ht="12" thickBot="1" x14ac:dyDescent="0.25">
      <c r="B14" s="1288"/>
      <c r="C14" s="1254"/>
      <c r="D14" s="444"/>
      <c r="E14" s="445"/>
      <c r="F14" s="446"/>
      <c r="G14" s="447"/>
      <c r="H14" s="448"/>
      <c r="I14" s="449"/>
      <c r="J14" s="450"/>
      <c r="K14" s="451"/>
      <c r="L14" s="451"/>
      <c r="M14" s="451"/>
      <c r="N14" s="451"/>
      <c r="O14" s="450"/>
      <c r="P14" s="449"/>
    </row>
    <row r="15" spans="2:17" s="426" customFormat="1" ht="11.25" x14ac:dyDescent="0.2">
      <c r="B15" s="1286" t="str">
        <f>'Detailed Matrix'!E90</f>
        <v>Medium intervention</v>
      </c>
      <c r="C15" s="1252" t="str">
        <f>'Detailed Matrix'!F90</f>
        <v>Load shedding including energy monitorigin and responding to energy demand etc</v>
      </c>
      <c r="D15" s="427"/>
      <c r="E15" s="428"/>
      <c r="F15" s="429"/>
      <c r="G15" s="430"/>
      <c r="H15" s="431"/>
      <c r="I15" s="432"/>
      <c r="J15" s="433"/>
      <c r="K15" s="434"/>
      <c r="L15" s="434"/>
      <c r="M15" s="434"/>
      <c r="N15" s="434"/>
      <c r="O15" s="433"/>
      <c r="P15" s="432"/>
    </row>
    <row r="16" spans="2:17" s="426" customFormat="1" ht="11.25" x14ac:dyDescent="0.2">
      <c r="B16" s="1287"/>
      <c r="C16" s="1253"/>
      <c r="D16" s="753" t="s">
        <v>556</v>
      </c>
      <c r="E16" s="483"/>
      <c r="F16" s="484"/>
      <c r="G16" s="485"/>
      <c r="H16" s="486"/>
      <c r="I16" s="487"/>
      <c r="J16" s="488"/>
      <c r="K16" s="489"/>
      <c r="L16" s="489"/>
      <c r="M16" s="489"/>
      <c r="N16" s="489"/>
      <c r="O16" s="488"/>
      <c r="P16" s="487"/>
      <c r="Q16" s="420"/>
    </row>
    <row r="17" spans="2:17" s="426" customFormat="1" ht="11.25" x14ac:dyDescent="0.2">
      <c r="B17" s="1287"/>
      <c r="C17" s="1253"/>
      <c r="D17" s="490" t="s">
        <v>598</v>
      </c>
      <c r="E17" s="483"/>
      <c r="F17" s="484"/>
      <c r="G17" s="485"/>
      <c r="H17" s="486"/>
      <c r="I17" s="487"/>
      <c r="J17" s="488"/>
      <c r="K17" s="489"/>
      <c r="L17" s="489"/>
      <c r="M17" s="489"/>
      <c r="N17" s="489"/>
      <c r="O17" s="488"/>
      <c r="P17" s="487"/>
      <c r="Q17" s="420"/>
    </row>
    <row r="18" spans="2:17" s="426" customFormat="1" ht="11.25" x14ac:dyDescent="0.2">
      <c r="B18" s="1287"/>
      <c r="C18" s="1253"/>
      <c r="D18" s="490" t="s">
        <v>599</v>
      </c>
      <c r="E18" s="483"/>
      <c r="F18" s="484" t="s">
        <v>9</v>
      </c>
      <c r="G18" s="485"/>
      <c r="H18" s="439">
        <f>E18*G18</f>
        <v>0</v>
      </c>
      <c r="I18" s="440">
        <f>SUM(H15:H18)</f>
        <v>0</v>
      </c>
      <c r="J18" s="441">
        <f>I18*$J$5</f>
        <v>0</v>
      </c>
      <c r="K18" s="442">
        <f>SUM(I18:J18)*$K$5</f>
        <v>0</v>
      </c>
      <c r="L18" s="442">
        <f>SUM(I18:K18)*$L$5</f>
        <v>0</v>
      </c>
      <c r="M18" s="442">
        <f>SUM(I18:L18)*$M$5</f>
        <v>0</v>
      </c>
      <c r="N18" s="442">
        <f>SUM(I18:M18)*$N$5</f>
        <v>0</v>
      </c>
      <c r="O18" s="443">
        <f>SUM(I18:N18)</f>
        <v>0</v>
      </c>
      <c r="P18" s="440">
        <f>ROUND(O18,-3)</f>
        <v>0</v>
      </c>
      <c r="Q18" s="420" t="s">
        <v>600</v>
      </c>
    </row>
    <row r="19" spans="2:17" s="426" customFormat="1" ht="11.25" x14ac:dyDescent="0.2">
      <c r="B19" s="1287"/>
      <c r="C19" s="1253"/>
      <c r="D19" s="710"/>
      <c r="E19" s="711"/>
      <c r="F19" s="594"/>
      <c r="G19" s="606"/>
      <c r="H19" s="596"/>
      <c r="I19" s="597"/>
      <c r="J19" s="598"/>
      <c r="K19" s="599"/>
      <c r="L19" s="599"/>
      <c r="M19" s="599"/>
      <c r="N19" s="599"/>
      <c r="O19" s="600"/>
      <c r="P19" s="597"/>
      <c r="Q19" s="420"/>
    </row>
    <row r="20" spans="2:17" s="426" customFormat="1" ht="11.25" x14ac:dyDescent="0.2">
      <c r="B20" s="1287"/>
      <c r="C20" s="1253"/>
      <c r="D20" s="753" t="s">
        <v>557</v>
      </c>
      <c r="E20" s="483"/>
      <c r="F20" s="484"/>
      <c r="G20" s="485"/>
      <c r="H20" s="486"/>
      <c r="I20" s="487"/>
      <c r="J20" s="488"/>
      <c r="K20" s="489"/>
      <c r="L20" s="489"/>
      <c r="M20" s="489"/>
      <c r="N20" s="489"/>
      <c r="O20" s="488"/>
      <c r="P20" s="487"/>
      <c r="Q20" s="420"/>
    </row>
    <row r="21" spans="2:17" s="426" customFormat="1" ht="11.25" x14ac:dyDescent="0.2">
      <c r="B21" s="1287"/>
      <c r="C21" s="1253"/>
      <c r="D21" s="490" t="s">
        <v>598</v>
      </c>
      <c r="E21" s="483"/>
      <c r="F21" s="484"/>
      <c r="G21" s="485"/>
      <c r="H21" s="486"/>
      <c r="I21" s="487"/>
      <c r="J21" s="488"/>
      <c r="K21" s="489"/>
      <c r="L21" s="489"/>
      <c r="M21" s="489"/>
      <c r="N21" s="489"/>
      <c r="O21" s="488"/>
      <c r="P21" s="487"/>
      <c r="Q21" s="420"/>
    </row>
    <row r="22" spans="2:17" s="426" customFormat="1" ht="11.25" x14ac:dyDescent="0.2">
      <c r="B22" s="1287"/>
      <c r="C22" s="1253"/>
      <c r="D22" s="490" t="s">
        <v>599</v>
      </c>
      <c r="E22" s="483"/>
      <c r="F22" s="484" t="s">
        <v>9</v>
      </c>
      <c r="G22" s="485"/>
      <c r="H22" s="439">
        <f>E22*G22</f>
        <v>0</v>
      </c>
      <c r="I22" s="440">
        <f>SUM(H19:H22)</f>
        <v>0</v>
      </c>
      <c r="J22" s="441">
        <f>I22*$J$5</f>
        <v>0</v>
      </c>
      <c r="K22" s="442">
        <f>SUM(I22:J22)*$K$5</f>
        <v>0</v>
      </c>
      <c r="L22" s="442">
        <f>SUM(I22:K22)*$L$5</f>
        <v>0</v>
      </c>
      <c r="M22" s="442">
        <f>SUM(I22:L22)*$M$5</f>
        <v>0</v>
      </c>
      <c r="N22" s="442">
        <f>SUM(I22:M22)*$N$5</f>
        <v>0</v>
      </c>
      <c r="O22" s="443">
        <f>SUM(I22:N22)</f>
        <v>0</v>
      </c>
      <c r="P22" s="440">
        <f>ROUND(O22,-3)</f>
        <v>0</v>
      </c>
      <c r="Q22" s="420" t="s">
        <v>600</v>
      </c>
    </row>
    <row r="23" spans="2:17" s="426" customFormat="1" ht="12" thickBot="1" x14ac:dyDescent="0.25">
      <c r="B23" s="1288"/>
      <c r="C23" s="1254"/>
      <c r="D23" s="444"/>
      <c r="E23" s="445"/>
      <c r="F23" s="446"/>
      <c r="G23" s="447"/>
      <c r="H23" s="448"/>
      <c r="I23" s="449"/>
      <c r="J23" s="450"/>
      <c r="K23" s="451"/>
      <c r="L23" s="451"/>
      <c r="M23" s="451"/>
      <c r="N23" s="451"/>
      <c r="O23" s="450"/>
      <c r="P23" s="449"/>
    </row>
    <row r="24" spans="2:17" s="420" customFormat="1" ht="11.25" x14ac:dyDescent="0.2">
      <c r="B24" s="1286" t="str">
        <f>'Detailed Matrix'!E91</f>
        <v>High Intervention</v>
      </c>
      <c r="C24" s="1252" t="str">
        <f>'Detailed Matrix'!F91</f>
        <v>Grid independence</v>
      </c>
      <c r="D24" s="427"/>
      <c r="E24" s="428"/>
      <c r="F24" s="429"/>
      <c r="G24" s="430"/>
      <c r="H24" s="431"/>
      <c r="I24" s="432"/>
      <c r="J24" s="433"/>
      <c r="K24" s="434"/>
      <c r="L24" s="434"/>
      <c r="M24" s="434"/>
      <c r="N24" s="434"/>
      <c r="O24" s="433"/>
      <c r="P24" s="432"/>
    </row>
    <row r="25" spans="2:17" s="420" customFormat="1" ht="11.25" x14ac:dyDescent="0.2">
      <c r="B25" s="1287"/>
      <c r="C25" s="1253"/>
      <c r="D25" s="753" t="s">
        <v>556</v>
      </c>
      <c r="E25" s="483"/>
      <c r="F25" s="484"/>
      <c r="G25" s="485"/>
      <c r="H25" s="486"/>
      <c r="I25" s="487"/>
      <c r="J25" s="488"/>
      <c r="K25" s="489"/>
      <c r="L25" s="489"/>
      <c r="M25" s="489"/>
      <c r="N25" s="489"/>
      <c r="O25" s="488"/>
      <c r="P25" s="487"/>
    </row>
    <row r="26" spans="2:17" s="420" customFormat="1" ht="11.25" x14ac:dyDescent="0.2">
      <c r="B26" s="1287"/>
      <c r="C26" s="1253"/>
      <c r="D26" s="490" t="s">
        <v>598</v>
      </c>
      <c r="E26" s="483"/>
      <c r="F26" s="484"/>
      <c r="G26" s="485"/>
      <c r="H26" s="486"/>
      <c r="I26" s="487"/>
      <c r="J26" s="488"/>
      <c r="K26" s="489"/>
      <c r="L26" s="489"/>
      <c r="M26" s="489"/>
      <c r="N26" s="489"/>
      <c r="O26" s="488"/>
      <c r="P26" s="487"/>
    </row>
    <row r="27" spans="2:17" s="420" customFormat="1" ht="11.25" x14ac:dyDescent="0.2">
      <c r="B27" s="1287"/>
      <c r="C27" s="1253"/>
      <c r="D27" s="490" t="s">
        <v>599</v>
      </c>
      <c r="E27" s="483"/>
      <c r="F27" s="484" t="s">
        <v>9</v>
      </c>
      <c r="G27" s="485"/>
      <c r="H27" s="439">
        <f>E27*G27</f>
        <v>0</v>
      </c>
      <c r="I27" s="440">
        <f>SUM(H24:H27)</f>
        <v>0</v>
      </c>
      <c r="J27" s="441">
        <f>I27*$J$5</f>
        <v>0</v>
      </c>
      <c r="K27" s="442">
        <f>SUM(I27:J27)*$K$5</f>
        <v>0</v>
      </c>
      <c r="L27" s="442">
        <f>SUM(I27:K27)*$L$5</f>
        <v>0</v>
      </c>
      <c r="M27" s="442">
        <f>SUM(I27:L27)*$M$5</f>
        <v>0</v>
      </c>
      <c r="N27" s="442">
        <f>SUM(I27:M27)*$N$5</f>
        <v>0</v>
      </c>
      <c r="O27" s="443">
        <f>SUM(I27:N27)</f>
        <v>0</v>
      </c>
      <c r="P27" s="440">
        <f>ROUND(O27,-3)</f>
        <v>0</v>
      </c>
      <c r="Q27" s="420" t="s">
        <v>600</v>
      </c>
    </row>
    <row r="28" spans="2:17" s="420" customFormat="1" ht="11.25" x14ac:dyDescent="0.2">
      <c r="B28" s="1287"/>
      <c r="C28" s="1253"/>
      <c r="D28" s="710"/>
      <c r="E28" s="711"/>
      <c r="F28" s="594"/>
      <c r="G28" s="606"/>
      <c r="H28" s="596"/>
      <c r="I28" s="597"/>
      <c r="J28" s="598"/>
      <c r="K28" s="599"/>
      <c r="L28" s="599"/>
      <c r="M28" s="599"/>
      <c r="N28" s="599"/>
      <c r="O28" s="600"/>
      <c r="P28" s="597"/>
    </row>
    <row r="29" spans="2:17" s="420" customFormat="1" ht="11.25" x14ac:dyDescent="0.2">
      <c r="B29" s="1287"/>
      <c r="C29" s="1253"/>
      <c r="D29" s="753" t="s">
        <v>557</v>
      </c>
      <c r="E29" s="483"/>
      <c r="F29" s="484"/>
      <c r="G29" s="485"/>
      <c r="H29" s="486"/>
      <c r="I29" s="487"/>
      <c r="J29" s="488"/>
      <c r="K29" s="489"/>
      <c r="L29" s="489"/>
      <c r="M29" s="489"/>
      <c r="N29" s="489"/>
      <c r="O29" s="488"/>
      <c r="P29" s="487"/>
    </row>
    <row r="30" spans="2:17" s="420" customFormat="1" ht="11.25" x14ac:dyDescent="0.2">
      <c r="B30" s="1287"/>
      <c r="C30" s="1253"/>
      <c r="D30" s="490" t="s">
        <v>598</v>
      </c>
      <c r="E30" s="483"/>
      <c r="F30" s="484"/>
      <c r="G30" s="485"/>
      <c r="H30" s="486"/>
      <c r="I30" s="487"/>
      <c r="J30" s="488"/>
      <c r="K30" s="489"/>
      <c r="L30" s="489"/>
      <c r="M30" s="489"/>
      <c r="N30" s="489"/>
      <c r="O30" s="488"/>
      <c r="P30" s="487"/>
    </row>
    <row r="31" spans="2:17" s="420" customFormat="1" ht="11.25" x14ac:dyDescent="0.2">
      <c r="B31" s="1287"/>
      <c r="C31" s="1253"/>
      <c r="D31" s="490" t="s">
        <v>599</v>
      </c>
      <c r="E31" s="483"/>
      <c r="F31" s="484" t="s">
        <v>9</v>
      </c>
      <c r="G31" s="485"/>
      <c r="H31" s="439">
        <f>E31*G31</f>
        <v>0</v>
      </c>
      <c r="I31" s="440">
        <f>SUM(H28:H31)</f>
        <v>0</v>
      </c>
      <c r="J31" s="441">
        <f>I31*$J$5</f>
        <v>0</v>
      </c>
      <c r="K31" s="442">
        <f>SUM(I31:J31)*$K$5</f>
        <v>0</v>
      </c>
      <c r="L31" s="442">
        <f>SUM(I31:K31)*$L$5</f>
        <v>0</v>
      </c>
      <c r="M31" s="442">
        <f>SUM(I31:L31)*$M$5</f>
        <v>0</v>
      </c>
      <c r="N31" s="442">
        <f>SUM(I31:M31)*$N$5</f>
        <v>0</v>
      </c>
      <c r="O31" s="443">
        <f>SUM(I31:N31)</f>
        <v>0</v>
      </c>
      <c r="P31" s="440">
        <f>ROUND(O31,-3)</f>
        <v>0</v>
      </c>
      <c r="Q31" s="420" t="s">
        <v>600</v>
      </c>
    </row>
    <row r="32" spans="2:17" s="420" customFormat="1" ht="12" thickBot="1" x14ac:dyDescent="0.25">
      <c r="B32" s="1288"/>
      <c r="C32" s="1254"/>
      <c r="D32" s="444"/>
      <c r="E32" s="445"/>
      <c r="F32" s="446"/>
      <c r="G32" s="447"/>
      <c r="H32" s="448"/>
      <c r="I32" s="449"/>
      <c r="J32" s="450"/>
      <c r="K32" s="451"/>
      <c r="L32" s="451"/>
      <c r="M32" s="451"/>
      <c r="N32" s="451"/>
      <c r="O32" s="450"/>
      <c r="P32" s="449"/>
    </row>
  </sheetData>
  <mergeCells count="7">
    <mergeCell ref="B2:P3"/>
    <mergeCell ref="C6:C14"/>
    <mergeCell ref="C15:C23"/>
    <mergeCell ref="C24:C32"/>
    <mergeCell ref="B24:B32"/>
    <mergeCell ref="B15:B23"/>
    <mergeCell ref="B6:B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7CC31-903B-4145-9F92-E700788B57B0}">
  <sheetPr>
    <tabColor rgb="FF0070C0"/>
  </sheetPr>
  <dimension ref="B2:Q89"/>
  <sheetViews>
    <sheetView zoomScale="130" zoomScaleNormal="130" workbookViewId="0">
      <selection activeCell="D6" sqref="D6:P15"/>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Energy Monitoring</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1.25" x14ac:dyDescent="0.2">
      <c r="B6" s="1263" t="str">
        <f>'Detailed Matrix'!E93</f>
        <v>Energy Management &amp; Monitoring</v>
      </c>
      <c r="C6" s="1295" t="str">
        <f>'Detailed Matrix'!F93</f>
        <v>Stage 01 - Automated Meter Reading (AMR) with sub-metering for specific sub-areas/equipment; includign integration with BMA</v>
      </c>
      <c r="D6" s="390" t="s">
        <v>556</v>
      </c>
      <c r="E6" s="391">
        <v>1</v>
      </c>
      <c r="F6" s="392"/>
      <c r="G6" s="824"/>
      <c r="H6" s="842">
        <f t="shared" ref="H6:H9" si="0">E6*G6</f>
        <v>0</v>
      </c>
      <c r="I6" s="833"/>
      <c r="J6" s="396"/>
      <c r="K6" s="397"/>
      <c r="L6" s="397"/>
      <c r="M6" s="397"/>
      <c r="N6" s="397"/>
      <c r="O6" s="853"/>
      <c r="P6" s="395"/>
    </row>
    <row r="7" spans="2:17" s="420" customFormat="1" ht="11.25" x14ac:dyDescent="0.2">
      <c r="B7" s="1264"/>
      <c r="C7" s="1296"/>
      <c r="D7" s="768"/>
      <c r="E7" s="399">
        <v>1</v>
      </c>
      <c r="F7" s="400"/>
      <c r="G7" s="825"/>
      <c r="H7" s="842">
        <f t="shared" si="0"/>
        <v>0</v>
      </c>
      <c r="I7" s="850"/>
      <c r="J7" s="724"/>
      <c r="K7" s="725"/>
      <c r="L7" s="725"/>
      <c r="M7" s="725"/>
      <c r="N7" s="725"/>
      <c r="O7" s="854"/>
      <c r="P7" s="723"/>
    </row>
    <row r="8" spans="2:17" s="420" customFormat="1" ht="11.25" x14ac:dyDescent="0.2">
      <c r="B8" s="1264"/>
      <c r="C8" s="1296"/>
      <c r="D8" s="768"/>
      <c r="E8" s="399">
        <v>1</v>
      </c>
      <c r="F8" s="400"/>
      <c r="G8" s="825"/>
      <c r="H8" s="842">
        <f t="shared" si="0"/>
        <v>0</v>
      </c>
      <c r="I8" s="850"/>
      <c r="J8" s="724"/>
      <c r="K8" s="725"/>
      <c r="L8" s="725"/>
      <c r="M8" s="725"/>
      <c r="N8" s="725"/>
      <c r="O8" s="854"/>
      <c r="P8" s="723"/>
    </row>
    <row r="9" spans="2:17" s="420" customFormat="1" ht="11.25" x14ac:dyDescent="0.2">
      <c r="B9" s="1264"/>
      <c r="C9" s="1296"/>
      <c r="D9" s="768"/>
      <c r="E9" s="399">
        <v>1</v>
      </c>
      <c r="F9" s="400"/>
      <c r="G9" s="825"/>
      <c r="H9" s="842">
        <f t="shared" si="0"/>
        <v>0</v>
      </c>
      <c r="I9" s="850"/>
      <c r="J9" s="724"/>
      <c r="K9" s="725"/>
      <c r="L9" s="725"/>
      <c r="M9" s="725"/>
      <c r="N9" s="725"/>
      <c r="O9" s="854"/>
      <c r="P9" s="723"/>
    </row>
    <row r="10" spans="2:17" s="420" customFormat="1" ht="11.25" x14ac:dyDescent="0.2">
      <c r="B10" s="1264"/>
      <c r="C10" s="1296"/>
      <c r="D10" s="398"/>
      <c r="E10" s="399">
        <v>1</v>
      </c>
      <c r="F10" s="400"/>
      <c r="G10" s="825"/>
      <c r="H10" s="842">
        <f t="shared" ref="H10:H14" si="1">E10*G10</f>
        <v>0</v>
      </c>
      <c r="I10" s="851">
        <f>SUM(H6:H10)</f>
        <v>0</v>
      </c>
      <c r="J10" s="404">
        <f>I10*$J$5</f>
        <v>0</v>
      </c>
      <c r="K10" s="405">
        <f>SUM(I10:J10)*$K$5</f>
        <v>0</v>
      </c>
      <c r="L10" s="405">
        <f>SUM(I10:K10)*$L$5</f>
        <v>0</v>
      </c>
      <c r="M10" s="405">
        <f>SUM(I10:L10)*$M$5</f>
        <v>0</v>
      </c>
      <c r="N10" s="405">
        <f>SUM(I10:M10)*$N$5</f>
        <v>0</v>
      </c>
      <c r="O10" s="855">
        <f>SUM(I10:N10)</f>
        <v>0</v>
      </c>
      <c r="P10" s="403">
        <f>ROUND(O10,-3)</f>
        <v>0</v>
      </c>
      <c r="Q10" s="420" t="s">
        <v>600</v>
      </c>
    </row>
    <row r="11" spans="2:17" s="420" customFormat="1" ht="11.25" x14ac:dyDescent="0.2">
      <c r="B11" s="1264"/>
      <c r="C11" s="1296"/>
      <c r="D11" s="398"/>
      <c r="E11" s="399"/>
      <c r="F11" s="400"/>
      <c r="G11" s="825"/>
      <c r="H11" s="842"/>
      <c r="I11" s="835"/>
      <c r="J11" s="719"/>
      <c r="K11" s="720"/>
      <c r="L11" s="720"/>
      <c r="M11" s="720"/>
      <c r="N11" s="720"/>
      <c r="O11" s="856"/>
      <c r="P11" s="718"/>
    </row>
    <row r="12" spans="2:17" s="420" customFormat="1" ht="11.25" x14ac:dyDescent="0.2">
      <c r="B12" s="1264"/>
      <c r="C12" s="1296"/>
      <c r="D12" s="768" t="s">
        <v>557</v>
      </c>
      <c r="E12" s="399">
        <v>1</v>
      </c>
      <c r="F12" s="400"/>
      <c r="G12" s="825"/>
      <c r="H12" s="842">
        <f t="shared" si="1"/>
        <v>0</v>
      </c>
      <c r="I12" s="835"/>
      <c r="J12" s="719"/>
      <c r="K12" s="720"/>
      <c r="L12" s="720"/>
      <c r="M12" s="720"/>
      <c r="N12" s="720"/>
      <c r="O12" s="856"/>
      <c r="P12" s="718"/>
    </row>
    <row r="13" spans="2:17" s="420" customFormat="1" ht="11.25" x14ac:dyDescent="0.2">
      <c r="B13" s="1264"/>
      <c r="C13" s="1296"/>
      <c r="D13" s="768"/>
      <c r="E13" s="399">
        <v>1</v>
      </c>
      <c r="F13" s="400"/>
      <c r="G13" s="825"/>
      <c r="H13" s="842">
        <f t="shared" si="1"/>
        <v>0</v>
      </c>
      <c r="I13" s="835"/>
      <c r="J13" s="719"/>
      <c r="K13" s="720"/>
      <c r="L13" s="720"/>
      <c r="M13" s="720"/>
      <c r="N13" s="720"/>
      <c r="O13" s="856"/>
      <c r="P13" s="718"/>
    </row>
    <row r="14" spans="2:17" s="420" customFormat="1" ht="11.25" x14ac:dyDescent="0.2">
      <c r="B14" s="1264"/>
      <c r="C14" s="1296"/>
      <c r="D14" s="768"/>
      <c r="E14" s="399">
        <v>1</v>
      </c>
      <c r="F14" s="400"/>
      <c r="G14" s="825"/>
      <c r="H14" s="842">
        <f t="shared" si="1"/>
        <v>0</v>
      </c>
      <c r="I14" s="835"/>
      <c r="J14" s="719"/>
      <c r="K14" s="720"/>
      <c r="L14" s="720"/>
      <c r="M14" s="720"/>
      <c r="N14" s="720"/>
      <c r="O14" s="856"/>
      <c r="P14" s="718"/>
    </row>
    <row r="15" spans="2:17" s="420" customFormat="1" ht="12" thickBot="1" x14ac:dyDescent="0.25">
      <c r="B15" s="1265"/>
      <c r="C15" s="1297"/>
      <c r="D15" s="407"/>
      <c r="E15" s="399">
        <v>1</v>
      </c>
      <c r="F15" s="400"/>
      <c r="G15" s="825"/>
      <c r="H15" s="842">
        <f t="shared" ref="H15" si="2">E15*G15</f>
        <v>0</v>
      </c>
      <c r="I15" s="852">
        <f>SUM(H12:H15)</f>
        <v>0</v>
      </c>
      <c r="J15" s="404">
        <f>I15*$J$5</f>
        <v>0</v>
      </c>
      <c r="K15" s="405">
        <f>SUM(I15:J15)*$K$5</f>
        <v>0</v>
      </c>
      <c r="L15" s="405">
        <f>SUM(I15:K15)*$L$5</f>
        <v>0</v>
      </c>
      <c r="M15" s="405">
        <f>SUM(I15:L15)*$M$5</f>
        <v>0</v>
      </c>
      <c r="N15" s="405">
        <f>SUM(I15:M15)*$N$5</f>
        <v>0</v>
      </c>
      <c r="O15" s="855">
        <f>SUM(I15:N15)</f>
        <v>0</v>
      </c>
      <c r="P15" s="403">
        <f>ROUND(O15,-3)</f>
        <v>0</v>
      </c>
      <c r="Q15" s="420" t="s">
        <v>600</v>
      </c>
    </row>
    <row r="16" spans="2:17" s="426" customFormat="1" ht="11.25" x14ac:dyDescent="0.2">
      <c r="B16" s="1263" t="str">
        <f>'Detailed Matrix'!E94</f>
        <v>Energy Management &amp; Monitoring</v>
      </c>
      <c r="C16" s="1295" t="str">
        <f>'Detailed Matrix'!F94</f>
        <v>Stage 02 - Energy Management System (EMS) connected to BMS with data logging aids</v>
      </c>
      <c r="D16" s="390" t="s">
        <v>556</v>
      </c>
      <c r="E16" s="391"/>
      <c r="F16" s="392"/>
      <c r="G16" s="824"/>
      <c r="H16" s="841"/>
      <c r="I16" s="833"/>
      <c r="J16" s="396"/>
      <c r="K16" s="397"/>
      <c r="L16" s="397"/>
      <c r="M16" s="397"/>
      <c r="N16" s="397"/>
      <c r="O16" s="853"/>
      <c r="P16" s="395"/>
    </row>
    <row r="17" spans="2:17" s="426" customFormat="1" ht="11.25" x14ac:dyDescent="0.2">
      <c r="B17" s="1264"/>
      <c r="C17" s="1296"/>
      <c r="D17" s="768"/>
      <c r="E17" s="399">
        <v>1</v>
      </c>
      <c r="F17" s="400"/>
      <c r="G17" s="825"/>
      <c r="H17" s="849">
        <f t="shared" ref="H17:H19" si="3">E17*G17</f>
        <v>0</v>
      </c>
      <c r="I17" s="850"/>
      <c r="J17" s="724"/>
      <c r="K17" s="725"/>
      <c r="L17" s="725"/>
      <c r="M17" s="725"/>
      <c r="N17" s="725"/>
      <c r="O17" s="854"/>
      <c r="P17" s="723"/>
    </row>
    <row r="18" spans="2:17" s="426" customFormat="1" ht="11.25" x14ac:dyDescent="0.2">
      <c r="B18" s="1264"/>
      <c r="C18" s="1296"/>
      <c r="D18" s="768"/>
      <c r="E18" s="399">
        <v>1</v>
      </c>
      <c r="F18" s="400"/>
      <c r="G18" s="825"/>
      <c r="H18" s="849">
        <f t="shared" si="3"/>
        <v>0</v>
      </c>
      <c r="I18" s="850"/>
      <c r="J18" s="724"/>
      <c r="K18" s="725"/>
      <c r="L18" s="725"/>
      <c r="M18" s="725"/>
      <c r="N18" s="725"/>
      <c r="O18" s="854"/>
      <c r="P18" s="723"/>
    </row>
    <row r="19" spans="2:17" s="426" customFormat="1" ht="11.25" x14ac:dyDescent="0.2">
      <c r="B19" s="1264"/>
      <c r="C19" s="1296"/>
      <c r="D19" s="768" t="s">
        <v>558</v>
      </c>
      <c r="E19" s="399">
        <v>-1</v>
      </c>
      <c r="F19" s="400"/>
      <c r="G19" s="825">
        <f>I10</f>
        <v>0</v>
      </c>
      <c r="H19" s="849">
        <f t="shared" si="3"/>
        <v>0</v>
      </c>
      <c r="I19" s="850"/>
      <c r="J19" s="724"/>
      <c r="K19" s="725"/>
      <c r="L19" s="725"/>
      <c r="M19" s="725"/>
      <c r="N19" s="725"/>
      <c r="O19" s="854"/>
      <c r="P19" s="723"/>
    </row>
    <row r="20" spans="2:17" s="426" customFormat="1" ht="11.25" x14ac:dyDescent="0.2">
      <c r="B20" s="1264"/>
      <c r="C20" s="1296"/>
      <c r="D20" s="398"/>
      <c r="E20" s="399"/>
      <c r="F20" s="400"/>
      <c r="G20" s="825"/>
      <c r="H20" s="842">
        <f t="shared" ref="H20" si="4">E20*G20</f>
        <v>0</v>
      </c>
      <c r="I20" s="851">
        <f>SUM(H16:H20)</f>
        <v>0</v>
      </c>
      <c r="J20" s="404">
        <f>I20*$J$5</f>
        <v>0</v>
      </c>
      <c r="K20" s="405">
        <f>SUM(I20:J20)*$K$5</f>
        <v>0</v>
      </c>
      <c r="L20" s="405">
        <f>SUM(I20:K20)*$L$5</f>
        <v>0</v>
      </c>
      <c r="M20" s="405">
        <f>SUM(I20:L20)*$M$5</f>
        <v>0</v>
      </c>
      <c r="N20" s="405">
        <f>SUM(I20:M20)*$N$5</f>
        <v>0</v>
      </c>
      <c r="O20" s="855">
        <f>SUM(I20:N20)</f>
        <v>0</v>
      </c>
      <c r="P20" s="403">
        <f>ROUND(O20,-3)</f>
        <v>0</v>
      </c>
      <c r="Q20" s="426" t="s">
        <v>600</v>
      </c>
    </row>
    <row r="21" spans="2:17" s="426" customFormat="1" ht="11.25" x14ac:dyDescent="0.2">
      <c r="B21" s="1264"/>
      <c r="C21" s="1296"/>
      <c r="D21" s="768" t="s">
        <v>557</v>
      </c>
      <c r="E21" s="399"/>
      <c r="F21" s="400"/>
      <c r="G21" s="825"/>
      <c r="H21" s="843"/>
      <c r="I21" s="835"/>
      <c r="J21" s="719"/>
      <c r="K21" s="720"/>
      <c r="L21" s="720"/>
      <c r="M21" s="720"/>
      <c r="N21" s="720"/>
      <c r="O21" s="856"/>
      <c r="P21" s="718"/>
    </row>
    <row r="22" spans="2:17" s="426" customFormat="1" ht="11.25" x14ac:dyDescent="0.2">
      <c r="B22" s="1264"/>
      <c r="C22" s="1296"/>
      <c r="D22" s="768"/>
      <c r="E22" s="399">
        <v>1</v>
      </c>
      <c r="F22" s="400"/>
      <c r="G22" s="825"/>
      <c r="H22" s="843">
        <f>E22*G22</f>
        <v>0</v>
      </c>
      <c r="I22" s="835"/>
      <c r="J22" s="719"/>
      <c r="K22" s="720"/>
      <c r="L22" s="720"/>
      <c r="M22" s="720"/>
      <c r="N22" s="720"/>
      <c r="O22" s="856"/>
      <c r="P22" s="718"/>
    </row>
    <row r="23" spans="2:17" s="426" customFormat="1" ht="11.25" x14ac:dyDescent="0.2">
      <c r="B23" s="1264"/>
      <c r="C23" s="1296"/>
      <c r="D23" s="768"/>
      <c r="E23" s="399">
        <v>1</v>
      </c>
      <c r="F23" s="400"/>
      <c r="G23" s="825"/>
      <c r="H23" s="843">
        <f>E23*G23</f>
        <v>0</v>
      </c>
      <c r="I23" s="835"/>
      <c r="J23" s="719"/>
      <c r="K23" s="720"/>
      <c r="L23" s="720"/>
      <c r="M23" s="720"/>
      <c r="N23" s="720"/>
      <c r="O23" s="856"/>
      <c r="P23" s="718"/>
    </row>
    <row r="24" spans="2:17" s="426" customFormat="1" ht="11.25" x14ac:dyDescent="0.2">
      <c r="B24" s="1264"/>
      <c r="C24" s="1296"/>
      <c r="D24" s="768" t="s">
        <v>558</v>
      </c>
      <c r="E24" s="399">
        <v>-1</v>
      </c>
      <c r="F24" s="400"/>
      <c r="G24" s="825">
        <f>I15</f>
        <v>0</v>
      </c>
      <c r="H24" s="843"/>
      <c r="I24" s="835"/>
      <c r="J24" s="719"/>
      <c r="K24" s="720"/>
      <c r="L24" s="720"/>
      <c r="M24" s="720"/>
      <c r="N24" s="720"/>
      <c r="O24" s="856"/>
      <c r="P24" s="718"/>
    </row>
    <row r="25" spans="2:17" s="426" customFormat="1" ht="12" thickBot="1" x14ac:dyDescent="0.25">
      <c r="B25" s="1265"/>
      <c r="C25" s="1297"/>
      <c r="D25" s="407"/>
      <c r="E25" s="408">
        <v>1</v>
      </c>
      <c r="F25" s="409"/>
      <c r="G25" s="826"/>
      <c r="H25" s="842">
        <f t="shared" ref="H25" si="5">E25*G25</f>
        <v>0</v>
      </c>
      <c r="I25" s="852">
        <f>SUM(H21:H25)</f>
        <v>0</v>
      </c>
      <c r="J25" s="404">
        <f>I25*$J$5</f>
        <v>0</v>
      </c>
      <c r="K25" s="405">
        <f>SUM(I25:J25)*$K$5</f>
        <v>0</v>
      </c>
      <c r="L25" s="405">
        <f>SUM(I25:K25)*$L$5</f>
        <v>0</v>
      </c>
      <c r="M25" s="405">
        <f>SUM(I25:L25)*$M$5</f>
        <v>0</v>
      </c>
      <c r="N25" s="405">
        <f>SUM(I25:M25)*$N$5</f>
        <v>0</v>
      </c>
      <c r="O25" s="855">
        <f>SUM(I25:N25)</f>
        <v>0</v>
      </c>
      <c r="P25" s="403">
        <f>ROUND(O25,-3)</f>
        <v>0</v>
      </c>
      <c r="Q25" s="426" t="s">
        <v>600</v>
      </c>
    </row>
    <row r="26" spans="2:17" s="420" customFormat="1" ht="11.25" x14ac:dyDescent="0.2">
      <c r="B26" s="1263" t="str">
        <f>'Detailed Matrix'!E95</f>
        <v>Energy Management &amp; Monitoring</v>
      </c>
      <c r="C26" s="1289" t="str">
        <f>'Detailed Matrix'!F95</f>
        <v>Stage 03 - Interactive tools tracking energy consumption in real-time allowing for immediate adjustments to reduce waste with BMA using optimisation algorithms to automatically adjust settings for optimal energy efficiency</v>
      </c>
      <c r="D26" s="390" t="s">
        <v>556</v>
      </c>
      <c r="E26" s="391"/>
      <c r="F26" s="392"/>
      <c r="G26" s="824"/>
      <c r="H26" s="841"/>
      <c r="I26" s="833"/>
      <c r="J26" s="396"/>
      <c r="K26" s="397"/>
      <c r="L26" s="397"/>
      <c r="M26" s="397"/>
      <c r="N26" s="397"/>
      <c r="O26" s="853"/>
      <c r="P26" s="395"/>
    </row>
    <row r="27" spans="2:17" s="420" customFormat="1" ht="11.25" x14ac:dyDescent="0.2">
      <c r="B27" s="1264"/>
      <c r="C27" s="1290"/>
      <c r="D27" s="768"/>
      <c r="E27" s="399">
        <v>1</v>
      </c>
      <c r="F27" s="400"/>
      <c r="G27" s="825"/>
      <c r="H27" s="849">
        <f t="shared" ref="H27:H29" si="6">E27*G27</f>
        <v>0</v>
      </c>
      <c r="I27" s="850"/>
      <c r="J27" s="724"/>
      <c r="K27" s="725"/>
      <c r="L27" s="725"/>
      <c r="M27" s="725"/>
      <c r="N27" s="725"/>
      <c r="O27" s="854"/>
      <c r="P27" s="723"/>
    </row>
    <row r="28" spans="2:17" s="420" customFormat="1" ht="11.25" x14ac:dyDescent="0.2">
      <c r="B28" s="1264"/>
      <c r="C28" s="1290"/>
      <c r="D28" s="768"/>
      <c r="E28" s="399">
        <v>1</v>
      </c>
      <c r="F28" s="400"/>
      <c r="G28" s="825"/>
      <c r="H28" s="849">
        <f t="shared" si="6"/>
        <v>0</v>
      </c>
      <c r="I28" s="850"/>
      <c r="J28" s="724"/>
      <c r="K28" s="725"/>
      <c r="L28" s="725"/>
      <c r="M28" s="725"/>
      <c r="N28" s="725"/>
      <c r="O28" s="854"/>
      <c r="P28" s="723"/>
    </row>
    <row r="29" spans="2:17" s="420" customFormat="1" ht="11.25" x14ac:dyDescent="0.2">
      <c r="B29" s="1264"/>
      <c r="C29" s="1290"/>
      <c r="D29" s="768" t="s">
        <v>601</v>
      </c>
      <c r="E29" s="399">
        <v>-1</v>
      </c>
      <c r="F29" s="400"/>
      <c r="G29" s="825">
        <f>SUM(I10,I20)</f>
        <v>0</v>
      </c>
      <c r="H29" s="849">
        <f t="shared" si="6"/>
        <v>0</v>
      </c>
      <c r="I29" s="850"/>
      <c r="J29" s="724"/>
      <c r="K29" s="725"/>
      <c r="L29" s="725"/>
      <c r="M29" s="725"/>
      <c r="N29" s="725"/>
      <c r="O29" s="854"/>
      <c r="P29" s="723"/>
    </row>
    <row r="30" spans="2:17" s="420" customFormat="1" ht="11.25" x14ac:dyDescent="0.2">
      <c r="B30" s="1264"/>
      <c r="C30" s="1290"/>
      <c r="D30" s="768"/>
      <c r="E30" s="399"/>
      <c r="F30" s="400"/>
      <c r="G30" s="825"/>
      <c r="H30" s="849"/>
      <c r="I30" s="850"/>
      <c r="J30" s="724"/>
      <c r="K30" s="725"/>
      <c r="L30" s="725"/>
      <c r="M30" s="725"/>
      <c r="N30" s="725"/>
      <c r="O30" s="854"/>
      <c r="P30" s="723"/>
    </row>
    <row r="31" spans="2:17" s="420" customFormat="1" ht="11.25" x14ac:dyDescent="0.2">
      <c r="B31" s="1264"/>
      <c r="C31" s="1290"/>
      <c r="D31" s="398"/>
      <c r="E31" s="399"/>
      <c r="F31" s="400"/>
      <c r="G31" s="400"/>
      <c r="H31" s="842">
        <f t="shared" ref="H31" si="7">E31*G31</f>
        <v>0</v>
      </c>
      <c r="I31" s="851">
        <f>SUM(H26:H31)</f>
        <v>0</v>
      </c>
      <c r="J31" s="404">
        <f>I31*$J$5</f>
        <v>0</v>
      </c>
      <c r="K31" s="405">
        <f>SUM(I31:J31)*$K$5</f>
        <v>0</v>
      </c>
      <c r="L31" s="405">
        <f>SUM(I31:K31)*$L$5</f>
        <v>0</v>
      </c>
      <c r="M31" s="405">
        <f>SUM(I31:L31)*$M$5</f>
        <v>0</v>
      </c>
      <c r="N31" s="405">
        <f>SUM(I31:M31)*$N$5</f>
        <v>0</v>
      </c>
      <c r="O31" s="855">
        <f>SUM(I31:N31)</f>
        <v>0</v>
      </c>
      <c r="P31" s="403">
        <f>ROUND(O31,-3)</f>
        <v>0</v>
      </c>
      <c r="Q31" s="420" t="s">
        <v>600</v>
      </c>
    </row>
    <row r="32" spans="2:17" s="420" customFormat="1" ht="11.25" x14ac:dyDescent="0.2">
      <c r="B32" s="1264"/>
      <c r="C32" s="1290"/>
      <c r="D32" s="768" t="s">
        <v>557</v>
      </c>
      <c r="E32" s="399"/>
      <c r="F32" s="400"/>
      <c r="G32" s="825"/>
      <c r="H32" s="843"/>
      <c r="I32" s="835"/>
      <c r="J32" s="719"/>
      <c r="K32" s="720"/>
      <c r="L32" s="720"/>
      <c r="M32" s="720"/>
      <c r="N32" s="720"/>
      <c r="O32" s="856"/>
      <c r="P32" s="718"/>
    </row>
    <row r="33" spans="2:17" s="420" customFormat="1" ht="11.25" x14ac:dyDescent="0.2">
      <c r="B33" s="1264"/>
      <c r="C33" s="1290"/>
      <c r="D33" s="768"/>
      <c r="E33" s="399">
        <v>1</v>
      </c>
      <c r="F33" s="400"/>
      <c r="G33" s="825"/>
      <c r="H33" s="849">
        <f t="shared" ref="H33:H35" si="8">E33*G33</f>
        <v>0</v>
      </c>
      <c r="I33" s="835"/>
      <c r="J33" s="719"/>
      <c r="K33" s="720"/>
      <c r="L33" s="720"/>
      <c r="M33" s="720"/>
      <c r="N33" s="720"/>
      <c r="O33" s="856"/>
      <c r="P33" s="718"/>
    </row>
    <row r="34" spans="2:17" s="420" customFormat="1" ht="11.25" x14ac:dyDescent="0.2">
      <c r="B34" s="1264"/>
      <c r="C34" s="1290"/>
      <c r="D34" s="768"/>
      <c r="E34" s="399">
        <v>1</v>
      </c>
      <c r="F34" s="400"/>
      <c r="G34" s="825"/>
      <c r="H34" s="849">
        <f t="shared" si="8"/>
        <v>0</v>
      </c>
      <c r="I34" s="835"/>
      <c r="J34" s="719"/>
      <c r="K34" s="720"/>
      <c r="L34" s="720"/>
      <c r="M34" s="720"/>
      <c r="N34" s="720"/>
      <c r="O34" s="856"/>
      <c r="P34" s="718"/>
    </row>
    <row r="35" spans="2:17" s="420" customFormat="1" ht="11.25" x14ac:dyDescent="0.2">
      <c r="B35" s="1264"/>
      <c r="C35" s="1290"/>
      <c r="D35" s="768" t="s">
        <v>601</v>
      </c>
      <c r="E35" s="399">
        <v>-1</v>
      </c>
      <c r="F35" s="400"/>
      <c r="G35" s="825">
        <f>SUM(I15,I25)</f>
        <v>0</v>
      </c>
      <c r="H35" s="849">
        <f t="shared" si="8"/>
        <v>0</v>
      </c>
      <c r="I35" s="835"/>
      <c r="J35" s="719"/>
      <c r="K35" s="720"/>
      <c r="L35" s="720"/>
      <c r="M35" s="720"/>
      <c r="N35" s="720"/>
      <c r="O35" s="856"/>
      <c r="P35" s="718"/>
    </row>
    <row r="36" spans="2:17" s="420" customFormat="1" ht="11.25" x14ac:dyDescent="0.2">
      <c r="B36" s="1264"/>
      <c r="C36" s="1290"/>
      <c r="D36" s="768"/>
      <c r="E36" s="399"/>
      <c r="F36" s="400"/>
      <c r="G36" s="825"/>
      <c r="H36" s="849"/>
      <c r="I36" s="835"/>
      <c r="J36" s="719"/>
      <c r="K36" s="720"/>
      <c r="L36" s="720"/>
      <c r="M36" s="720"/>
      <c r="N36" s="720"/>
      <c r="O36" s="856"/>
      <c r="P36" s="718"/>
    </row>
    <row r="37" spans="2:17" s="420" customFormat="1" ht="12" thickBot="1" x14ac:dyDescent="0.25">
      <c r="B37" s="1265"/>
      <c r="C37" s="1291"/>
      <c r="D37" s="398"/>
      <c r="E37" s="399"/>
      <c r="F37" s="400"/>
      <c r="G37" s="825"/>
      <c r="H37" s="842">
        <f t="shared" ref="H37" si="9">E37*G37</f>
        <v>0</v>
      </c>
      <c r="I37" s="852">
        <f>SUM(H32:H37)</f>
        <v>0</v>
      </c>
      <c r="J37" s="404">
        <f>I37*$J$5</f>
        <v>0</v>
      </c>
      <c r="K37" s="405">
        <f>SUM(I37:J37)*$K$5</f>
        <v>0</v>
      </c>
      <c r="L37" s="405">
        <f>SUM(I37:K37)*$L$5</f>
        <v>0</v>
      </c>
      <c r="M37" s="405">
        <f>SUM(I37:L37)*$M$5</f>
        <v>0</v>
      </c>
      <c r="N37" s="405">
        <f>SUM(I37:M37)*$N$5</f>
        <v>0</v>
      </c>
      <c r="O37" s="855">
        <f>SUM(I37:N37)</f>
        <v>0</v>
      </c>
      <c r="P37" s="403">
        <f>ROUND(O37,-3)</f>
        <v>0</v>
      </c>
      <c r="Q37" s="420" t="s">
        <v>600</v>
      </c>
    </row>
    <row r="38" spans="2:17" s="426" customFormat="1" ht="11.25" x14ac:dyDescent="0.2">
      <c r="B38" s="1263" t="str">
        <f>'Detailed Matrix'!E96</f>
        <v>Energy Management &amp; Monitoring</v>
      </c>
      <c r="C38" s="1289" t="str">
        <f>'Detailed Matrix'!F96</f>
        <v>Stage 04 - Use of real time data analysis and forecasting reduces energy use by anticipating demand and adjusting operations to reduce energy waste</v>
      </c>
      <c r="D38" s="390" t="s">
        <v>556</v>
      </c>
      <c r="E38" s="391"/>
      <c r="F38" s="392"/>
      <c r="G38" s="824"/>
      <c r="H38" s="841"/>
      <c r="I38" s="833"/>
      <c r="J38" s="396"/>
      <c r="K38" s="397"/>
      <c r="L38" s="397"/>
      <c r="M38" s="397"/>
      <c r="N38" s="397"/>
      <c r="O38" s="853"/>
      <c r="P38" s="395"/>
    </row>
    <row r="39" spans="2:17" s="426" customFormat="1" ht="11.25" x14ac:dyDescent="0.2">
      <c r="B39" s="1264"/>
      <c r="C39" s="1290"/>
      <c r="D39" s="768"/>
      <c r="E39" s="399">
        <v>1</v>
      </c>
      <c r="F39" s="400"/>
      <c r="G39" s="825"/>
      <c r="H39" s="849">
        <f t="shared" ref="H39:H42" si="10">E39*G39</f>
        <v>0</v>
      </c>
      <c r="I39" s="850"/>
      <c r="J39" s="724"/>
      <c r="K39" s="725"/>
      <c r="L39" s="725"/>
      <c r="M39" s="725"/>
      <c r="N39" s="725"/>
      <c r="O39" s="854"/>
      <c r="P39" s="723"/>
    </row>
    <row r="40" spans="2:17" s="426" customFormat="1" ht="11.25" x14ac:dyDescent="0.2">
      <c r="B40" s="1264"/>
      <c r="C40" s="1290"/>
      <c r="D40" s="768"/>
      <c r="E40" s="399">
        <v>1</v>
      </c>
      <c r="F40" s="400"/>
      <c r="G40" s="825"/>
      <c r="H40" s="849">
        <f t="shared" si="10"/>
        <v>0</v>
      </c>
      <c r="I40" s="850"/>
      <c r="J40" s="724"/>
      <c r="K40" s="725"/>
      <c r="L40" s="725"/>
      <c r="M40" s="725"/>
      <c r="N40" s="725"/>
      <c r="O40" s="854"/>
      <c r="P40" s="723"/>
    </row>
    <row r="41" spans="2:17" s="426" customFormat="1" ht="11.25" x14ac:dyDescent="0.2">
      <c r="B41" s="1264"/>
      <c r="C41" s="1290"/>
      <c r="D41" s="768" t="s">
        <v>602</v>
      </c>
      <c r="E41" s="399">
        <v>-1</v>
      </c>
      <c r="F41" s="400"/>
      <c r="G41" s="825">
        <f>I31+I20+I10</f>
        <v>0</v>
      </c>
      <c r="H41" s="849">
        <f t="shared" si="10"/>
        <v>0</v>
      </c>
      <c r="I41" s="850"/>
      <c r="J41" s="724"/>
      <c r="K41" s="725"/>
      <c r="L41" s="725"/>
      <c r="M41" s="725"/>
      <c r="N41" s="725"/>
      <c r="O41" s="854"/>
      <c r="P41" s="723"/>
    </row>
    <row r="42" spans="2:17" s="426" customFormat="1" ht="11.25" x14ac:dyDescent="0.2">
      <c r="B42" s="1264"/>
      <c r="C42" s="1290"/>
      <c r="D42" s="768"/>
      <c r="E42" s="399"/>
      <c r="F42" s="400"/>
      <c r="G42" s="825"/>
      <c r="H42" s="842">
        <f t="shared" si="10"/>
        <v>0</v>
      </c>
      <c r="I42" s="851">
        <f>SUM(H38:H42)</f>
        <v>0</v>
      </c>
      <c r="J42" s="404">
        <f>I42*$J$5</f>
        <v>0</v>
      </c>
      <c r="K42" s="405">
        <f>SUM(I42:J42)*$K$5</f>
        <v>0</v>
      </c>
      <c r="L42" s="405">
        <f>SUM(I42:K42)*$L$5</f>
        <v>0</v>
      </c>
      <c r="M42" s="405">
        <f>SUM(I42:L42)*$M$5</f>
        <v>0</v>
      </c>
      <c r="N42" s="405">
        <f>SUM(I42:M42)*$N$5</f>
        <v>0</v>
      </c>
      <c r="O42" s="855">
        <f>SUM(I42:N42)</f>
        <v>0</v>
      </c>
      <c r="P42" s="403">
        <f>ROUND(O42,-3)</f>
        <v>0</v>
      </c>
      <c r="Q42" s="420" t="s">
        <v>600</v>
      </c>
    </row>
    <row r="43" spans="2:17" s="426" customFormat="1" ht="11.25" x14ac:dyDescent="0.2">
      <c r="B43" s="1264"/>
      <c r="C43" s="1290"/>
      <c r="D43" s="768" t="s">
        <v>557</v>
      </c>
      <c r="E43" s="399"/>
      <c r="F43" s="400"/>
      <c r="G43" s="825"/>
      <c r="H43" s="843"/>
      <c r="I43" s="835"/>
      <c r="J43" s="719"/>
      <c r="K43" s="720"/>
      <c r="L43" s="720"/>
      <c r="M43" s="720"/>
      <c r="N43" s="720"/>
      <c r="O43" s="856"/>
      <c r="P43" s="718"/>
    </row>
    <row r="44" spans="2:17" s="426" customFormat="1" ht="11.25" x14ac:dyDescent="0.2">
      <c r="B44" s="1264"/>
      <c r="C44" s="1290"/>
      <c r="D44" s="768"/>
      <c r="E44" s="399">
        <v>1</v>
      </c>
      <c r="F44" s="400"/>
      <c r="G44" s="825"/>
      <c r="H44" s="843"/>
      <c r="I44" s="835"/>
      <c r="J44" s="719"/>
      <c r="K44" s="720"/>
      <c r="L44" s="720"/>
      <c r="M44" s="720"/>
      <c r="N44" s="720"/>
      <c r="O44" s="856"/>
      <c r="P44" s="718"/>
    </row>
    <row r="45" spans="2:17" s="426" customFormat="1" ht="11.25" x14ac:dyDescent="0.2">
      <c r="B45" s="1264"/>
      <c r="C45" s="1290"/>
      <c r="D45" s="768"/>
      <c r="E45" s="399">
        <v>1</v>
      </c>
      <c r="F45" s="400"/>
      <c r="G45" s="825"/>
      <c r="H45" s="843"/>
      <c r="I45" s="835"/>
      <c r="J45" s="719"/>
      <c r="K45" s="720"/>
      <c r="L45" s="720"/>
      <c r="M45" s="720"/>
      <c r="N45" s="720"/>
      <c r="O45" s="856"/>
      <c r="P45" s="718"/>
    </row>
    <row r="46" spans="2:17" s="426" customFormat="1" ht="11.25" x14ac:dyDescent="0.2">
      <c r="B46" s="1264"/>
      <c r="C46" s="1290"/>
      <c r="D46" s="768" t="s">
        <v>602</v>
      </c>
      <c r="E46" s="399">
        <v>-1</v>
      </c>
      <c r="F46" s="400"/>
      <c r="G46" s="825">
        <f>I37+I25+I15</f>
        <v>0</v>
      </c>
      <c r="H46" s="843"/>
      <c r="I46" s="835"/>
      <c r="J46" s="719"/>
      <c r="K46" s="720"/>
      <c r="L46" s="720"/>
      <c r="M46" s="720"/>
      <c r="N46" s="720"/>
      <c r="O46" s="856"/>
      <c r="P46" s="718"/>
    </row>
    <row r="47" spans="2:17" s="426" customFormat="1" ht="12" thickBot="1" x14ac:dyDescent="0.25">
      <c r="B47" s="1265"/>
      <c r="C47" s="1291"/>
      <c r="D47" s="768"/>
      <c r="E47" s="399"/>
      <c r="F47" s="400"/>
      <c r="G47" s="825"/>
      <c r="H47" s="842">
        <f t="shared" ref="H47:H52" si="11">E47*G47</f>
        <v>0</v>
      </c>
      <c r="I47" s="852">
        <f>SUM(H43:H47)</f>
        <v>0</v>
      </c>
      <c r="J47" s="404">
        <f>I47*$J$5</f>
        <v>0</v>
      </c>
      <c r="K47" s="405">
        <f>SUM(I47:J47)*$K$5</f>
        <v>0</v>
      </c>
      <c r="L47" s="405">
        <f>SUM(I47:K47)*$L$5</f>
        <v>0</v>
      </c>
      <c r="M47" s="405">
        <f>SUM(I47:L47)*$M$5</f>
        <v>0</v>
      </c>
      <c r="N47" s="405">
        <f>SUM(I47:M47)*$N$5</f>
        <v>0</v>
      </c>
      <c r="O47" s="855">
        <f>SUM(I47:N47)</f>
        <v>0</v>
      </c>
      <c r="P47" s="403">
        <f>ROUND(O47,-3)</f>
        <v>0</v>
      </c>
      <c r="Q47" s="426" t="s">
        <v>600</v>
      </c>
    </row>
    <row r="48" spans="2:17" s="420" customFormat="1" ht="11.25" x14ac:dyDescent="0.2">
      <c r="B48" s="1240" t="str">
        <f>'Detailed Matrix'!E97</f>
        <v>Fault Detection</v>
      </c>
      <c r="C48" s="1292" t="str">
        <f>'Detailed Matrix'!F97</f>
        <v>Stage 01 - Manual Fault Detection</v>
      </c>
      <c r="D48" s="809" t="s">
        <v>603</v>
      </c>
      <c r="E48" s="493"/>
      <c r="F48" s="494"/>
      <c r="G48" s="827"/>
      <c r="H48" s="844">
        <f t="shared" si="11"/>
        <v>0</v>
      </c>
      <c r="I48" s="836"/>
      <c r="J48" s="819"/>
      <c r="K48" s="495"/>
      <c r="L48" s="495"/>
      <c r="M48" s="495"/>
      <c r="N48" s="495"/>
      <c r="O48" s="814"/>
      <c r="P48" s="857"/>
    </row>
    <row r="49" spans="2:17" s="420" customFormat="1" ht="11.25" x14ac:dyDescent="0.2">
      <c r="B49" s="1241"/>
      <c r="C49" s="1293"/>
      <c r="D49" s="810"/>
      <c r="E49" s="501"/>
      <c r="F49" s="502"/>
      <c r="G49" s="828"/>
      <c r="H49" s="845">
        <f t="shared" si="11"/>
        <v>0</v>
      </c>
      <c r="I49" s="837"/>
      <c r="J49" s="820"/>
      <c r="K49" s="503"/>
      <c r="L49" s="503"/>
      <c r="M49" s="503"/>
      <c r="N49" s="503"/>
      <c r="O49" s="815"/>
      <c r="P49" s="858"/>
    </row>
    <row r="50" spans="2:17" s="420" customFormat="1" ht="11.25" x14ac:dyDescent="0.2">
      <c r="B50" s="1241"/>
      <c r="C50" s="1293"/>
      <c r="D50" s="810"/>
      <c r="E50" s="501"/>
      <c r="F50" s="502"/>
      <c r="G50" s="828"/>
      <c r="H50" s="845">
        <f t="shared" si="11"/>
        <v>0</v>
      </c>
      <c r="I50" s="837"/>
      <c r="J50" s="820"/>
      <c r="K50" s="503"/>
      <c r="L50" s="503"/>
      <c r="M50" s="503"/>
      <c r="N50" s="503"/>
      <c r="O50" s="815"/>
      <c r="P50" s="858"/>
    </row>
    <row r="51" spans="2:17" s="420" customFormat="1" ht="11.25" x14ac:dyDescent="0.2">
      <c r="B51" s="1241"/>
      <c r="C51" s="1293"/>
      <c r="D51" s="810"/>
      <c r="E51" s="501"/>
      <c r="F51" s="502"/>
      <c r="G51" s="828"/>
      <c r="H51" s="845">
        <f t="shared" si="11"/>
        <v>0</v>
      </c>
      <c r="I51" s="837"/>
      <c r="J51" s="820"/>
      <c r="K51" s="503"/>
      <c r="L51" s="503"/>
      <c r="M51" s="503"/>
      <c r="N51" s="503"/>
      <c r="O51" s="815"/>
      <c r="P51" s="858"/>
    </row>
    <row r="52" spans="2:17" s="420" customFormat="1" ht="11.25" x14ac:dyDescent="0.2">
      <c r="B52" s="1241"/>
      <c r="C52" s="1293"/>
      <c r="D52" s="810"/>
      <c r="E52" s="501"/>
      <c r="F52" s="502"/>
      <c r="G52" s="828"/>
      <c r="H52" s="845">
        <f t="shared" si="11"/>
        <v>0</v>
      </c>
      <c r="I52" s="837">
        <f>SUM(H48:H52)</f>
        <v>0</v>
      </c>
      <c r="J52" s="820">
        <f>I52*$J$5</f>
        <v>0</v>
      </c>
      <c r="K52" s="503">
        <f>SUM(I52:J52)*$K$5</f>
        <v>0</v>
      </c>
      <c r="L52" s="503">
        <f>SUM(I52:K52)*$L$5</f>
        <v>0</v>
      </c>
      <c r="M52" s="503">
        <f>SUM(I52:L52)*$M$5</f>
        <v>0</v>
      </c>
      <c r="N52" s="503">
        <f>SUM(I52:M52)*$N$5</f>
        <v>0</v>
      </c>
      <c r="O52" s="815">
        <f>SUM(I52:N52)</f>
        <v>0</v>
      </c>
      <c r="P52" s="858">
        <f>ROUND(O52,-3)</f>
        <v>0</v>
      </c>
      <c r="Q52" s="420" t="s">
        <v>514</v>
      </c>
    </row>
    <row r="53" spans="2:17" s="420" customFormat="1" ht="11.25" x14ac:dyDescent="0.2">
      <c r="B53" s="1241"/>
      <c r="C53" s="1293"/>
      <c r="D53" s="810"/>
      <c r="E53" s="501"/>
      <c r="F53" s="502"/>
      <c r="G53" s="828"/>
      <c r="H53" s="845"/>
      <c r="I53" s="837"/>
      <c r="J53" s="820"/>
      <c r="K53" s="503"/>
      <c r="L53" s="503"/>
      <c r="M53" s="503"/>
      <c r="N53" s="503"/>
      <c r="O53" s="815"/>
      <c r="P53" s="858"/>
    </row>
    <row r="54" spans="2:17" s="420" customFormat="1" ht="11.25" x14ac:dyDescent="0.2">
      <c r="B54" s="1241"/>
      <c r="C54" s="1293"/>
      <c r="D54" s="810" t="s">
        <v>604</v>
      </c>
      <c r="E54" s="501"/>
      <c r="F54" s="502"/>
      <c r="G54" s="828"/>
      <c r="H54" s="845">
        <f t="shared" ref="H54:H57" si="12">E54*G54</f>
        <v>0</v>
      </c>
      <c r="I54" s="837"/>
      <c r="J54" s="820"/>
      <c r="K54" s="503"/>
      <c r="L54" s="503"/>
      <c r="M54" s="503"/>
      <c r="N54" s="503"/>
      <c r="O54" s="815"/>
      <c r="P54" s="858"/>
    </row>
    <row r="55" spans="2:17" s="420" customFormat="1" ht="11.25" x14ac:dyDescent="0.2">
      <c r="B55" s="1241"/>
      <c r="C55" s="1293"/>
      <c r="D55" s="810"/>
      <c r="E55" s="501"/>
      <c r="F55" s="502"/>
      <c r="G55" s="828"/>
      <c r="H55" s="845">
        <f t="shared" si="12"/>
        <v>0</v>
      </c>
      <c r="I55" s="837"/>
      <c r="J55" s="820"/>
      <c r="K55" s="503"/>
      <c r="L55" s="503"/>
      <c r="M55" s="503"/>
      <c r="N55" s="503"/>
      <c r="O55" s="815"/>
      <c r="P55" s="858"/>
    </row>
    <row r="56" spans="2:17" s="420" customFormat="1" ht="11.25" x14ac:dyDescent="0.2">
      <c r="B56" s="1241"/>
      <c r="C56" s="1293"/>
      <c r="D56" s="811"/>
      <c r="E56" s="790"/>
      <c r="F56" s="791"/>
      <c r="G56" s="829"/>
      <c r="H56" s="846">
        <f t="shared" si="12"/>
        <v>0</v>
      </c>
      <c r="I56" s="838"/>
      <c r="J56" s="821"/>
      <c r="K56" s="584"/>
      <c r="L56" s="584"/>
      <c r="M56" s="584"/>
      <c r="N56" s="584"/>
      <c r="O56" s="816"/>
      <c r="P56" s="859"/>
    </row>
    <row r="57" spans="2:17" s="420" customFormat="1" ht="12" thickBot="1" x14ac:dyDescent="0.25">
      <c r="B57" s="1242"/>
      <c r="C57" s="1294"/>
      <c r="D57" s="812"/>
      <c r="E57" s="517"/>
      <c r="F57" s="518"/>
      <c r="G57" s="830"/>
      <c r="H57" s="847">
        <f t="shared" si="12"/>
        <v>0</v>
      </c>
      <c r="I57" s="839">
        <f>SUM(H54:H57)</f>
        <v>0</v>
      </c>
      <c r="J57" s="822">
        <f>I57*$J$5</f>
        <v>0</v>
      </c>
      <c r="K57" s="519">
        <f>SUM(I57:J57)*$K$5</f>
        <v>0</v>
      </c>
      <c r="L57" s="519">
        <f>SUM(I57:K57)*$L$5</f>
        <v>0</v>
      </c>
      <c r="M57" s="519">
        <f>SUM(I57:L57)*$M$5</f>
        <v>0</v>
      </c>
      <c r="N57" s="519">
        <f>SUM(I57:M57)*$N$5</f>
        <v>0</v>
      </c>
      <c r="O57" s="817">
        <f>SUM(I57:N57)</f>
        <v>0</v>
      </c>
      <c r="P57" s="860">
        <f>ROUND(O57,-3)</f>
        <v>0</v>
      </c>
      <c r="Q57" s="420" t="s">
        <v>514</v>
      </c>
    </row>
    <row r="58" spans="2:17" s="420" customFormat="1" ht="11.25" x14ac:dyDescent="0.2">
      <c r="B58" s="1263" t="str">
        <f>'Detailed Matrix'!E98</f>
        <v>Fault Detection</v>
      </c>
      <c r="C58" s="1289" t="str">
        <f>'Detailed Matrix'!F98</f>
        <v>Stage 02 - Simple fault detection and automated notifications/ alerts</v>
      </c>
      <c r="D58" s="390" t="s">
        <v>556</v>
      </c>
      <c r="E58" s="417"/>
      <c r="F58" s="418"/>
      <c r="G58" s="831"/>
      <c r="H58" s="842"/>
      <c r="I58" s="834"/>
      <c r="J58" s="404"/>
      <c r="K58" s="405"/>
      <c r="L58" s="405"/>
      <c r="M58" s="405"/>
      <c r="N58" s="405"/>
      <c r="O58" s="855"/>
      <c r="P58" s="403"/>
    </row>
    <row r="59" spans="2:17" s="420" customFormat="1" ht="11.25" x14ac:dyDescent="0.2">
      <c r="B59" s="1264"/>
      <c r="C59" s="1290"/>
      <c r="D59" s="768"/>
      <c r="E59" s="417"/>
      <c r="F59" s="418"/>
      <c r="G59" s="831"/>
      <c r="H59" s="842">
        <f t="shared" ref="H59:H62" si="13">E59*G59</f>
        <v>0</v>
      </c>
      <c r="I59" s="834"/>
      <c r="J59" s="404"/>
      <c r="K59" s="405"/>
      <c r="L59" s="405"/>
      <c r="M59" s="405"/>
      <c r="N59" s="405"/>
      <c r="O59" s="855"/>
      <c r="P59" s="403"/>
    </row>
    <row r="60" spans="2:17" s="420" customFormat="1" ht="11.25" x14ac:dyDescent="0.2">
      <c r="B60" s="1264"/>
      <c r="C60" s="1290"/>
      <c r="D60" s="768"/>
      <c r="E60" s="417"/>
      <c r="F60" s="418"/>
      <c r="G60" s="831"/>
      <c r="H60" s="842">
        <f t="shared" si="13"/>
        <v>0</v>
      </c>
      <c r="I60" s="834"/>
      <c r="J60" s="404"/>
      <c r="K60" s="405"/>
      <c r="L60" s="405"/>
      <c r="M60" s="405"/>
      <c r="N60" s="405"/>
      <c r="O60" s="855"/>
      <c r="P60" s="403"/>
    </row>
    <row r="61" spans="2:17" s="420" customFormat="1" ht="11.25" x14ac:dyDescent="0.2">
      <c r="B61" s="1264"/>
      <c r="C61" s="1290"/>
      <c r="D61" s="768" t="s">
        <v>558</v>
      </c>
      <c r="E61" s="417">
        <v>-1</v>
      </c>
      <c r="F61" s="418"/>
      <c r="G61" s="831">
        <f>I52</f>
        <v>0</v>
      </c>
      <c r="H61" s="842">
        <f t="shared" si="13"/>
        <v>0</v>
      </c>
      <c r="I61" s="834"/>
      <c r="J61" s="404"/>
      <c r="K61" s="405"/>
      <c r="L61" s="405"/>
      <c r="M61" s="405"/>
      <c r="N61" s="405"/>
      <c r="O61" s="855"/>
      <c r="P61" s="403"/>
    </row>
    <row r="62" spans="2:17" s="420" customFormat="1" ht="11.25" x14ac:dyDescent="0.2">
      <c r="B62" s="1264"/>
      <c r="C62" s="1290"/>
      <c r="D62" s="768"/>
      <c r="E62" s="417"/>
      <c r="F62" s="418"/>
      <c r="G62" s="831"/>
      <c r="H62" s="842">
        <f t="shared" si="13"/>
        <v>0</v>
      </c>
      <c r="I62" s="834">
        <f>SUM(H58:H62)</f>
        <v>0</v>
      </c>
      <c r="J62" s="404">
        <f>I62*$J$5</f>
        <v>0</v>
      </c>
      <c r="K62" s="405">
        <f>SUM(I62:J62)*$K$5</f>
        <v>0</v>
      </c>
      <c r="L62" s="405">
        <f>SUM(I62:K62)*$L$5</f>
        <v>0</v>
      </c>
      <c r="M62" s="405">
        <f>SUM(I62:L62)*$M$5</f>
        <v>0</v>
      </c>
      <c r="N62" s="405">
        <f>SUM(I62:M62)*$N$5</f>
        <v>0</v>
      </c>
      <c r="O62" s="855">
        <f>SUM(I62:N62)</f>
        <v>0</v>
      </c>
      <c r="P62" s="403">
        <f>ROUND(O62,-3)</f>
        <v>0</v>
      </c>
      <c r="Q62" s="420" t="s">
        <v>600</v>
      </c>
    </row>
    <row r="63" spans="2:17" s="420" customFormat="1" ht="11.25" x14ac:dyDescent="0.2">
      <c r="B63" s="1264"/>
      <c r="C63" s="1290"/>
      <c r="D63" s="768" t="s">
        <v>557</v>
      </c>
      <c r="E63" s="417"/>
      <c r="F63" s="418"/>
      <c r="G63" s="831"/>
      <c r="H63" s="842"/>
      <c r="I63" s="834"/>
      <c r="J63" s="404"/>
      <c r="K63" s="405"/>
      <c r="L63" s="405"/>
      <c r="M63" s="405"/>
      <c r="N63" s="405"/>
      <c r="O63" s="855"/>
      <c r="P63" s="403"/>
    </row>
    <row r="64" spans="2:17" s="420" customFormat="1" ht="11.25" x14ac:dyDescent="0.2">
      <c r="B64" s="1264"/>
      <c r="C64" s="1290"/>
      <c r="D64" s="768"/>
      <c r="E64" s="417"/>
      <c r="F64" s="418"/>
      <c r="G64" s="831"/>
      <c r="H64" s="842">
        <f>E64*G64</f>
        <v>0</v>
      </c>
      <c r="I64" s="834"/>
      <c r="J64" s="404"/>
      <c r="K64" s="405"/>
      <c r="L64" s="405"/>
      <c r="M64" s="405"/>
      <c r="N64" s="405"/>
      <c r="O64" s="855"/>
      <c r="P64" s="403"/>
    </row>
    <row r="65" spans="2:17" s="420" customFormat="1" ht="11.25" x14ac:dyDescent="0.2">
      <c r="B65" s="1264"/>
      <c r="C65" s="1290"/>
      <c r="D65" s="398"/>
      <c r="E65" s="417"/>
      <c r="F65" s="418"/>
      <c r="G65" s="831"/>
      <c r="H65" s="842">
        <f>E65*G65</f>
        <v>0</v>
      </c>
      <c r="I65" s="834"/>
      <c r="J65" s="404"/>
      <c r="K65" s="405"/>
      <c r="L65" s="405"/>
      <c r="M65" s="405"/>
      <c r="N65" s="405"/>
      <c r="O65" s="855"/>
      <c r="P65" s="403"/>
    </row>
    <row r="66" spans="2:17" s="420" customFormat="1" ht="11.25" x14ac:dyDescent="0.2">
      <c r="B66" s="1264"/>
      <c r="C66" s="1290"/>
      <c r="D66" s="808" t="s">
        <v>558</v>
      </c>
      <c r="E66" s="759">
        <v>-1</v>
      </c>
      <c r="F66" s="760"/>
      <c r="G66" s="832">
        <f>I57</f>
        <v>0</v>
      </c>
      <c r="H66" s="843"/>
      <c r="I66" s="835"/>
      <c r="J66" s="719"/>
      <c r="K66" s="720"/>
      <c r="L66" s="720"/>
      <c r="M66" s="720"/>
      <c r="N66" s="720"/>
      <c r="O66" s="856"/>
      <c r="P66" s="718"/>
    </row>
    <row r="67" spans="2:17" s="420" customFormat="1" ht="12" thickBot="1" x14ac:dyDescent="0.25">
      <c r="B67" s="1265"/>
      <c r="C67" s="1291"/>
      <c r="D67" s="407"/>
      <c r="E67" s="408"/>
      <c r="F67" s="409"/>
      <c r="G67" s="826"/>
      <c r="H67" s="848">
        <f t="shared" ref="H67" si="14">E67*G67</f>
        <v>0</v>
      </c>
      <c r="I67" s="840">
        <f>SUM(H63:H67)</f>
        <v>0</v>
      </c>
      <c r="J67" s="823">
        <f>I67*$J$5</f>
        <v>0</v>
      </c>
      <c r="K67" s="410">
        <f>SUM(I67:J67)*$K$5</f>
        <v>0</v>
      </c>
      <c r="L67" s="410">
        <f>SUM(I67:K67)*$L$5</f>
        <v>0</v>
      </c>
      <c r="M67" s="410">
        <f>SUM(I67:L67)*$M$5</f>
        <v>0</v>
      </c>
      <c r="N67" s="410">
        <f>SUM(I67:M67)*$N$5</f>
        <v>0</v>
      </c>
      <c r="O67" s="818">
        <f>SUM(I67:N67)</f>
        <v>0</v>
      </c>
      <c r="P67" s="861">
        <f>ROUND(O67,-3)</f>
        <v>0</v>
      </c>
      <c r="Q67" s="420" t="s">
        <v>600</v>
      </c>
    </row>
    <row r="68" spans="2:17" s="420" customFormat="1" ht="11.25" x14ac:dyDescent="0.2">
      <c r="B68" s="1263" t="str">
        <f>'Detailed Matrix'!E99</f>
        <v>Fault Detection</v>
      </c>
      <c r="C68" s="1289" t="str">
        <f>'Detailed Matrix'!F99</f>
        <v>Stage 03 - Data driven automatic fault monitoring providng detialed insights and analytics to support decision-making</v>
      </c>
      <c r="D68" s="390" t="s">
        <v>556</v>
      </c>
      <c r="E68" s="417"/>
      <c r="F68" s="418"/>
      <c r="G68" s="831"/>
      <c r="H68" s="842"/>
      <c r="I68" s="834"/>
      <c r="J68" s="404"/>
      <c r="K68" s="405"/>
      <c r="L68" s="405"/>
      <c r="M68" s="405"/>
      <c r="N68" s="405"/>
      <c r="O68" s="855"/>
      <c r="P68" s="403"/>
    </row>
    <row r="69" spans="2:17" s="420" customFormat="1" ht="11.25" x14ac:dyDescent="0.2">
      <c r="B69" s="1264"/>
      <c r="C69" s="1290"/>
      <c r="D69" s="768"/>
      <c r="E69" s="417">
        <v>1</v>
      </c>
      <c r="F69" s="418"/>
      <c r="G69" s="831"/>
      <c r="H69" s="842">
        <f t="shared" ref="H69:H71" si="15">E69*G69</f>
        <v>0</v>
      </c>
      <c r="I69" s="834"/>
      <c r="J69" s="404"/>
      <c r="K69" s="405"/>
      <c r="L69" s="405"/>
      <c r="M69" s="405"/>
      <c r="N69" s="405"/>
      <c r="O69" s="855"/>
      <c r="P69" s="403"/>
    </row>
    <row r="70" spans="2:17" s="420" customFormat="1" ht="11.25" x14ac:dyDescent="0.2">
      <c r="B70" s="1264"/>
      <c r="C70" s="1290"/>
      <c r="D70" s="768"/>
      <c r="E70" s="417">
        <v>1</v>
      </c>
      <c r="F70" s="418"/>
      <c r="G70" s="831"/>
      <c r="H70" s="842">
        <f t="shared" si="15"/>
        <v>0</v>
      </c>
      <c r="I70" s="834"/>
      <c r="J70" s="404"/>
      <c r="K70" s="405"/>
      <c r="L70" s="405"/>
      <c r="M70" s="405"/>
      <c r="N70" s="405"/>
      <c r="O70" s="855"/>
      <c r="P70" s="403"/>
    </row>
    <row r="71" spans="2:17" s="420" customFormat="1" ht="11.25" x14ac:dyDescent="0.2">
      <c r="B71" s="1264"/>
      <c r="C71" s="1290"/>
      <c r="D71" s="768" t="s">
        <v>601</v>
      </c>
      <c r="E71" s="417">
        <v>-1</v>
      </c>
      <c r="F71" s="418"/>
      <c r="G71" s="831">
        <f>SUM(I52,I62)</f>
        <v>0</v>
      </c>
      <c r="H71" s="842">
        <f t="shared" si="15"/>
        <v>0</v>
      </c>
      <c r="I71" s="834"/>
      <c r="J71" s="404"/>
      <c r="K71" s="405"/>
      <c r="L71" s="405"/>
      <c r="M71" s="405"/>
      <c r="N71" s="405"/>
      <c r="O71" s="855"/>
      <c r="P71" s="403"/>
    </row>
    <row r="72" spans="2:17" s="420" customFormat="1" ht="11.25" x14ac:dyDescent="0.2">
      <c r="B72" s="1264"/>
      <c r="C72" s="1290"/>
      <c r="D72" s="768"/>
      <c r="E72" s="417"/>
      <c r="F72" s="418"/>
      <c r="G72" s="831"/>
      <c r="H72" s="842"/>
      <c r="I72" s="834"/>
      <c r="J72" s="404"/>
      <c r="K72" s="405"/>
      <c r="L72" s="405"/>
      <c r="M72" s="405"/>
      <c r="N72" s="405"/>
      <c r="O72" s="855"/>
      <c r="P72" s="403"/>
    </row>
    <row r="73" spans="2:17" s="420" customFormat="1" ht="11.25" x14ac:dyDescent="0.2">
      <c r="B73" s="1264"/>
      <c r="C73" s="1290"/>
      <c r="D73" s="768"/>
      <c r="E73" s="417"/>
      <c r="F73" s="418"/>
      <c r="G73" s="831"/>
      <c r="H73" s="842">
        <f t="shared" ref="H73" si="16">E73*G73</f>
        <v>0</v>
      </c>
      <c r="I73" s="834">
        <f>SUM(H68:H73)</f>
        <v>0</v>
      </c>
      <c r="J73" s="404">
        <f>I73*$J$5</f>
        <v>0</v>
      </c>
      <c r="K73" s="405">
        <f>SUM(I73:J73)*$K$5</f>
        <v>0</v>
      </c>
      <c r="L73" s="405">
        <f>SUM(I73:K73)*$L$5</f>
        <v>0</v>
      </c>
      <c r="M73" s="405">
        <f>SUM(I73:L73)*$M$5</f>
        <v>0</v>
      </c>
      <c r="N73" s="405">
        <f>SUM(I73:M73)*$N$5</f>
        <v>0</v>
      </c>
      <c r="O73" s="855">
        <f>SUM(I73:N73)</f>
        <v>0</v>
      </c>
      <c r="P73" s="403">
        <f>ROUND(O73,-3)</f>
        <v>0</v>
      </c>
      <c r="Q73" s="420" t="s">
        <v>600</v>
      </c>
    </row>
    <row r="74" spans="2:17" s="420" customFormat="1" ht="11.25" x14ac:dyDescent="0.2">
      <c r="B74" s="1264"/>
      <c r="C74" s="1290"/>
      <c r="D74" s="768" t="s">
        <v>557</v>
      </c>
      <c r="E74" s="417"/>
      <c r="F74" s="418"/>
      <c r="G74" s="831"/>
      <c r="H74" s="842"/>
      <c r="I74" s="834"/>
      <c r="J74" s="404"/>
      <c r="K74" s="405"/>
      <c r="L74" s="405"/>
      <c r="M74" s="405"/>
      <c r="N74" s="405"/>
      <c r="O74" s="855"/>
      <c r="P74" s="403"/>
    </row>
    <row r="75" spans="2:17" s="420" customFormat="1" ht="11.25" x14ac:dyDescent="0.2">
      <c r="B75" s="1264"/>
      <c r="C75" s="1290"/>
      <c r="D75" s="398"/>
      <c r="E75" s="417">
        <v>1</v>
      </c>
      <c r="F75" s="418"/>
      <c r="G75" s="831"/>
      <c r="H75" s="842">
        <f t="shared" ref="H75:H77" si="17">E75*G75</f>
        <v>0</v>
      </c>
      <c r="I75" s="834"/>
      <c r="J75" s="404"/>
      <c r="K75" s="405"/>
      <c r="L75" s="405"/>
      <c r="M75" s="405"/>
      <c r="N75" s="405"/>
      <c r="O75" s="855"/>
      <c r="P75" s="403"/>
    </row>
    <row r="76" spans="2:17" s="420" customFormat="1" ht="11.25" x14ac:dyDescent="0.2">
      <c r="B76" s="1264"/>
      <c r="C76" s="1290"/>
      <c r="D76" s="768"/>
      <c r="E76" s="759">
        <v>1</v>
      </c>
      <c r="F76" s="760"/>
      <c r="G76" s="832"/>
      <c r="H76" s="843">
        <f t="shared" si="17"/>
        <v>0</v>
      </c>
      <c r="I76" s="835"/>
      <c r="J76" s="719"/>
      <c r="K76" s="720"/>
      <c r="L76" s="720"/>
      <c r="M76" s="720"/>
      <c r="N76" s="720"/>
      <c r="O76" s="856"/>
      <c r="P76" s="718"/>
    </row>
    <row r="77" spans="2:17" s="420" customFormat="1" ht="11.25" x14ac:dyDescent="0.2">
      <c r="B77" s="1264"/>
      <c r="C77" s="1290"/>
      <c r="D77" s="398" t="s">
        <v>601</v>
      </c>
      <c r="E77" s="759">
        <v>-1</v>
      </c>
      <c r="F77" s="760"/>
      <c r="G77" s="832">
        <f>SUM(I57,I67)</f>
        <v>0</v>
      </c>
      <c r="H77" s="843">
        <f t="shared" si="17"/>
        <v>0</v>
      </c>
      <c r="I77" s="835"/>
      <c r="J77" s="719"/>
      <c r="K77" s="720"/>
      <c r="L77" s="720"/>
      <c r="M77" s="720"/>
      <c r="N77" s="720"/>
      <c r="O77" s="856"/>
      <c r="P77" s="718"/>
    </row>
    <row r="78" spans="2:17" s="420" customFormat="1" ht="12" thickBot="1" x14ac:dyDescent="0.25">
      <c r="B78" s="1265"/>
      <c r="C78" s="1291"/>
      <c r="D78" s="813"/>
      <c r="E78" s="408"/>
      <c r="F78" s="409"/>
      <c r="G78" s="826"/>
      <c r="H78" s="848">
        <f>E78*G78</f>
        <v>0</v>
      </c>
      <c r="I78" s="840">
        <f>SUM(H74:H78)</f>
        <v>0</v>
      </c>
      <c r="J78" s="823">
        <f>I78*$J$5</f>
        <v>0</v>
      </c>
      <c r="K78" s="410">
        <f>SUM(I78:J78)*$K$5</f>
        <v>0</v>
      </c>
      <c r="L78" s="410">
        <f>SUM(I78:K78)*$L$5</f>
        <v>0</v>
      </c>
      <c r="M78" s="410">
        <f>SUM(I78:L78)*$M$5</f>
        <v>0</v>
      </c>
      <c r="N78" s="410">
        <f>SUM(I78:M78)*$N$5</f>
        <v>0</v>
      </c>
      <c r="O78" s="818">
        <f>SUM(I78:N78)</f>
        <v>0</v>
      </c>
      <c r="P78" s="861">
        <f>ROUND(O78,-3)</f>
        <v>0</v>
      </c>
      <c r="Q78" s="420" t="s">
        <v>600</v>
      </c>
    </row>
    <row r="79" spans="2:17" s="420" customFormat="1" ht="11.25" x14ac:dyDescent="0.2">
      <c r="B79" s="1263" t="str">
        <f>'Detailed Matrix'!E100</f>
        <v>Fault Detection</v>
      </c>
      <c r="C79" s="1289" t="str">
        <f>'Detailed Matrix'!F100</f>
        <v>Stage 04 - Proactive fault detection and automatic resolution predicting when equipment is likley to fail or require maintenance.</v>
      </c>
      <c r="D79" s="390"/>
      <c r="E79" s="417"/>
      <c r="F79" s="418"/>
      <c r="G79" s="831"/>
      <c r="H79" s="842"/>
      <c r="I79" s="834"/>
      <c r="J79" s="404"/>
      <c r="K79" s="405"/>
      <c r="L79" s="405"/>
      <c r="M79" s="405"/>
      <c r="N79" s="405"/>
      <c r="O79" s="855"/>
      <c r="P79" s="403"/>
    </row>
    <row r="80" spans="2:17" s="420" customFormat="1" ht="11.25" x14ac:dyDescent="0.2">
      <c r="B80" s="1264"/>
      <c r="C80" s="1290"/>
      <c r="D80" s="768" t="s">
        <v>556</v>
      </c>
      <c r="E80" s="417"/>
      <c r="F80" s="418"/>
      <c r="G80" s="831"/>
      <c r="H80" s="842"/>
      <c r="I80" s="834"/>
      <c r="J80" s="404"/>
      <c r="K80" s="405"/>
      <c r="L80" s="405"/>
      <c r="M80" s="405"/>
      <c r="N80" s="405"/>
      <c r="O80" s="855"/>
      <c r="P80" s="403"/>
    </row>
    <row r="81" spans="2:17" s="420" customFormat="1" ht="11.25" x14ac:dyDescent="0.2">
      <c r="B81" s="1264"/>
      <c r="C81" s="1290"/>
      <c r="D81" s="768"/>
      <c r="E81" s="417">
        <v>1</v>
      </c>
      <c r="F81" s="418"/>
      <c r="G81" s="831"/>
      <c r="H81" s="842">
        <f t="shared" ref="H81:H84" si="18">E81*G81</f>
        <v>0</v>
      </c>
      <c r="I81" s="834"/>
      <c r="J81" s="404"/>
      <c r="K81" s="405"/>
      <c r="L81" s="405"/>
      <c r="M81" s="405"/>
      <c r="N81" s="405"/>
      <c r="O81" s="855"/>
      <c r="P81" s="403"/>
    </row>
    <row r="82" spans="2:17" s="420" customFormat="1" ht="11.25" x14ac:dyDescent="0.2">
      <c r="B82" s="1264"/>
      <c r="C82" s="1290"/>
      <c r="D82" s="768"/>
      <c r="E82" s="417">
        <v>1</v>
      </c>
      <c r="F82" s="418"/>
      <c r="G82" s="831"/>
      <c r="H82" s="842">
        <f t="shared" si="18"/>
        <v>0</v>
      </c>
      <c r="I82" s="834"/>
      <c r="J82" s="404"/>
      <c r="K82" s="405"/>
      <c r="L82" s="405"/>
      <c r="M82" s="405"/>
      <c r="N82" s="405"/>
      <c r="O82" s="855"/>
      <c r="P82" s="403"/>
    </row>
    <row r="83" spans="2:17" s="420" customFormat="1" ht="11.25" x14ac:dyDescent="0.2">
      <c r="B83" s="1264"/>
      <c r="C83" s="1290"/>
      <c r="D83" s="768" t="s">
        <v>602</v>
      </c>
      <c r="E83" s="417">
        <v>-1</v>
      </c>
      <c r="F83" s="418"/>
      <c r="G83" s="831">
        <f>I73+I62+I52</f>
        <v>0</v>
      </c>
      <c r="H83" s="842">
        <f t="shared" si="18"/>
        <v>0</v>
      </c>
      <c r="I83" s="834"/>
      <c r="J83" s="404"/>
      <c r="K83" s="405"/>
      <c r="L83" s="405"/>
      <c r="M83" s="405"/>
      <c r="N83" s="405"/>
      <c r="O83" s="855"/>
      <c r="P83" s="403"/>
    </row>
    <row r="84" spans="2:17" s="420" customFormat="1" ht="11.25" x14ac:dyDescent="0.2">
      <c r="B84" s="1264"/>
      <c r="C84" s="1290"/>
      <c r="D84" s="768"/>
      <c r="E84" s="417"/>
      <c r="F84" s="418"/>
      <c r="G84" s="831"/>
      <c r="H84" s="842">
        <f t="shared" si="18"/>
        <v>0</v>
      </c>
      <c r="I84" s="834">
        <f>SUM(H80:H84)</f>
        <v>0</v>
      </c>
      <c r="J84" s="404">
        <f>I84*$J$5</f>
        <v>0</v>
      </c>
      <c r="K84" s="405">
        <f>SUM(I84:J84)*$K$5</f>
        <v>0</v>
      </c>
      <c r="L84" s="405">
        <f>SUM(I84:K84)*$L$5</f>
        <v>0</v>
      </c>
      <c r="M84" s="405">
        <f>SUM(I84:L84)*$M$5</f>
        <v>0</v>
      </c>
      <c r="N84" s="405">
        <f>SUM(I84:M84)*$N$5</f>
        <v>0</v>
      </c>
      <c r="O84" s="855">
        <f>SUM(I84:N84)</f>
        <v>0</v>
      </c>
      <c r="P84" s="403">
        <f>ROUND(O84,-3)</f>
        <v>0</v>
      </c>
      <c r="Q84" s="420" t="s">
        <v>600</v>
      </c>
    </row>
    <row r="85" spans="2:17" s="420" customFormat="1" ht="11.25" x14ac:dyDescent="0.2">
      <c r="B85" s="1264"/>
      <c r="C85" s="1290"/>
      <c r="D85" s="768" t="s">
        <v>557</v>
      </c>
      <c r="E85" s="417"/>
      <c r="F85" s="418"/>
      <c r="G85" s="831"/>
      <c r="H85" s="842"/>
      <c r="I85" s="834"/>
      <c r="J85" s="404"/>
      <c r="K85" s="405"/>
      <c r="L85" s="405"/>
      <c r="M85" s="405"/>
      <c r="N85" s="405"/>
      <c r="O85" s="855"/>
      <c r="P85" s="403"/>
    </row>
    <row r="86" spans="2:17" s="420" customFormat="1" ht="11.25" x14ac:dyDescent="0.2">
      <c r="B86" s="1264"/>
      <c r="C86" s="1290"/>
      <c r="D86" s="398"/>
      <c r="E86" s="417">
        <v>1</v>
      </c>
      <c r="F86" s="418"/>
      <c r="G86" s="831"/>
      <c r="H86" s="842"/>
      <c r="I86" s="834"/>
      <c r="J86" s="404"/>
      <c r="K86" s="405"/>
      <c r="L86" s="405"/>
      <c r="M86" s="405"/>
      <c r="N86" s="405"/>
      <c r="O86" s="855"/>
      <c r="P86" s="403"/>
    </row>
    <row r="87" spans="2:17" s="420" customFormat="1" ht="11.25" x14ac:dyDescent="0.2">
      <c r="B87" s="1264"/>
      <c r="C87" s="1290"/>
      <c r="D87" s="808"/>
      <c r="E87" s="759">
        <v>1</v>
      </c>
      <c r="F87" s="760"/>
      <c r="G87" s="832"/>
      <c r="H87" s="843"/>
      <c r="I87" s="835"/>
      <c r="J87" s="719"/>
      <c r="K87" s="720"/>
      <c r="L87" s="720"/>
      <c r="M87" s="720"/>
      <c r="N87" s="720"/>
      <c r="O87" s="856"/>
      <c r="P87" s="718"/>
    </row>
    <row r="88" spans="2:17" s="420" customFormat="1" ht="11.25" x14ac:dyDescent="0.2">
      <c r="B88" s="1264"/>
      <c r="C88" s="1290"/>
      <c r="D88" s="768" t="s">
        <v>602</v>
      </c>
      <c r="E88" s="759">
        <v>-1</v>
      </c>
      <c r="F88" s="760"/>
      <c r="G88" s="832">
        <f>I78+I67+I57</f>
        <v>0</v>
      </c>
      <c r="H88" s="843"/>
      <c r="I88" s="835"/>
      <c r="J88" s="719"/>
      <c r="K88" s="720"/>
      <c r="L88" s="720"/>
      <c r="M88" s="720"/>
      <c r="N88" s="720"/>
      <c r="O88" s="856"/>
      <c r="P88" s="718"/>
    </row>
    <row r="89" spans="2:17" s="420" customFormat="1" ht="12" thickBot="1" x14ac:dyDescent="0.25">
      <c r="B89" s="1265"/>
      <c r="C89" s="1291"/>
      <c r="D89" s="862"/>
      <c r="E89" s="408"/>
      <c r="F89" s="409"/>
      <c r="G89" s="826"/>
      <c r="H89" s="848">
        <f t="shared" ref="H89" si="19">E89*G89</f>
        <v>0</v>
      </c>
      <c r="I89" s="840">
        <f>SUM(H85:H89)</f>
        <v>0</v>
      </c>
      <c r="J89" s="823">
        <f>I89*$J$5</f>
        <v>0</v>
      </c>
      <c r="K89" s="410">
        <f>SUM(I89:J89)*$K$5</f>
        <v>0</v>
      </c>
      <c r="L89" s="410">
        <f>SUM(I89:K89)*$L$5</f>
        <v>0</v>
      </c>
      <c r="M89" s="410">
        <f>SUM(I89:L89)*$M$5</f>
        <v>0</v>
      </c>
      <c r="N89" s="410">
        <f>SUM(I89:M89)*$N$5</f>
        <v>0</v>
      </c>
      <c r="O89" s="818">
        <f>SUM(I89:N89)</f>
        <v>0</v>
      </c>
      <c r="P89" s="861">
        <f>ROUND(O89,-3)</f>
        <v>0</v>
      </c>
      <c r="Q89" s="420" t="s">
        <v>600</v>
      </c>
    </row>
  </sheetData>
  <mergeCells count="17">
    <mergeCell ref="B2:P3"/>
    <mergeCell ref="B38:B47"/>
    <mergeCell ref="C38:C47"/>
    <mergeCell ref="B48:B57"/>
    <mergeCell ref="C48:C57"/>
    <mergeCell ref="B6:B15"/>
    <mergeCell ref="C6:C15"/>
    <mergeCell ref="B16:B25"/>
    <mergeCell ref="C16:C25"/>
    <mergeCell ref="B26:B37"/>
    <mergeCell ref="C26:C37"/>
    <mergeCell ref="B68:B78"/>
    <mergeCell ref="C68:C78"/>
    <mergeCell ref="B79:B89"/>
    <mergeCell ref="C79:C89"/>
    <mergeCell ref="B58:B67"/>
    <mergeCell ref="C58:C6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42EE4-32FF-461F-9B5A-A9E53191F950}">
  <sheetPr>
    <tabColor rgb="FFFF0000"/>
  </sheetPr>
  <dimension ref="B2:P36"/>
  <sheetViews>
    <sheetView topLeftCell="D4" zoomScale="130" zoomScaleNormal="130" workbookViewId="0">
      <selection activeCell="G33" sqref="G33"/>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6" ht="15.6" customHeight="1" x14ac:dyDescent="0.25">
      <c r="B2" s="1243" t="str" cm="1">
        <f t="array" aca="1" ref="B2" ca="1">MID(CELL("filename",A1),FIND("]",CELL("filename",A1))+1,256)</f>
        <v>Construction Activity Emissions</v>
      </c>
      <c r="C2" s="1244"/>
      <c r="D2" s="1244"/>
      <c r="E2" s="1244"/>
      <c r="F2" s="1244"/>
      <c r="G2" s="1244"/>
      <c r="H2" s="1244"/>
      <c r="I2" s="1244"/>
      <c r="J2" s="1244"/>
      <c r="K2" s="1244"/>
      <c r="L2" s="1244"/>
      <c r="M2" s="1244"/>
      <c r="N2" s="1244"/>
      <c r="O2" s="1244"/>
      <c r="P2" s="1284"/>
    </row>
    <row r="3" spans="2:16" ht="15" customHeight="1" thickBot="1" x14ac:dyDescent="0.3">
      <c r="B3" s="1246"/>
      <c r="C3" s="1247"/>
      <c r="D3" s="1247"/>
      <c r="E3" s="1247"/>
      <c r="F3" s="1247"/>
      <c r="G3" s="1247"/>
      <c r="H3" s="1247"/>
      <c r="I3" s="1247"/>
      <c r="J3" s="1247"/>
      <c r="K3" s="1247"/>
      <c r="L3" s="1247"/>
      <c r="M3" s="1247"/>
      <c r="N3" s="1247"/>
      <c r="O3" s="1247"/>
      <c r="P3" s="1285"/>
    </row>
    <row r="4" spans="2:16" s="18" customFormat="1" x14ac:dyDescent="0.25">
      <c r="B4" s="26"/>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6"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6" s="420" customFormat="1" ht="11.25" x14ac:dyDescent="0.2">
      <c r="B6" s="1277" t="str">
        <f>'Detailed Matrix'!E102</f>
        <v>Low intervention</v>
      </c>
      <c r="C6" s="1281" t="str">
        <f>'Detailed Matrix'!F102</f>
        <v>Reduction in emissions through site operations; turnign off waiting plant etc.</v>
      </c>
      <c r="D6" s="452" t="s">
        <v>556</v>
      </c>
      <c r="E6" s="453">
        <v>1</v>
      </c>
      <c r="F6" s="454"/>
      <c r="G6" s="455"/>
      <c r="H6" s="456">
        <f t="shared" ref="H6:H15" si="0">E6*G6</f>
        <v>0</v>
      </c>
      <c r="I6" s="457"/>
      <c r="J6" s="458"/>
      <c r="K6" s="459"/>
      <c r="L6" s="459"/>
      <c r="M6" s="459"/>
      <c r="N6" s="459"/>
      <c r="O6" s="458"/>
      <c r="P6" s="457"/>
    </row>
    <row r="7" spans="2:16" s="420" customFormat="1" ht="11.25" x14ac:dyDescent="0.2">
      <c r="B7" s="1278"/>
      <c r="C7" s="1282"/>
      <c r="D7" s="669"/>
      <c r="E7" s="479">
        <v>1</v>
      </c>
      <c r="F7" s="480"/>
      <c r="G7" s="481"/>
      <c r="H7" s="665">
        <f t="shared" si="0"/>
        <v>0</v>
      </c>
      <c r="I7" s="666"/>
      <c r="J7" s="667"/>
      <c r="K7" s="668"/>
      <c r="L7" s="668"/>
      <c r="M7" s="668"/>
      <c r="N7" s="668"/>
      <c r="O7" s="667"/>
      <c r="P7" s="666"/>
    </row>
    <row r="8" spans="2:16" s="420" customFormat="1" ht="11.25" x14ac:dyDescent="0.2">
      <c r="B8" s="1278"/>
      <c r="C8" s="1282"/>
      <c r="D8" s="565"/>
      <c r="E8" s="479">
        <v>1</v>
      </c>
      <c r="F8" s="480"/>
      <c r="G8" s="481"/>
      <c r="H8" s="464">
        <f t="shared" si="0"/>
        <v>0</v>
      </c>
      <c r="I8" s="465"/>
      <c r="J8" s="466"/>
      <c r="K8" s="467"/>
      <c r="L8" s="467"/>
      <c r="M8" s="467"/>
      <c r="N8" s="467"/>
      <c r="O8" s="468"/>
      <c r="P8" s="465"/>
    </row>
    <row r="9" spans="2:16" s="420" customFormat="1" ht="11.25" x14ac:dyDescent="0.2">
      <c r="B9" s="1278"/>
      <c r="C9" s="1282"/>
      <c r="D9" s="565"/>
      <c r="E9" s="479">
        <v>1</v>
      </c>
      <c r="F9" s="480"/>
      <c r="G9" s="481"/>
      <c r="H9" s="464">
        <f t="shared" si="0"/>
        <v>0</v>
      </c>
      <c r="I9" s="661"/>
      <c r="J9" s="662"/>
      <c r="K9" s="663"/>
      <c r="L9" s="663"/>
      <c r="M9" s="663"/>
      <c r="N9" s="663"/>
      <c r="O9" s="664"/>
      <c r="P9" s="661"/>
    </row>
    <row r="10" spans="2:16" s="420" customFormat="1" ht="11.25" x14ac:dyDescent="0.2">
      <c r="B10" s="1278"/>
      <c r="C10" s="1282"/>
      <c r="D10" s="669"/>
      <c r="E10" s="479">
        <v>1</v>
      </c>
      <c r="F10" s="480"/>
      <c r="G10" s="481"/>
      <c r="H10" s="665">
        <f t="shared" si="0"/>
        <v>0</v>
      </c>
      <c r="I10" s="666">
        <f>SUM(H6:H10)</f>
        <v>0</v>
      </c>
      <c r="J10" s="667">
        <f>I10*$J$5</f>
        <v>0</v>
      </c>
      <c r="K10" s="668">
        <f>SUM(I10:J10)*$K$5</f>
        <v>0</v>
      </c>
      <c r="L10" s="668">
        <f>SUM(I10:K10)*$L$5</f>
        <v>0</v>
      </c>
      <c r="M10" s="668">
        <f>SUM(I10:L10)*$M$5</f>
        <v>0</v>
      </c>
      <c r="N10" s="668">
        <f>SUM(I10:M10)*$N$5</f>
        <v>0</v>
      </c>
      <c r="O10" s="667">
        <f>SUM(I10:N10)</f>
        <v>0</v>
      </c>
      <c r="P10" s="666">
        <f>ROUND(O10,-3)</f>
        <v>0</v>
      </c>
    </row>
    <row r="11" spans="2:16" s="420" customFormat="1" ht="11.25" x14ac:dyDescent="0.2">
      <c r="B11" s="1278"/>
      <c r="C11" s="1282"/>
      <c r="D11" s="565"/>
      <c r="E11" s="479"/>
      <c r="F11" s="480"/>
      <c r="G11" s="481"/>
      <c r="H11" s="464"/>
      <c r="I11" s="465"/>
      <c r="J11" s="466"/>
      <c r="K11" s="467"/>
      <c r="L11" s="467"/>
      <c r="M11" s="467"/>
      <c r="N11" s="467"/>
      <c r="O11" s="468"/>
      <c r="P11" s="465"/>
    </row>
    <row r="12" spans="2:16" s="420" customFormat="1" ht="11.25" x14ac:dyDescent="0.2">
      <c r="B12" s="1278"/>
      <c r="C12" s="1282"/>
      <c r="D12" s="770" t="s">
        <v>557</v>
      </c>
      <c r="E12" s="749">
        <v>1</v>
      </c>
      <c r="F12" s="750"/>
      <c r="G12" s="751">
        <v>250000</v>
      </c>
      <c r="H12" s="660">
        <f t="shared" si="0"/>
        <v>250000</v>
      </c>
      <c r="I12" s="661"/>
      <c r="J12" s="662"/>
      <c r="K12" s="663"/>
      <c r="L12" s="663"/>
      <c r="M12" s="663"/>
      <c r="N12" s="663"/>
      <c r="O12" s="664"/>
      <c r="P12" s="661"/>
    </row>
    <row r="13" spans="2:16" s="420" customFormat="1" ht="11.25" x14ac:dyDescent="0.2">
      <c r="B13" s="1278"/>
      <c r="C13" s="1282"/>
      <c r="D13" s="748"/>
      <c r="E13" s="749">
        <v>1</v>
      </c>
      <c r="F13" s="750"/>
      <c r="G13" s="751"/>
      <c r="H13" s="660">
        <f t="shared" si="0"/>
        <v>0</v>
      </c>
      <c r="I13" s="661"/>
      <c r="J13" s="662"/>
      <c r="K13" s="663"/>
      <c r="L13" s="663"/>
      <c r="M13" s="663"/>
      <c r="N13" s="663"/>
      <c r="O13" s="664"/>
      <c r="P13" s="661"/>
    </row>
    <row r="14" spans="2:16" s="420" customFormat="1" ht="11.25" x14ac:dyDescent="0.2">
      <c r="B14" s="1278"/>
      <c r="C14" s="1282"/>
      <c r="D14" s="748"/>
      <c r="E14" s="749">
        <v>1</v>
      </c>
      <c r="F14" s="750"/>
      <c r="G14" s="751"/>
      <c r="H14" s="660">
        <f t="shared" si="0"/>
        <v>0</v>
      </c>
      <c r="I14" s="661"/>
      <c r="J14" s="662"/>
      <c r="K14" s="663"/>
      <c r="L14" s="663"/>
      <c r="M14" s="663"/>
      <c r="N14" s="663"/>
      <c r="O14" s="664"/>
      <c r="P14" s="661"/>
    </row>
    <row r="15" spans="2:16" s="420" customFormat="1" ht="12" thickBot="1" x14ac:dyDescent="0.25">
      <c r="B15" s="1279"/>
      <c r="C15" s="1283"/>
      <c r="D15" s="469"/>
      <c r="E15" s="470">
        <v>1</v>
      </c>
      <c r="F15" s="471"/>
      <c r="G15" s="472"/>
      <c r="H15" s="473">
        <f t="shared" si="0"/>
        <v>0</v>
      </c>
      <c r="I15" s="474">
        <f>SUM(H12:H15)</f>
        <v>250000</v>
      </c>
      <c r="J15" s="475">
        <f>I15*$J$5</f>
        <v>32500</v>
      </c>
      <c r="K15" s="476">
        <f>SUM(I15:J15)*$K$5</f>
        <v>12712.5</v>
      </c>
      <c r="L15" s="476">
        <f>SUM(I15:K15)*$L$5</f>
        <v>16236.6875</v>
      </c>
      <c r="M15" s="476">
        <f>SUM(I15:L15)*$M$5</f>
        <v>18686.951249999998</v>
      </c>
      <c r="N15" s="476">
        <f>SUM(I15:M15)*$N$5</f>
        <v>33013.613875000003</v>
      </c>
      <c r="O15" s="475">
        <f>SUM(I15:N15)</f>
        <v>363149.75262499996</v>
      </c>
      <c r="P15" s="474">
        <f>ROUND(O15,-3)</f>
        <v>363000</v>
      </c>
    </row>
    <row r="16" spans="2:16" s="426" customFormat="1" ht="11.25" x14ac:dyDescent="0.2">
      <c r="B16" s="1277" t="str">
        <f>'Detailed Matrix'!E103</f>
        <v>Medium intervention</v>
      </c>
      <c r="C16" s="1281" t="str">
        <f>'Detailed Matrix'!F103</f>
        <v>Reduction in omissions through more rigourous site operational changes including introduction of renewables generation on site setup</v>
      </c>
      <c r="D16" s="452" t="s">
        <v>556</v>
      </c>
      <c r="E16" s="453">
        <v>1</v>
      </c>
      <c r="F16" s="454"/>
      <c r="G16" s="455">
        <v>250000</v>
      </c>
      <c r="H16" s="456">
        <f t="shared" ref="H16:H20" si="1">E16*G16</f>
        <v>250000</v>
      </c>
      <c r="I16" s="457"/>
      <c r="J16" s="458"/>
      <c r="K16" s="459"/>
      <c r="L16" s="459"/>
      <c r="M16" s="459"/>
      <c r="N16" s="459"/>
      <c r="O16" s="458"/>
      <c r="P16" s="457"/>
    </row>
    <row r="17" spans="2:16" s="426" customFormat="1" ht="11.25" x14ac:dyDescent="0.2">
      <c r="B17" s="1278"/>
      <c r="C17" s="1282"/>
      <c r="D17" s="669"/>
      <c r="E17" s="479">
        <v>1</v>
      </c>
      <c r="F17" s="480"/>
      <c r="G17" s="481"/>
      <c r="H17" s="665">
        <f t="shared" si="1"/>
        <v>0</v>
      </c>
      <c r="I17" s="666"/>
      <c r="J17" s="667"/>
      <c r="K17" s="668"/>
      <c r="L17" s="668"/>
      <c r="M17" s="668"/>
      <c r="N17" s="668"/>
      <c r="O17" s="667"/>
      <c r="P17" s="666"/>
    </row>
    <row r="18" spans="2:16" s="426" customFormat="1" ht="11.25" x14ac:dyDescent="0.2">
      <c r="B18" s="1278"/>
      <c r="C18" s="1282"/>
      <c r="D18" s="565"/>
      <c r="E18" s="479">
        <v>1</v>
      </c>
      <c r="F18" s="480"/>
      <c r="G18" s="481"/>
      <c r="H18" s="464">
        <f t="shared" si="1"/>
        <v>0</v>
      </c>
      <c r="I18" s="666"/>
      <c r="J18" s="667"/>
      <c r="K18" s="668"/>
      <c r="L18" s="668"/>
      <c r="M18" s="668"/>
      <c r="N18" s="668"/>
      <c r="O18" s="667"/>
      <c r="P18" s="666"/>
    </row>
    <row r="19" spans="2:16" s="426" customFormat="1" ht="11.25" x14ac:dyDescent="0.2">
      <c r="B19" s="1278"/>
      <c r="C19" s="1282"/>
      <c r="D19" s="565"/>
      <c r="E19" s="479">
        <v>1</v>
      </c>
      <c r="F19" s="480"/>
      <c r="G19" s="481"/>
      <c r="H19" s="464">
        <f t="shared" si="1"/>
        <v>0</v>
      </c>
      <c r="I19" s="465"/>
      <c r="J19" s="466"/>
      <c r="K19" s="467"/>
      <c r="L19" s="467"/>
      <c r="M19" s="467"/>
      <c r="N19" s="467"/>
      <c r="O19" s="468"/>
      <c r="P19" s="465"/>
    </row>
    <row r="20" spans="2:16" s="426" customFormat="1" ht="11.25" x14ac:dyDescent="0.2">
      <c r="B20" s="1278"/>
      <c r="C20" s="1282"/>
      <c r="D20" s="748"/>
      <c r="E20" s="479">
        <v>1</v>
      </c>
      <c r="F20" s="480"/>
      <c r="G20" s="481"/>
      <c r="H20" s="464">
        <f t="shared" si="1"/>
        <v>0</v>
      </c>
      <c r="I20" s="661">
        <f>SUM(H16:H20)</f>
        <v>250000</v>
      </c>
      <c r="J20" s="662">
        <f>I20*$J$5</f>
        <v>32500</v>
      </c>
      <c r="K20" s="663">
        <f>SUM(I20:J20)*$K$5</f>
        <v>12712.5</v>
      </c>
      <c r="L20" s="663">
        <f>SUM(I20:K20)*$L$5</f>
        <v>16236.6875</v>
      </c>
      <c r="M20" s="663">
        <f>SUM(I20:L20)*$M$5</f>
        <v>18686.951249999998</v>
      </c>
      <c r="N20" s="663">
        <f>SUM(I20:M20)*$N$5</f>
        <v>33013.613875000003</v>
      </c>
      <c r="O20" s="664">
        <f>SUM(I20:N20)</f>
        <v>363149.75262499996</v>
      </c>
      <c r="P20" s="661">
        <f>ROUND(O20,-3)</f>
        <v>363000</v>
      </c>
    </row>
    <row r="21" spans="2:16" s="426" customFormat="1" ht="11.25" x14ac:dyDescent="0.2">
      <c r="B21" s="1278"/>
      <c r="C21" s="1282"/>
      <c r="D21" s="669"/>
      <c r="E21" s="479"/>
      <c r="F21" s="480"/>
      <c r="G21" s="481"/>
      <c r="H21" s="464"/>
      <c r="I21" s="661"/>
      <c r="J21" s="662"/>
      <c r="K21" s="663"/>
      <c r="L21" s="663"/>
      <c r="M21" s="663"/>
      <c r="N21" s="663"/>
      <c r="O21" s="664"/>
      <c r="P21" s="661"/>
    </row>
    <row r="22" spans="2:16" s="426" customFormat="1" ht="11.25" x14ac:dyDescent="0.2">
      <c r="B22" s="1278"/>
      <c r="C22" s="1282"/>
      <c r="D22" s="769" t="s">
        <v>557</v>
      </c>
      <c r="E22" s="479">
        <v>1</v>
      </c>
      <c r="F22" s="480"/>
      <c r="G22" s="481">
        <v>500000</v>
      </c>
      <c r="H22" s="464">
        <f t="shared" ref="H22:H30" si="2">E22*G22</f>
        <v>500000</v>
      </c>
      <c r="I22" s="661"/>
      <c r="J22" s="662"/>
      <c r="K22" s="663"/>
      <c r="L22" s="663"/>
      <c r="M22" s="663"/>
      <c r="N22" s="663"/>
      <c r="O22" s="664"/>
      <c r="P22" s="661"/>
    </row>
    <row r="23" spans="2:16" s="426" customFormat="1" ht="11.25" x14ac:dyDescent="0.2">
      <c r="B23" s="1278"/>
      <c r="C23" s="1282"/>
      <c r="D23" s="565"/>
      <c r="E23" s="479">
        <v>1</v>
      </c>
      <c r="F23" s="480"/>
      <c r="G23" s="481"/>
      <c r="H23" s="464">
        <f t="shared" si="2"/>
        <v>0</v>
      </c>
      <c r="I23" s="465"/>
      <c r="J23" s="466"/>
      <c r="K23" s="467"/>
      <c r="L23" s="467"/>
      <c r="M23" s="467"/>
      <c r="N23" s="467"/>
      <c r="O23" s="468"/>
      <c r="P23" s="465"/>
    </row>
    <row r="24" spans="2:16" s="426" customFormat="1" ht="11.25" x14ac:dyDescent="0.2">
      <c r="B24" s="1278"/>
      <c r="C24" s="1282"/>
      <c r="D24" s="748"/>
      <c r="E24" s="749">
        <v>1</v>
      </c>
      <c r="F24" s="750"/>
      <c r="G24" s="751"/>
      <c r="H24" s="660">
        <f t="shared" si="2"/>
        <v>0</v>
      </c>
      <c r="I24" s="661"/>
      <c r="J24" s="662"/>
      <c r="K24" s="663"/>
      <c r="L24" s="663"/>
      <c r="M24" s="663"/>
      <c r="N24" s="663"/>
      <c r="O24" s="664"/>
      <c r="P24" s="661"/>
    </row>
    <row r="25" spans="2:16" s="426" customFormat="1" ht="12" thickBot="1" x14ac:dyDescent="0.25">
      <c r="B25" s="1279"/>
      <c r="C25" s="1283"/>
      <c r="D25" s="469"/>
      <c r="E25" s="470">
        <v>1</v>
      </c>
      <c r="F25" s="471"/>
      <c r="G25" s="472"/>
      <c r="H25" s="473">
        <f t="shared" si="2"/>
        <v>0</v>
      </c>
      <c r="I25" s="474">
        <f>SUM(H22:H25)</f>
        <v>500000</v>
      </c>
      <c r="J25" s="475">
        <f>I25*$J$5</f>
        <v>65000</v>
      </c>
      <c r="K25" s="476">
        <f>SUM(I25:J25)*$K$5</f>
        <v>25425</v>
      </c>
      <c r="L25" s="476">
        <f>SUM(I25:K25)*$L$5</f>
        <v>32473.375</v>
      </c>
      <c r="M25" s="476">
        <f>SUM(I25:L25)*$M$5</f>
        <v>37373.902499999997</v>
      </c>
      <c r="N25" s="476">
        <f>SUM(I25:M25)*$N$5</f>
        <v>66027.227750000005</v>
      </c>
      <c r="O25" s="475">
        <f>SUM(I25:N25)</f>
        <v>726299.50524999993</v>
      </c>
      <c r="P25" s="474">
        <f>ROUND(O25,-3)</f>
        <v>726000</v>
      </c>
    </row>
    <row r="26" spans="2:16" s="420" customFormat="1" ht="11.25" x14ac:dyDescent="0.2">
      <c r="B26" s="1277" t="str">
        <f>'Detailed Matrix'!E104</f>
        <v>High Intervention</v>
      </c>
      <c r="C26" s="1281" t="str">
        <f>'Detailed Matrix'!F104</f>
        <v>Use of electric vehicles and plant</v>
      </c>
      <c r="D26" s="452" t="s">
        <v>556</v>
      </c>
      <c r="E26" s="453">
        <v>1</v>
      </c>
      <c r="F26" s="454"/>
      <c r="G26" s="455">
        <v>250000</v>
      </c>
      <c r="H26" s="456">
        <f t="shared" si="2"/>
        <v>250000</v>
      </c>
      <c r="I26" s="457"/>
      <c r="J26" s="458"/>
      <c r="K26" s="459"/>
      <c r="L26" s="459"/>
      <c r="M26" s="459"/>
      <c r="N26" s="459"/>
      <c r="O26" s="458"/>
      <c r="P26" s="457"/>
    </row>
    <row r="27" spans="2:16" s="420" customFormat="1" ht="11.25" x14ac:dyDescent="0.2">
      <c r="B27" s="1278"/>
      <c r="C27" s="1282"/>
      <c r="D27" s="669"/>
      <c r="E27" s="479">
        <v>1</v>
      </c>
      <c r="F27" s="480"/>
      <c r="G27" s="481"/>
      <c r="H27" s="665">
        <f t="shared" si="2"/>
        <v>0</v>
      </c>
      <c r="I27" s="666"/>
      <c r="J27" s="667"/>
      <c r="K27" s="668"/>
      <c r="L27" s="668"/>
      <c r="M27" s="668"/>
      <c r="N27" s="668"/>
      <c r="O27" s="667"/>
      <c r="P27" s="666"/>
    </row>
    <row r="28" spans="2:16" s="420" customFormat="1" ht="11.25" x14ac:dyDescent="0.2">
      <c r="B28" s="1278"/>
      <c r="C28" s="1282"/>
      <c r="D28" s="565"/>
      <c r="E28" s="479">
        <v>1</v>
      </c>
      <c r="F28" s="480"/>
      <c r="G28" s="481"/>
      <c r="H28" s="464">
        <f t="shared" si="2"/>
        <v>0</v>
      </c>
      <c r="I28" s="666"/>
      <c r="J28" s="667"/>
      <c r="K28" s="668"/>
      <c r="L28" s="668"/>
      <c r="M28" s="668"/>
      <c r="N28" s="668"/>
      <c r="O28" s="667"/>
      <c r="P28" s="666"/>
    </row>
    <row r="29" spans="2:16" s="420" customFormat="1" ht="11.25" x14ac:dyDescent="0.2">
      <c r="B29" s="1278"/>
      <c r="C29" s="1282"/>
      <c r="D29" s="565"/>
      <c r="E29" s="749">
        <v>1</v>
      </c>
      <c r="F29" s="750"/>
      <c r="G29" s="751"/>
      <c r="H29" s="464">
        <f t="shared" si="2"/>
        <v>0</v>
      </c>
      <c r="I29" s="666"/>
      <c r="J29" s="667"/>
      <c r="K29" s="668"/>
      <c r="L29" s="668"/>
      <c r="M29" s="668"/>
      <c r="N29" s="668"/>
      <c r="O29" s="667"/>
      <c r="P29" s="666"/>
    </row>
    <row r="30" spans="2:16" s="420" customFormat="1" ht="11.25" x14ac:dyDescent="0.2">
      <c r="B30" s="1278"/>
      <c r="C30" s="1282"/>
      <c r="D30" s="565"/>
      <c r="E30" s="749">
        <v>1</v>
      </c>
      <c r="F30" s="750"/>
      <c r="G30" s="751"/>
      <c r="H30" s="464">
        <f t="shared" si="2"/>
        <v>0</v>
      </c>
      <c r="I30" s="465">
        <f>SUM(H26:H30)</f>
        <v>250000</v>
      </c>
      <c r="J30" s="466">
        <f>I30*$J$5</f>
        <v>32500</v>
      </c>
      <c r="K30" s="467">
        <f>SUM(I30:J30)*$K$5</f>
        <v>12712.5</v>
      </c>
      <c r="L30" s="467">
        <f>SUM(I30:K30)*$L$5</f>
        <v>16236.6875</v>
      </c>
      <c r="M30" s="467">
        <f>SUM(I30:L30)*$M$5</f>
        <v>18686.951249999998</v>
      </c>
      <c r="N30" s="467">
        <f>SUM(I30:M30)*$N$5</f>
        <v>33013.613875000003</v>
      </c>
      <c r="O30" s="468">
        <f>SUM(I30:N30)</f>
        <v>363149.75262499996</v>
      </c>
      <c r="P30" s="465">
        <f>ROUND(O30,-3)</f>
        <v>363000</v>
      </c>
    </row>
    <row r="31" spans="2:16" s="420" customFormat="1" ht="11.25" x14ac:dyDescent="0.2">
      <c r="B31" s="1278"/>
      <c r="C31" s="1282"/>
      <c r="D31" s="748"/>
      <c r="E31" s="749"/>
      <c r="F31" s="750"/>
      <c r="G31" s="751"/>
      <c r="H31" s="660"/>
      <c r="I31" s="661"/>
      <c r="J31" s="662"/>
      <c r="K31" s="663"/>
      <c r="L31" s="663"/>
      <c r="M31" s="663"/>
      <c r="N31" s="663"/>
      <c r="O31" s="664"/>
      <c r="P31" s="661"/>
    </row>
    <row r="32" spans="2:16" s="420" customFormat="1" ht="11.25" x14ac:dyDescent="0.2">
      <c r="B32" s="1278"/>
      <c r="C32" s="1282"/>
      <c r="D32" s="669" t="s">
        <v>557</v>
      </c>
      <c r="E32" s="749">
        <v>1</v>
      </c>
      <c r="F32" s="750"/>
      <c r="G32" s="751">
        <v>1750000</v>
      </c>
      <c r="H32" s="660">
        <f t="shared" ref="H32:H35" si="3">E32*G32</f>
        <v>1750000</v>
      </c>
      <c r="I32" s="661"/>
      <c r="J32" s="662"/>
      <c r="K32" s="663"/>
      <c r="L32" s="663"/>
      <c r="M32" s="663"/>
      <c r="N32" s="663"/>
      <c r="O32" s="664"/>
      <c r="P32" s="661"/>
    </row>
    <row r="33" spans="2:16" s="420" customFormat="1" ht="11.25" x14ac:dyDescent="0.2">
      <c r="B33" s="1278"/>
      <c r="C33" s="1282"/>
      <c r="D33" s="565"/>
      <c r="E33" s="479">
        <v>1</v>
      </c>
      <c r="F33" s="480"/>
      <c r="G33" s="481"/>
      <c r="H33" s="464">
        <f t="shared" si="3"/>
        <v>0</v>
      </c>
      <c r="I33" s="661"/>
      <c r="J33" s="662"/>
      <c r="K33" s="663"/>
      <c r="L33" s="663"/>
      <c r="M33" s="663"/>
      <c r="N33" s="663"/>
      <c r="O33" s="664"/>
      <c r="P33" s="661"/>
    </row>
    <row r="34" spans="2:16" s="420" customFormat="1" ht="11.25" x14ac:dyDescent="0.2">
      <c r="B34" s="1278"/>
      <c r="C34" s="1282"/>
      <c r="D34" s="565"/>
      <c r="E34" s="749">
        <v>1</v>
      </c>
      <c r="F34" s="750"/>
      <c r="G34" s="751"/>
      <c r="H34" s="464">
        <f t="shared" si="3"/>
        <v>0</v>
      </c>
      <c r="I34" s="661"/>
      <c r="J34" s="662"/>
      <c r="K34" s="663"/>
      <c r="L34" s="663"/>
      <c r="M34" s="663"/>
      <c r="N34" s="663"/>
      <c r="O34" s="664"/>
      <c r="P34" s="661"/>
    </row>
    <row r="35" spans="2:16" s="420" customFormat="1" ht="11.25" x14ac:dyDescent="0.2">
      <c r="B35" s="1278"/>
      <c r="C35" s="1282"/>
      <c r="D35" s="565"/>
      <c r="E35" s="749">
        <v>1</v>
      </c>
      <c r="F35" s="750"/>
      <c r="G35" s="751"/>
      <c r="H35" s="464">
        <f t="shared" si="3"/>
        <v>0</v>
      </c>
      <c r="I35" s="465">
        <f>SUM(H32:H35)</f>
        <v>1750000</v>
      </c>
      <c r="J35" s="466">
        <f>I35*$J$5</f>
        <v>227500</v>
      </c>
      <c r="K35" s="467">
        <f>SUM(I35:J35)*$K$5</f>
        <v>88987.5</v>
      </c>
      <c r="L35" s="467">
        <f>SUM(I35:K35)*$L$5</f>
        <v>113656.8125</v>
      </c>
      <c r="M35" s="467">
        <f>SUM(I35:L35)*$M$5</f>
        <v>130808.65875</v>
      </c>
      <c r="N35" s="467">
        <f>SUM(I35:M35)*$N$5</f>
        <v>231095.29712500001</v>
      </c>
      <c r="O35" s="468">
        <f>SUM(I35:N35)</f>
        <v>2542048.268375</v>
      </c>
      <c r="P35" s="465">
        <f>ROUND(O35,-3)</f>
        <v>2542000</v>
      </c>
    </row>
    <row r="36" spans="2:16" s="420" customFormat="1" ht="11.25" x14ac:dyDescent="0.2">
      <c r="B36" s="1278"/>
      <c r="C36" s="1282"/>
      <c r="D36" s="748"/>
      <c r="E36" s="749"/>
      <c r="F36" s="750"/>
      <c r="G36" s="751"/>
      <c r="H36" s="660"/>
      <c r="I36" s="661"/>
      <c r="J36" s="662"/>
      <c r="K36" s="663"/>
      <c r="L36" s="663"/>
      <c r="M36" s="663"/>
      <c r="N36" s="663"/>
      <c r="O36" s="664"/>
      <c r="P36" s="661"/>
    </row>
  </sheetData>
  <mergeCells count="7">
    <mergeCell ref="B26:B36"/>
    <mergeCell ref="C26:C36"/>
    <mergeCell ref="B2:P3"/>
    <mergeCell ref="B6:B15"/>
    <mergeCell ref="C6:C15"/>
    <mergeCell ref="B16:B25"/>
    <mergeCell ref="C16:C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29FBF-6C55-43F5-8FE3-1CE61E037D7B}">
  <sheetPr>
    <tabColor theme="5" tint="0.59999389629810485"/>
  </sheetPr>
  <dimension ref="B2:Q159"/>
  <sheetViews>
    <sheetView topLeftCell="A70" zoomScale="115" zoomScaleNormal="115" workbookViewId="0">
      <selection activeCell="C142" sqref="C142:C159"/>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Indoor Air Quality</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1.25" x14ac:dyDescent="0.2">
      <c r="B6" s="1277" t="str">
        <f>'Detailed Matrix'!E106</f>
        <v>Monitoring</v>
      </c>
      <c r="C6" s="1301" t="str">
        <f>'Detailed Matrix'!F106</f>
        <v>Stage 01 - Basic monitoring of CO2, temperature and humidity</v>
      </c>
      <c r="D6" s="452" t="s">
        <v>556</v>
      </c>
      <c r="E6" s="453">
        <v>1</v>
      </c>
      <c r="F6" s="454"/>
      <c r="G6" s="455"/>
      <c r="H6" s="455">
        <f t="shared" ref="H6:H11" si="0">E6*G6</f>
        <v>0</v>
      </c>
      <c r="I6" s="457"/>
      <c r="J6" s="458"/>
      <c r="K6" s="459"/>
      <c r="L6" s="459"/>
      <c r="M6" s="459"/>
      <c r="N6" s="459"/>
      <c r="O6" s="458"/>
      <c r="P6" s="457"/>
    </row>
    <row r="7" spans="2:17" s="420" customFormat="1" ht="11.25" x14ac:dyDescent="0.2">
      <c r="B7" s="1278"/>
      <c r="C7" s="1302"/>
      <c r="D7" s="769"/>
      <c r="E7" s="479">
        <v>1</v>
      </c>
      <c r="F7" s="480"/>
      <c r="G7" s="481"/>
      <c r="H7" s="481">
        <f t="shared" si="0"/>
        <v>0</v>
      </c>
      <c r="I7" s="666"/>
      <c r="J7" s="667"/>
      <c r="K7" s="668"/>
      <c r="L7" s="668"/>
      <c r="M7" s="668"/>
      <c r="N7" s="668"/>
      <c r="O7" s="667"/>
      <c r="P7" s="666"/>
    </row>
    <row r="8" spans="2:17" s="420" customFormat="1" ht="11.25" x14ac:dyDescent="0.2">
      <c r="B8" s="1278"/>
      <c r="C8" s="1302"/>
      <c r="D8" s="769"/>
      <c r="E8" s="479">
        <v>1</v>
      </c>
      <c r="F8" s="480"/>
      <c r="G8" s="481"/>
      <c r="H8" s="481">
        <f t="shared" si="0"/>
        <v>0</v>
      </c>
      <c r="I8" s="666"/>
      <c r="J8" s="667"/>
      <c r="K8" s="668"/>
      <c r="L8" s="668"/>
      <c r="M8" s="668"/>
      <c r="N8" s="668"/>
      <c r="O8" s="667"/>
      <c r="P8" s="666"/>
    </row>
    <row r="9" spans="2:17" s="420" customFormat="1" ht="11.25" x14ac:dyDescent="0.2">
      <c r="B9" s="1278"/>
      <c r="C9" s="1302"/>
      <c r="D9" s="769"/>
      <c r="E9" s="479">
        <v>1</v>
      </c>
      <c r="F9" s="480"/>
      <c r="G9" s="481"/>
      <c r="H9" s="481">
        <f t="shared" si="0"/>
        <v>0</v>
      </c>
      <c r="I9" s="666"/>
      <c r="J9" s="667"/>
      <c r="K9" s="668"/>
      <c r="L9" s="668"/>
      <c r="M9" s="668"/>
      <c r="N9" s="668"/>
      <c r="O9" s="667"/>
      <c r="P9" s="666"/>
    </row>
    <row r="10" spans="2:17" s="420" customFormat="1" ht="11.25" x14ac:dyDescent="0.2">
      <c r="B10" s="1278"/>
      <c r="C10" s="1302"/>
      <c r="D10" s="769"/>
      <c r="E10" s="479">
        <v>1</v>
      </c>
      <c r="F10" s="480"/>
      <c r="G10" s="481"/>
      <c r="H10" s="481">
        <f t="shared" si="0"/>
        <v>0</v>
      </c>
      <c r="I10" s="666"/>
      <c r="J10" s="667"/>
      <c r="K10" s="668"/>
      <c r="L10" s="668"/>
      <c r="M10" s="668"/>
      <c r="N10" s="668"/>
      <c r="O10" s="667"/>
      <c r="P10" s="666"/>
    </row>
    <row r="11" spans="2:17" s="420" customFormat="1" ht="11.25" x14ac:dyDescent="0.2">
      <c r="B11" s="1278"/>
      <c r="C11" s="1302"/>
      <c r="D11" s="769"/>
      <c r="E11" s="479">
        <v>1</v>
      </c>
      <c r="F11" s="480"/>
      <c r="G11" s="481"/>
      <c r="H11" s="481">
        <f t="shared" si="0"/>
        <v>0</v>
      </c>
      <c r="I11" s="666"/>
      <c r="J11" s="667"/>
      <c r="K11" s="668"/>
      <c r="L11" s="668"/>
      <c r="M11" s="668"/>
      <c r="N11" s="668"/>
      <c r="O11" s="667"/>
      <c r="P11" s="666"/>
    </row>
    <row r="12" spans="2:17" s="420" customFormat="1" ht="11.25" x14ac:dyDescent="0.2">
      <c r="B12" s="1278"/>
      <c r="C12" s="1302"/>
      <c r="D12" s="460" t="s">
        <v>581</v>
      </c>
      <c r="E12" s="479"/>
      <c r="F12" s="480"/>
      <c r="G12" s="481"/>
      <c r="H12" s="481">
        <f t="shared" ref="H12" si="1">E12*G12</f>
        <v>0</v>
      </c>
      <c r="I12" s="863">
        <f>SUM(H6:H12)</f>
        <v>0</v>
      </c>
      <c r="J12" s="466">
        <f>I12*$J$5</f>
        <v>0</v>
      </c>
      <c r="K12" s="467">
        <f>SUM(I12:J12)*$K$5</f>
        <v>0</v>
      </c>
      <c r="L12" s="467">
        <f>SUM(I12:K12)*$L$5</f>
        <v>0</v>
      </c>
      <c r="M12" s="467">
        <f>SUM(I12:L12)*$M$5</f>
        <v>0</v>
      </c>
      <c r="N12" s="467">
        <f>SUM(I12:M12)*$N$5</f>
        <v>0</v>
      </c>
      <c r="O12" s="468">
        <f>SUM(I12:N12)</f>
        <v>0</v>
      </c>
      <c r="P12" s="465">
        <f>ROUND(O12,-3)</f>
        <v>0</v>
      </c>
      <c r="Q12" s="420" t="s">
        <v>514</v>
      </c>
    </row>
    <row r="13" spans="2:17" s="420" customFormat="1" ht="11.25" x14ac:dyDescent="0.2">
      <c r="B13" s="1278"/>
      <c r="C13" s="1302"/>
      <c r="D13" s="757"/>
      <c r="E13" s="479"/>
      <c r="F13" s="480"/>
      <c r="G13" s="481"/>
      <c r="H13" s="481"/>
      <c r="I13" s="661"/>
      <c r="J13" s="662"/>
      <c r="K13" s="663"/>
      <c r="L13" s="663"/>
      <c r="M13" s="663"/>
      <c r="N13" s="663"/>
      <c r="O13" s="664"/>
      <c r="P13" s="661"/>
    </row>
    <row r="14" spans="2:17" s="420" customFormat="1" ht="11.25" x14ac:dyDescent="0.2">
      <c r="B14" s="1278"/>
      <c r="C14" s="1302"/>
      <c r="D14" s="757" t="s">
        <v>557</v>
      </c>
      <c r="E14" s="479">
        <v>1</v>
      </c>
      <c r="F14" s="480"/>
      <c r="G14" s="481"/>
      <c r="H14" s="481">
        <f>E14*G14</f>
        <v>0</v>
      </c>
      <c r="I14" s="661"/>
      <c r="J14" s="662"/>
      <c r="K14" s="663"/>
      <c r="L14" s="663"/>
      <c r="M14" s="663"/>
      <c r="N14" s="663"/>
      <c r="O14" s="664"/>
      <c r="P14" s="661"/>
    </row>
    <row r="15" spans="2:17" s="420" customFormat="1" ht="11.25" x14ac:dyDescent="0.2">
      <c r="B15" s="1278"/>
      <c r="C15" s="1302"/>
      <c r="D15" s="757"/>
      <c r="E15" s="479">
        <v>1</v>
      </c>
      <c r="F15" s="480"/>
      <c r="G15" s="481"/>
      <c r="H15" s="481">
        <f>E15*G15</f>
        <v>0</v>
      </c>
      <c r="I15" s="661"/>
      <c r="J15" s="662"/>
      <c r="K15" s="663"/>
      <c r="L15" s="663"/>
      <c r="M15" s="663"/>
      <c r="N15" s="663"/>
      <c r="O15" s="664"/>
      <c r="P15" s="661"/>
    </row>
    <row r="16" spans="2:17" s="420" customFormat="1" ht="11.25" x14ac:dyDescent="0.2">
      <c r="B16" s="1278"/>
      <c r="C16" s="1302"/>
      <c r="D16" s="757"/>
      <c r="E16" s="479">
        <v>1</v>
      </c>
      <c r="F16" s="480"/>
      <c r="G16" s="481"/>
      <c r="H16" s="481">
        <f>E16*G16</f>
        <v>0</v>
      </c>
      <c r="I16" s="661"/>
      <c r="J16" s="662"/>
      <c r="K16" s="663"/>
      <c r="L16" s="663"/>
      <c r="M16" s="663"/>
      <c r="N16" s="663"/>
      <c r="O16" s="664"/>
      <c r="P16" s="661"/>
    </row>
    <row r="17" spans="2:17" s="420" customFormat="1" ht="11.25" x14ac:dyDescent="0.2">
      <c r="B17" s="1278"/>
      <c r="C17" s="1302"/>
      <c r="D17" s="757"/>
      <c r="E17" s="479">
        <v>1</v>
      </c>
      <c r="F17" s="480"/>
      <c r="G17" s="481"/>
      <c r="H17" s="481">
        <f>E17*G17</f>
        <v>0</v>
      </c>
      <c r="I17" s="661"/>
      <c r="J17" s="662"/>
      <c r="K17" s="663"/>
      <c r="L17" s="663"/>
      <c r="M17" s="663"/>
      <c r="N17" s="663"/>
      <c r="O17" s="664"/>
      <c r="P17" s="661"/>
    </row>
    <row r="18" spans="2:17" s="420" customFormat="1" ht="11.25" x14ac:dyDescent="0.2">
      <c r="B18" s="1278"/>
      <c r="C18" s="1302"/>
      <c r="D18" s="757"/>
      <c r="E18" s="479">
        <v>1</v>
      </c>
      <c r="F18" s="480"/>
      <c r="G18" s="481"/>
      <c r="H18" s="481">
        <f>E18*G18</f>
        <v>0</v>
      </c>
      <c r="I18" s="661"/>
      <c r="J18" s="662"/>
      <c r="K18" s="663"/>
      <c r="L18" s="663"/>
      <c r="M18" s="663"/>
      <c r="N18" s="663"/>
      <c r="O18" s="664"/>
      <c r="P18" s="661"/>
    </row>
    <row r="19" spans="2:17" s="420" customFormat="1" ht="12" thickBot="1" x14ac:dyDescent="0.25">
      <c r="B19" s="1279"/>
      <c r="C19" s="1303"/>
      <c r="D19" s="460" t="s">
        <v>581</v>
      </c>
      <c r="E19" s="470">
        <v>1</v>
      </c>
      <c r="F19" s="471"/>
      <c r="G19" s="472"/>
      <c r="H19" s="464">
        <f t="shared" ref="H19" si="2">E19*G19</f>
        <v>0</v>
      </c>
      <c r="I19" s="864">
        <f>SUM(H13:H19)</f>
        <v>0</v>
      </c>
      <c r="J19" s="466">
        <f>I19*$J$5</f>
        <v>0</v>
      </c>
      <c r="K19" s="467">
        <f>SUM(I19:J19)*$K$5</f>
        <v>0</v>
      </c>
      <c r="L19" s="467">
        <f>SUM(I19:K19)*$L$5</f>
        <v>0</v>
      </c>
      <c r="M19" s="467">
        <f>SUM(I19:L19)*$M$5</f>
        <v>0</v>
      </c>
      <c r="N19" s="467">
        <f>SUM(I19:M19)*$N$5</f>
        <v>0</v>
      </c>
      <c r="O19" s="468">
        <f>SUM(I19:N19)</f>
        <v>0</v>
      </c>
      <c r="P19" s="465">
        <f>ROUND(O19,-3)</f>
        <v>0</v>
      </c>
      <c r="Q19" s="420" t="s">
        <v>514</v>
      </c>
    </row>
    <row r="20" spans="2:17" s="426" customFormat="1" ht="11.25" x14ac:dyDescent="0.2">
      <c r="B20" s="1286" t="str">
        <f>'Detailed Matrix'!E107</f>
        <v>Monitoring</v>
      </c>
      <c r="C20" s="1298" t="str">
        <f>'Detailed Matrix'!F107</f>
        <v>Stage 02 - Active monitoring of CO2, temperature and humidity</v>
      </c>
      <c r="D20" s="427" t="s">
        <v>556</v>
      </c>
      <c r="E20" s="428"/>
      <c r="F20" s="429"/>
      <c r="G20" s="430"/>
      <c r="H20" s="431"/>
      <c r="I20" s="432"/>
      <c r="J20" s="433"/>
      <c r="K20" s="434"/>
      <c r="L20" s="434"/>
      <c r="M20" s="434"/>
      <c r="N20" s="434"/>
      <c r="O20" s="433"/>
      <c r="P20" s="432"/>
    </row>
    <row r="21" spans="2:17" s="426" customFormat="1" ht="11.25" x14ac:dyDescent="0.2">
      <c r="B21" s="1287"/>
      <c r="C21" s="1299"/>
      <c r="D21" s="482" t="s">
        <v>605</v>
      </c>
      <c r="E21" s="483">
        <f>'Key Data'!$B$25</f>
        <v>261</v>
      </c>
      <c r="F21" s="484" t="s">
        <v>12</v>
      </c>
      <c r="G21" s="485">
        <v>500</v>
      </c>
      <c r="H21" s="486">
        <f t="shared" ref="H21" si="3">E21*G21</f>
        <v>130500</v>
      </c>
      <c r="I21" s="487"/>
      <c r="J21" s="488"/>
      <c r="K21" s="489"/>
      <c r="L21" s="489"/>
      <c r="M21" s="489"/>
      <c r="N21" s="489"/>
      <c r="O21" s="488"/>
      <c r="P21" s="487"/>
    </row>
    <row r="22" spans="2:17" s="426" customFormat="1" ht="11.25" x14ac:dyDescent="0.2">
      <c r="B22" s="1287"/>
      <c r="C22" s="1299"/>
      <c r="D22" s="482" t="s">
        <v>606</v>
      </c>
      <c r="E22" s="483">
        <f>'Key Data'!$B$37</f>
        <v>1500</v>
      </c>
      <c r="F22" s="484" t="s">
        <v>9</v>
      </c>
      <c r="G22" s="485"/>
      <c r="H22" s="486" t="s">
        <v>607</v>
      </c>
      <c r="I22" s="487"/>
      <c r="J22" s="488"/>
      <c r="K22" s="489"/>
      <c r="L22" s="489"/>
      <c r="M22" s="489"/>
      <c r="N22" s="489"/>
      <c r="O22" s="488"/>
      <c r="P22" s="487"/>
    </row>
    <row r="23" spans="2:17" s="426" customFormat="1" ht="11.25" x14ac:dyDescent="0.2">
      <c r="B23" s="1287"/>
      <c r="C23" s="1299"/>
      <c r="D23" s="482" t="s">
        <v>608</v>
      </c>
      <c r="E23" s="483">
        <f>'Key Data'!$B$39</f>
        <v>500</v>
      </c>
      <c r="F23" s="484" t="s">
        <v>9</v>
      </c>
      <c r="G23" s="485"/>
      <c r="H23" s="486" t="s">
        <v>607</v>
      </c>
      <c r="I23" s="487"/>
      <c r="J23" s="488"/>
      <c r="K23" s="489"/>
      <c r="L23" s="489"/>
      <c r="M23" s="489"/>
      <c r="N23" s="489"/>
      <c r="O23" s="488"/>
      <c r="P23" s="487"/>
    </row>
    <row r="24" spans="2:17" s="426" customFormat="1" ht="11.25" x14ac:dyDescent="0.2">
      <c r="B24" s="1287"/>
      <c r="C24" s="1299"/>
      <c r="D24" s="482" t="s">
        <v>609</v>
      </c>
      <c r="E24" s="483">
        <f>'Key Data'!$B$38</f>
        <v>200</v>
      </c>
      <c r="F24" s="484" t="s">
        <v>9</v>
      </c>
      <c r="G24" s="485">
        <v>50</v>
      </c>
      <c r="H24" s="486">
        <f t="shared" ref="H24:H25" si="4">E24*G24</f>
        <v>10000</v>
      </c>
      <c r="I24" s="487"/>
      <c r="J24" s="488"/>
      <c r="K24" s="489"/>
      <c r="L24" s="489"/>
      <c r="M24" s="489"/>
      <c r="N24" s="489"/>
      <c r="O24" s="488"/>
      <c r="P24" s="487"/>
    </row>
    <row r="25" spans="2:17" s="420" customFormat="1" ht="11.25" x14ac:dyDescent="0.2">
      <c r="B25" s="1287"/>
      <c r="C25" s="1299"/>
      <c r="D25" s="482" t="s">
        <v>610</v>
      </c>
      <c r="E25" s="483">
        <v>-1</v>
      </c>
      <c r="F25" s="484" t="s">
        <v>576</v>
      </c>
      <c r="G25" s="485">
        <f>I12</f>
        <v>0</v>
      </c>
      <c r="H25" s="486">
        <f t="shared" si="4"/>
        <v>0</v>
      </c>
      <c r="I25" s="487"/>
      <c r="J25" s="488"/>
      <c r="K25" s="489"/>
      <c r="L25" s="489"/>
      <c r="M25" s="489"/>
      <c r="N25" s="489"/>
      <c r="O25" s="488"/>
      <c r="P25" s="487"/>
    </row>
    <row r="26" spans="2:17" s="426" customFormat="1" ht="11.25" x14ac:dyDescent="0.2">
      <c r="B26" s="1287"/>
      <c r="C26" s="1299"/>
      <c r="D26" s="482"/>
      <c r="E26" s="483"/>
      <c r="F26" s="484"/>
      <c r="G26" s="485"/>
      <c r="H26" s="486"/>
      <c r="I26" s="487"/>
      <c r="J26" s="488"/>
      <c r="K26" s="489"/>
      <c r="L26" s="489"/>
      <c r="M26" s="489"/>
      <c r="N26" s="489"/>
      <c r="O26" s="488"/>
      <c r="P26" s="487"/>
    </row>
    <row r="27" spans="2:17" s="426" customFormat="1" ht="11.25" x14ac:dyDescent="0.2">
      <c r="B27" s="1287"/>
      <c r="C27" s="1299"/>
      <c r="D27" s="490" t="s">
        <v>611</v>
      </c>
      <c r="E27" s="483"/>
      <c r="F27" s="484"/>
      <c r="G27" s="485"/>
      <c r="H27" s="439">
        <f>E27*G27</f>
        <v>0</v>
      </c>
      <c r="I27" s="863">
        <f>SUM(H20:H27)</f>
        <v>140500</v>
      </c>
      <c r="J27" s="441">
        <f>I27*$J$5</f>
        <v>18265</v>
      </c>
      <c r="K27" s="442">
        <f>SUM(I27:J27)*$K$5</f>
        <v>7144.4250000000002</v>
      </c>
      <c r="L27" s="442">
        <f>SUM(I27:K27)*$L$5</f>
        <v>9125.0183749999997</v>
      </c>
      <c r="M27" s="442">
        <f>SUM(I27:L27)*$M$5</f>
        <v>10502.066602499997</v>
      </c>
      <c r="N27" s="442">
        <f>SUM(I27:M27)*$N$5</f>
        <v>18553.650997749999</v>
      </c>
      <c r="O27" s="443">
        <f>SUM(I27:N27)</f>
        <v>204090.16097524998</v>
      </c>
      <c r="P27" s="440">
        <f>ROUND(O27,-3)</f>
        <v>204000</v>
      </c>
      <c r="Q27" s="426" t="s">
        <v>223</v>
      </c>
    </row>
    <row r="28" spans="2:17" s="426" customFormat="1" ht="11.25" x14ac:dyDescent="0.2">
      <c r="B28" s="1287"/>
      <c r="C28" s="1299"/>
      <c r="D28" s="482"/>
      <c r="E28" s="483"/>
      <c r="F28" s="484"/>
      <c r="G28" s="485"/>
      <c r="H28" s="486"/>
      <c r="I28" s="487"/>
      <c r="J28" s="488"/>
      <c r="K28" s="489"/>
      <c r="L28" s="489"/>
      <c r="M28" s="489"/>
      <c r="N28" s="489"/>
      <c r="O28" s="488"/>
      <c r="P28" s="487"/>
    </row>
    <row r="29" spans="2:17" s="426" customFormat="1" ht="11.25" x14ac:dyDescent="0.2">
      <c r="B29" s="1287"/>
      <c r="C29" s="1299"/>
      <c r="D29" s="482" t="s">
        <v>557</v>
      </c>
      <c r="E29" s="483"/>
      <c r="F29" s="484"/>
      <c r="G29" s="485"/>
      <c r="H29" s="486"/>
      <c r="I29" s="487"/>
      <c r="J29" s="488"/>
      <c r="K29" s="489"/>
      <c r="L29" s="489"/>
      <c r="M29" s="489"/>
      <c r="N29" s="489"/>
      <c r="O29" s="488"/>
      <c r="P29" s="487"/>
    </row>
    <row r="30" spans="2:17" s="426" customFormat="1" ht="11.25" x14ac:dyDescent="0.2">
      <c r="B30" s="1287"/>
      <c r="C30" s="1299"/>
      <c r="D30" s="482" t="s">
        <v>605</v>
      </c>
      <c r="E30" s="483">
        <v>1</v>
      </c>
      <c r="F30" s="484" t="s">
        <v>12</v>
      </c>
      <c r="G30" s="485"/>
      <c r="H30" s="486">
        <f t="shared" ref="H30:H33" si="5">E30*G30</f>
        <v>0</v>
      </c>
      <c r="I30" s="487"/>
      <c r="J30" s="488"/>
      <c r="K30" s="489"/>
      <c r="L30" s="489"/>
      <c r="M30" s="489"/>
      <c r="N30" s="489"/>
      <c r="O30" s="488"/>
      <c r="P30" s="487"/>
    </row>
    <row r="31" spans="2:17" s="426" customFormat="1" ht="11.25" x14ac:dyDescent="0.2">
      <c r="B31" s="1287"/>
      <c r="C31" s="1299"/>
      <c r="D31" s="482" t="s">
        <v>606</v>
      </c>
      <c r="E31" s="483">
        <v>1</v>
      </c>
      <c r="F31" s="484" t="s">
        <v>9</v>
      </c>
      <c r="G31" s="485"/>
      <c r="H31" s="486">
        <f t="shared" si="5"/>
        <v>0</v>
      </c>
      <c r="I31" s="487"/>
      <c r="J31" s="488"/>
      <c r="K31" s="489"/>
      <c r="L31" s="489"/>
      <c r="M31" s="489"/>
      <c r="N31" s="489"/>
      <c r="O31" s="488"/>
      <c r="P31" s="487"/>
    </row>
    <row r="32" spans="2:17" s="426" customFormat="1" ht="11.25" x14ac:dyDescent="0.2">
      <c r="B32" s="1287"/>
      <c r="C32" s="1299"/>
      <c r="D32" s="482" t="s">
        <v>608</v>
      </c>
      <c r="E32" s="483">
        <v>1</v>
      </c>
      <c r="F32" s="484" t="s">
        <v>9</v>
      </c>
      <c r="G32" s="485"/>
      <c r="H32" s="486">
        <f t="shared" si="5"/>
        <v>0</v>
      </c>
      <c r="I32" s="487"/>
      <c r="J32" s="488"/>
      <c r="K32" s="489"/>
      <c r="L32" s="489"/>
      <c r="M32" s="489"/>
      <c r="N32" s="489"/>
      <c r="O32" s="488"/>
      <c r="P32" s="487"/>
    </row>
    <row r="33" spans="2:17" s="426" customFormat="1" ht="11.25" x14ac:dyDescent="0.2">
      <c r="B33" s="1287"/>
      <c r="C33" s="1299"/>
      <c r="D33" s="482" t="s">
        <v>609</v>
      </c>
      <c r="E33" s="483">
        <v>1</v>
      </c>
      <c r="F33" s="484" t="s">
        <v>9</v>
      </c>
      <c r="G33" s="485"/>
      <c r="H33" s="486">
        <f t="shared" si="5"/>
        <v>0</v>
      </c>
      <c r="I33" s="487"/>
      <c r="J33" s="488"/>
      <c r="K33" s="489"/>
      <c r="L33" s="489"/>
      <c r="M33" s="489"/>
      <c r="N33" s="489"/>
      <c r="O33" s="488"/>
      <c r="P33" s="487"/>
    </row>
    <row r="34" spans="2:17" s="426" customFormat="1" ht="11.25" x14ac:dyDescent="0.2">
      <c r="B34" s="1287"/>
      <c r="C34" s="1299"/>
      <c r="D34" s="482" t="s">
        <v>610</v>
      </c>
      <c r="E34" s="483">
        <v>-1</v>
      </c>
      <c r="F34" s="484" t="s">
        <v>576</v>
      </c>
      <c r="G34" s="485">
        <f>I19</f>
        <v>0</v>
      </c>
      <c r="H34" s="486">
        <f t="shared" ref="H34" si="6">E34*G34</f>
        <v>0</v>
      </c>
      <c r="I34" s="487"/>
      <c r="J34" s="488"/>
      <c r="K34" s="489"/>
      <c r="L34" s="489"/>
      <c r="M34" s="489"/>
      <c r="N34" s="489"/>
      <c r="O34" s="488"/>
      <c r="P34" s="487"/>
      <c r="Q34" s="420"/>
    </row>
    <row r="35" spans="2:17" s="426" customFormat="1" ht="11.25" x14ac:dyDescent="0.2">
      <c r="B35" s="1287"/>
      <c r="C35" s="1299"/>
      <c r="D35" s="482"/>
      <c r="E35" s="483"/>
      <c r="F35" s="484"/>
      <c r="G35" s="485"/>
      <c r="H35" s="486"/>
      <c r="I35" s="487"/>
      <c r="J35" s="488"/>
      <c r="K35" s="489"/>
      <c r="L35" s="489"/>
      <c r="M35" s="489"/>
      <c r="N35" s="489"/>
      <c r="O35" s="488"/>
      <c r="P35" s="487"/>
    </row>
    <row r="36" spans="2:17" s="426" customFormat="1" ht="11.25" x14ac:dyDescent="0.2">
      <c r="B36" s="1287"/>
      <c r="C36" s="1299"/>
      <c r="D36" s="490" t="s">
        <v>611</v>
      </c>
      <c r="E36" s="483"/>
      <c r="F36" s="484"/>
      <c r="G36" s="485"/>
      <c r="H36" s="439">
        <f>E36*G36</f>
        <v>0</v>
      </c>
      <c r="I36" s="865">
        <f>SUM(H29:H36)</f>
        <v>0</v>
      </c>
      <c r="J36" s="441">
        <f>I36*$J$5</f>
        <v>0</v>
      </c>
      <c r="K36" s="442">
        <f>SUM(I36:J36)*$K$5</f>
        <v>0</v>
      </c>
      <c r="L36" s="442">
        <f>SUM(I36:K36)*$L$5</f>
        <v>0</v>
      </c>
      <c r="M36" s="442">
        <f>SUM(I36:L36)*$M$5</f>
        <v>0</v>
      </c>
      <c r="N36" s="442">
        <f>SUM(I36:M36)*$N$5</f>
        <v>0</v>
      </c>
      <c r="O36" s="443">
        <f>SUM(I36:N36)</f>
        <v>0</v>
      </c>
      <c r="P36" s="440">
        <f>ROUND(O36,-3)</f>
        <v>0</v>
      </c>
      <c r="Q36" s="426" t="s">
        <v>223</v>
      </c>
    </row>
    <row r="37" spans="2:17" s="426" customFormat="1" ht="11.25" x14ac:dyDescent="0.2">
      <c r="B37" s="1287"/>
      <c r="C37" s="1299"/>
      <c r="D37" s="710"/>
      <c r="E37" s="711"/>
      <c r="F37" s="594"/>
      <c r="G37" s="606"/>
      <c r="H37" s="596"/>
      <c r="I37" s="597"/>
      <c r="J37" s="598"/>
      <c r="K37" s="599"/>
      <c r="L37" s="599"/>
      <c r="M37" s="599"/>
      <c r="N37" s="599"/>
      <c r="O37" s="600"/>
      <c r="P37" s="597"/>
    </row>
    <row r="38" spans="2:17" s="426" customFormat="1" ht="12" thickBot="1" x14ac:dyDescent="0.25">
      <c r="B38" s="1288"/>
      <c r="C38" s="1300"/>
      <c r="D38" s="444"/>
      <c r="E38" s="445"/>
      <c r="F38" s="446"/>
      <c r="G38" s="447"/>
      <c r="H38" s="448"/>
      <c r="I38" s="449"/>
      <c r="J38" s="450"/>
      <c r="K38" s="451"/>
      <c r="L38" s="451"/>
      <c r="M38" s="451"/>
      <c r="N38" s="451"/>
      <c r="O38" s="450"/>
      <c r="P38" s="449"/>
    </row>
    <row r="39" spans="2:17" s="420" customFormat="1" ht="11.25" x14ac:dyDescent="0.2">
      <c r="B39" s="1286" t="str">
        <f>'Detailed Matrix'!E108</f>
        <v>Monitoring</v>
      </c>
      <c r="C39" s="1298" t="str">
        <f>'Detailed Matrix'!F108</f>
        <v>Stage 03 - IAQ monitoring which informas occupants about air quality and actions to take when deficient</v>
      </c>
      <c r="D39" s="427" t="s">
        <v>556</v>
      </c>
      <c r="E39" s="428"/>
      <c r="F39" s="429"/>
      <c r="G39" s="430"/>
      <c r="H39" s="431"/>
      <c r="I39" s="432"/>
      <c r="J39" s="433"/>
      <c r="K39" s="434"/>
      <c r="L39" s="434"/>
      <c r="M39" s="434"/>
      <c r="N39" s="434"/>
      <c r="O39" s="433"/>
      <c r="P39" s="432"/>
    </row>
    <row r="40" spans="2:17" s="420" customFormat="1" ht="11.25" x14ac:dyDescent="0.2">
      <c r="B40" s="1287"/>
      <c r="C40" s="1299"/>
      <c r="D40" s="482" t="s">
        <v>605</v>
      </c>
      <c r="E40" s="483">
        <f>'Key Data'!$B$25</f>
        <v>261</v>
      </c>
      <c r="F40" s="484" t="s">
        <v>12</v>
      </c>
      <c r="G40" s="485">
        <v>750</v>
      </c>
      <c r="H40" s="486">
        <f t="shared" ref="H40" si="7">E40*G40</f>
        <v>195750</v>
      </c>
      <c r="I40" s="487"/>
      <c r="J40" s="488"/>
      <c r="K40" s="489"/>
      <c r="L40" s="489"/>
      <c r="M40" s="489"/>
      <c r="N40" s="489"/>
      <c r="O40" s="488"/>
      <c r="P40" s="487"/>
    </row>
    <row r="41" spans="2:17" s="420" customFormat="1" ht="11.25" x14ac:dyDescent="0.2">
      <c r="B41" s="1287"/>
      <c r="C41" s="1299"/>
      <c r="D41" s="482" t="s">
        <v>606</v>
      </c>
      <c r="E41" s="483">
        <f>'Key Data'!$B$37</f>
        <v>1500</v>
      </c>
      <c r="F41" s="484" t="s">
        <v>9</v>
      </c>
      <c r="G41" s="485"/>
      <c r="H41" s="486" t="s">
        <v>607</v>
      </c>
      <c r="I41" s="487"/>
      <c r="J41" s="488"/>
      <c r="K41" s="489"/>
      <c r="L41" s="489"/>
      <c r="M41" s="489"/>
      <c r="N41" s="489"/>
      <c r="O41" s="488"/>
      <c r="P41" s="487"/>
    </row>
    <row r="42" spans="2:17" s="420" customFormat="1" ht="11.25" x14ac:dyDescent="0.2">
      <c r="B42" s="1287"/>
      <c r="C42" s="1299"/>
      <c r="D42" s="482" t="s">
        <v>608</v>
      </c>
      <c r="E42" s="483">
        <f>'Key Data'!$B$39</f>
        <v>500</v>
      </c>
      <c r="F42" s="484" t="s">
        <v>9</v>
      </c>
      <c r="G42" s="485"/>
      <c r="H42" s="486" t="s">
        <v>607</v>
      </c>
      <c r="I42" s="487"/>
      <c r="J42" s="488"/>
      <c r="K42" s="489"/>
      <c r="L42" s="489"/>
      <c r="M42" s="489"/>
      <c r="N42" s="489"/>
      <c r="O42" s="488"/>
      <c r="P42" s="487"/>
    </row>
    <row r="43" spans="2:17" s="420" customFormat="1" ht="11.25" x14ac:dyDescent="0.2">
      <c r="B43" s="1287"/>
      <c r="C43" s="1299"/>
      <c r="D43" s="482" t="s">
        <v>609</v>
      </c>
      <c r="E43" s="483">
        <f>'Key Data'!$B$38</f>
        <v>200</v>
      </c>
      <c r="F43" s="484" t="s">
        <v>9</v>
      </c>
      <c r="G43" s="485">
        <v>75</v>
      </c>
      <c r="H43" s="486">
        <f t="shared" ref="H43:H44" si="8">E43*G43</f>
        <v>15000</v>
      </c>
      <c r="I43" s="487"/>
      <c r="J43" s="488"/>
      <c r="K43" s="489"/>
      <c r="L43" s="489"/>
      <c r="M43" s="489"/>
      <c r="N43" s="489"/>
      <c r="O43" s="488"/>
      <c r="P43" s="487"/>
    </row>
    <row r="44" spans="2:17" s="420" customFormat="1" ht="11.25" x14ac:dyDescent="0.2">
      <c r="B44" s="1287"/>
      <c r="C44" s="1299"/>
      <c r="D44" s="482" t="s">
        <v>612</v>
      </c>
      <c r="E44" s="483">
        <v>-1</v>
      </c>
      <c r="F44" s="484" t="s">
        <v>576</v>
      </c>
      <c r="G44" s="485">
        <f>SUM(I12,I27)</f>
        <v>140500</v>
      </c>
      <c r="H44" s="486">
        <f t="shared" si="8"/>
        <v>-140500</v>
      </c>
      <c r="I44" s="487"/>
      <c r="J44" s="488"/>
      <c r="K44" s="489"/>
      <c r="L44" s="489"/>
      <c r="M44" s="489"/>
      <c r="N44" s="489"/>
      <c r="O44" s="488"/>
      <c r="P44" s="487"/>
    </row>
    <row r="45" spans="2:17" s="420" customFormat="1" ht="11.25" x14ac:dyDescent="0.2">
      <c r="B45" s="1287"/>
      <c r="C45" s="1299"/>
      <c r="D45" s="482"/>
      <c r="E45" s="483"/>
      <c r="F45" s="484"/>
      <c r="G45" s="485"/>
      <c r="H45" s="486"/>
      <c r="I45" s="487"/>
      <c r="J45" s="488"/>
      <c r="K45" s="489"/>
      <c r="L45" s="489"/>
      <c r="M45" s="489"/>
      <c r="N45" s="489"/>
      <c r="O45" s="488"/>
      <c r="P45" s="487"/>
    </row>
    <row r="46" spans="2:17" s="420" customFormat="1" ht="11.25" x14ac:dyDescent="0.2">
      <c r="B46" s="1287"/>
      <c r="C46" s="1299"/>
      <c r="D46" s="482" t="s">
        <v>611</v>
      </c>
      <c r="E46" s="483"/>
      <c r="F46" s="484"/>
      <c r="G46" s="485"/>
      <c r="H46" s="486">
        <f t="shared" ref="H46" si="9">E46*G46</f>
        <v>0</v>
      </c>
      <c r="I46" s="875">
        <f>SUM(H39:H46)</f>
        <v>70250</v>
      </c>
      <c r="J46" s="488">
        <f>I46*$J$5</f>
        <v>9132.5</v>
      </c>
      <c r="K46" s="489">
        <f>SUM(I46:J46)*$K$5</f>
        <v>3572.2125000000001</v>
      </c>
      <c r="L46" s="482">
        <f>SUM(I46:K46)*$L$5</f>
        <v>4562.5091874999998</v>
      </c>
      <c r="M46" s="483">
        <f>SUM(I46:L46)*$M$5</f>
        <v>5251.0333012499987</v>
      </c>
      <c r="N46" s="484">
        <f>SUM(I46:M46)*$N$5</f>
        <v>9276.8254988749995</v>
      </c>
      <c r="O46" s="485">
        <f>SUM(I46:N46)</f>
        <v>102045.08048762499</v>
      </c>
      <c r="P46" s="486">
        <f>ROUND(O46,-3)</f>
        <v>102000</v>
      </c>
      <c r="Q46" s="420" t="s">
        <v>223</v>
      </c>
    </row>
    <row r="47" spans="2:17" s="420" customFormat="1" ht="11.25" x14ac:dyDescent="0.2">
      <c r="B47" s="1287"/>
      <c r="C47" s="1299"/>
      <c r="D47" s="482"/>
      <c r="E47" s="483"/>
      <c r="F47" s="484"/>
      <c r="G47" s="485"/>
      <c r="H47" s="486"/>
      <c r="I47" s="487"/>
      <c r="J47" s="488"/>
      <c r="K47" s="489"/>
      <c r="L47" s="482"/>
      <c r="M47" s="483"/>
      <c r="N47" s="484"/>
      <c r="O47" s="485"/>
      <c r="P47" s="486"/>
    </row>
    <row r="48" spans="2:17" s="420" customFormat="1" ht="11.25" x14ac:dyDescent="0.2">
      <c r="B48" s="1287"/>
      <c r="C48" s="1299"/>
      <c r="D48" s="482" t="s">
        <v>557</v>
      </c>
      <c r="E48" s="483"/>
      <c r="F48" s="484"/>
      <c r="G48" s="485"/>
      <c r="H48" s="486"/>
      <c r="I48" s="487"/>
      <c r="J48" s="488"/>
      <c r="K48" s="489"/>
      <c r="L48" s="482"/>
      <c r="M48" s="483"/>
      <c r="N48" s="484"/>
      <c r="O48" s="485"/>
      <c r="P48" s="486"/>
    </row>
    <row r="49" spans="2:17" s="420" customFormat="1" ht="11.25" x14ac:dyDescent="0.2">
      <c r="B49" s="1287"/>
      <c r="C49" s="1299"/>
      <c r="D49" s="482" t="s">
        <v>605</v>
      </c>
      <c r="E49" s="483">
        <v>1</v>
      </c>
      <c r="F49" s="484" t="s">
        <v>12</v>
      </c>
      <c r="G49" s="485"/>
      <c r="H49" s="486">
        <f t="shared" ref="H49:H52" si="10">E49*G49</f>
        <v>0</v>
      </c>
      <c r="I49" s="487"/>
      <c r="J49" s="488"/>
      <c r="K49" s="489"/>
      <c r="L49" s="489"/>
      <c r="M49" s="489"/>
      <c r="N49" s="489"/>
      <c r="O49" s="488"/>
      <c r="P49" s="487"/>
    </row>
    <row r="50" spans="2:17" s="420" customFormat="1" ht="11.25" x14ac:dyDescent="0.2">
      <c r="B50" s="1287"/>
      <c r="C50" s="1299"/>
      <c r="D50" s="482" t="s">
        <v>606</v>
      </c>
      <c r="E50" s="483">
        <v>1</v>
      </c>
      <c r="F50" s="484" t="s">
        <v>9</v>
      </c>
      <c r="G50" s="485"/>
      <c r="H50" s="486">
        <f t="shared" si="10"/>
        <v>0</v>
      </c>
      <c r="I50" s="487"/>
      <c r="J50" s="488"/>
      <c r="K50" s="489"/>
      <c r="L50" s="489"/>
      <c r="M50" s="489"/>
      <c r="N50" s="489"/>
      <c r="O50" s="488"/>
      <c r="P50" s="487"/>
    </row>
    <row r="51" spans="2:17" s="420" customFormat="1" ht="11.25" x14ac:dyDescent="0.2">
      <c r="B51" s="1287"/>
      <c r="C51" s="1299"/>
      <c r="D51" s="482" t="s">
        <v>608</v>
      </c>
      <c r="E51" s="483">
        <v>1</v>
      </c>
      <c r="F51" s="484" t="s">
        <v>9</v>
      </c>
      <c r="G51" s="485"/>
      <c r="H51" s="486">
        <f t="shared" si="10"/>
        <v>0</v>
      </c>
      <c r="I51" s="487"/>
      <c r="J51" s="488"/>
      <c r="K51" s="489"/>
      <c r="L51" s="489"/>
      <c r="M51" s="489"/>
      <c r="N51" s="489"/>
      <c r="O51" s="488"/>
      <c r="P51" s="487"/>
    </row>
    <row r="52" spans="2:17" s="420" customFormat="1" ht="11.25" x14ac:dyDescent="0.2">
      <c r="B52" s="1287"/>
      <c r="C52" s="1299"/>
      <c r="D52" s="482" t="s">
        <v>609</v>
      </c>
      <c r="E52" s="483">
        <v>1</v>
      </c>
      <c r="F52" s="484" t="s">
        <v>9</v>
      </c>
      <c r="G52" s="485"/>
      <c r="H52" s="486">
        <f t="shared" si="10"/>
        <v>0</v>
      </c>
      <c r="I52" s="487"/>
      <c r="J52" s="488"/>
      <c r="K52" s="489"/>
      <c r="L52" s="489"/>
      <c r="M52" s="489"/>
      <c r="N52" s="489"/>
      <c r="O52" s="488"/>
      <c r="P52" s="487"/>
    </row>
    <row r="53" spans="2:17" s="420" customFormat="1" ht="11.25" x14ac:dyDescent="0.2">
      <c r="B53" s="1287"/>
      <c r="C53" s="1299"/>
      <c r="D53" s="482" t="s">
        <v>612</v>
      </c>
      <c r="E53" s="483">
        <v>-1</v>
      </c>
      <c r="F53" s="484" t="s">
        <v>576</v>
      </c>
      <c r="G53" s="485">
        <f>SUM(I19,I36)</f>
        <v>0</v>
      </c>
      <c r="H53" s="486">
        <f t="shared" ref="H53" si="11">E53*G53</f>
        <v>0</v>
      </c>
      <c r="I53" s="487"/>
      <c r="J53" s="488"/>
      <c r="K53" s="489"/>
      <c r="L53" s="489"/>
      <c r="M53" s="489"/>
      <c r="N53" s="489"/>
      <c r="O53" s="488"/>
      <c r="P53" s="487"/>
    </row>
    <row r="54" spans="2:17" s="420" customFormat="1" ht="11.25" x14ac:dyDescent="0.2">
      <c r="B54" s="1287"/>
      <c r="C54" s="1299"/>
      <c r="D54" s="482"/>
      <c r="E54" s="483"/>
      <c r="F54" s="484"/>
      <c r="G54" s="485"/>
      <c r="H54" s="486"/>
      <c r="I54" s="487"/>
      <c r="J54" s="488"/>
      <c r="K54" s="489"/>
      <c r="L54" s="489"/>
      <c r="M54" s="489"/>
      <c r="N54" s="489"/>
      <c r="O54" s="488"/>
      <c r="P54" s="487"/>
    </row>
    <row r="55" spans="2:17" s="420" customFormat="1" ht="11.25" x14ac:dyDescent="0.2">
      <c r="B55" s="1287"/>
      <c r="C55" s="1299"/>
      <c r="D55" s="490" t="s">
        <v>611</v>
      </c>
      <c r="E55" s="483"/>
      <c r="F55" s="484"/>
      <c r="G55" s="485"/>
      <c r="H55" s="439">
        <f t="shared" ref="H55" si="12">E55*G55</f>
        <v>0</v>
      </c>
      <c r="I55" s="865">
        <f>SUM(H48:H55)</f>
        <v>0</v>
      </c>
      <c r="J55" s="441">
        <f>I55*$J$5</f>
        <v>0</v>
      </c>
      <c r="K55" s="442">
        <f>SUM(I55:J55)*$K$5</f>
        <v>0</v>
      </c>
      <c r="L55" s="442">
        <f>SUM(I55:K55)*$L$5</f>
        <v>0</v>
      </c>
      <c r="M55" s="442">
        <f>SUM(I55:L55)*$M$5</f>
        <v>0</v>
      </c>
      <c r="N55" s="442">
        <f>SUM(I55:M55)*$N$5</f>
        <v>0</v>
      </c>
      <c r="O55" s="443">
        <f>SUM(I55:N55)</f>
        <v>0</v>
      </c>
      <c r="P55" s="440">
        <f>ROUND(O55,-3)</f>
        <v>0</v>
      </c>
      <c r="Q55" s="420" t="s">
        <v>223</v>
      </c>
    </row>
    <row r="56" spans="2:17" s="420" customFormat="1" ht="11.25" x14ac:dyDescent="0.2">
      <c r="B56" s="1287"/>
      <c r="C56" s="1299"/>
      <c r="D56" s="490"/>
      <c r="E56" s="483"/>
      <c r="F56" s="484"/>
      <c r="G56" s="485"/>
      <c r="H56" s="596"/>
      <c r="I56" s="487"/>
      <c r="J56" s="598"/>
      <c r="K56" s="599"/>
      <c r="L56" s="599"/>
      <c r="M56" s="599"/>
      <c r="N56" s="599"/>
      <c r="O56" s="600"/>
      <c r="P56" s="597"/>
    </row>
    <row r="57" spans="2:17" s="420" customFormat="1" ht="12" thickBot="1" x14ac:dyDescent="0.25">
      <c r="B57" s="1288"/>
      <c r="C57" s="1300"/>
      <c r="D57" s="444"/>
      <c r="E57" s="445"/>
      <c r="F57" s="446"/>
      <c r="G57" s="447"/>
      <c r="H57" s="448"/>
      <c r="I57" s="449"/>
      <c r="J57" s="450"/>
      <c r="K57" s="451"/>
      <c r="L57" s="451"/>
      <c r="M57" s="451"/>
      <c r="N57" s="451"/>
      <c r="O57" s="450"/>
      <c r="P57" s="449"/>
    </row>
    <row r="58" spans="2:17" s="426" customFormat="1" ht="11.25" x14ac:dyDescent="0.2">
      <c r="B58" s="1286" t="str">
        <f>'Detailed Matrix'!E109</f>
        <v>Monitoring</v>
      </c>
      <c r="C58" s="1298" t="str">
        <f>'Detailed Matrix'!F109</f>
        <v>Stage 04 - In room monitoring and automated ventilation systems</v>
      </c>
      <c r="D58" s="427" t="s">
        <v>556</v>
      </c>
      <c r="E58" s="428"/>
      <c r="F58" s="429"/>
      <c r="G58" s="430"/>
      <c r="H58" s="431"/>
      <c r="I58" s="432"/>
      <c r="J58" s="433"/>
      <c r="K58" s="434"/>
      <c r="L58" s="434"/>
      <c r="M58" s="434"/>
      <c r="N58" s="434"/>
      <c r="O58" s="433"/>
      <c r="P58" s="432"/>
    </row>
    <row r="59" spans="2:17" s="420" customFormat="1" ht="11.25" x14ac:dyDescent="0.2">
      <c r="B59" s="1287"/>
      <c r="C59" s="1299"/>
      <c r="D59" s="482" t="s">
        <v>605</v>
      </c>
      <c r="E59" s="483">
        <f>'Key Data'!$B$25</f>
        <v>261</v>
      </c>
      <c r="F59" s="484" t="s">
        <v>12</v>
      </c>
      <c r="G59" s="485">
        <v>2500</v>
      </c>
      <c r="H59" s="486">
        <f t="shared" ref="H59" si="13">E59*G59</f>
        <v>652500</v>
      </c>
      <c r="I59" s="487"/>
      <c r="J59" s="488"/>
      <c r="K59" s="489"/>
      <c r="L59" s="489"/>
      <c r="M59" s="489"/>
      <c r="N59" s="489"/>
      <c r="O59" s="488"/>
      <c r="P59" s="487"/>
    </row>
    <row r="60" spans="2:17" s="420" customFormat="1" ht="11.25" x14ac:dyDescent="0.2">
      <c r="B60" s="1287"/>
      <c r="C60" s="1299"/>
      <c r="D60" s="482" t="s">
        <v>606</v>
      </c>
      <c r="E60" s="483">
        <f>'Key Data'!$B$37</f>
        <v>1500</v>
      </c>
      <c r="F60" s="484" t="s">
        <v>9</v>
      </c>
      <c r="G60" s="485"/>
      <c r="H60" s="486" t="s">
        <v>607</v>
      </c>
      <c r="I60" s="487"/>
      <c r="J60" s="488"/>
      <c r="K60" s="489"/>
      <c r="L60" s="489"/>
      <c r="M60" s="489"/>
      <c r="N60" s="489"/>
      <c r="O60" s="488"/>
      <c r="P60" s="487"/>
    </row>
    <row r="61" spans="2:17" s="420" customFormat="1" ht="11.25" x14ac:dyDescent="0.2">
      <c r="B61" s="1287"/>
      <c r="C61" s="1299"/>
      <c r="D61" s="482" t="s">
        <v>608</v>
      </c>
      <c r="E61" s="483">
        <f>'Key Data'!$B$39</f>
        <v>500</v>
      </c>
      <c r="F61" s="484" t="s">
        <v>9</v>
      </c>
      <c r="G61" s="485"/>
      <c r="H61" s="486" t="s">
        <v>607</v>
      </c>
      <c r="I61" s="487"/>
      <c r="J61" s="488"/>
      <c r="K61" s="489"/>
      <c r="L61" s="489"/>
      <c r="M61" s="489"/>
      <c r="N61" s="489"/>
      <c r="O61" s="488"/>
      <c r="P61" s="487"/>
    </row>
    <row r="62" spans="2:17" s="420" customFormat="1" ht="11.25" x14ac:dyDescent="0.2">
      <c r="B62" s="1287"/>
      <c r="C62" s="1299"/>
      <c r="D62" s="482" t="s">
        <v>609</v>
      </c>
      <c r="E62" s="483">
        <f>'Key Data'!$B$38</f>
        <v>200</v>
      </c>
      <c r="F62" s="484" t="s">
        <v>9</v>
      </c>
      <c r="G62" s="485">
        <v>250</v>
      </c>
      <c r="H62" s="486">
        <f t="shared" ref="H62:H63" si="14">E62*G62</f>
        <v>50000</v>
      </c>
      <c r="I62" s="487"/>
      <c r="J62" s="488"/>
      <c r="K62" s="489"/>
      <c r="L62" s="489"/>
      <c r="M62" s="489"/>
      <c r="N62" s="489"/>
      <c r="O62" s="488"/>
      <c r="P62" s="487"/>
    </row>
    <row r="63" spans="2:17" s="420" customFormat="1" ht="11.25" x14ac:dyDescent="0.2">
      <c r="B63" s="1287"/>
      <c r="C63" s="1299"/>
      <c r="D63" s="482" t="s">
        <v>613</v>
      </c>
      <c r="E63" s="483">
        <v>-1</v>
      </c>
      <c r="F63" s="484" t="s">
        <v>576</v>
      </c>
      <c r="G63" s="485">
        <f>SUM(I12,I27,I46)</f>
        <v>210750</v>
      </c>
      <c r="H63" s="486">
        <f t="shared" si="14"/>
        <v>-210750</v>
      </c>
      <c r="I63" s="487"/>
      <c r="J63" s="488"/>
      <c r="K63" s="489"/>
      <c r="L63" s="489"/>
      <c r="M63" s="489"/>
      <c r="N63" s="489"/>
      <c r="O63" s="488"/>
      <c r="P63" s="487"/>
    </row>
    <row r="64" spans="2:17" s="426" customFormat="1" ht="11.25" x14ac:dyDescent="0.2">
      <c r="B64" s="1287"/>
      <c r="C64" s="1299"/>
      <c r="D64" s="490" t="s">
        <v>611</v>
      </c>
      <c r="E64" s="483"/>
      <c r="F64" s="484"/>
      <c r="G64" s="485"/>
      <c r="H64" s="439">
        <f t="shared" ref="H64" si="15">E64*G64</f>
        <v>0</v>
      </c>
      <c r="I64" s="440">
        <f>SUM(H58:H64)</f>
        <v>491750</v>
      </c>
      <c r="J64" s="441">
        <f>I64*$J$5</f>
        <v>63927.5</v>
      </c>
      <c r="K64" s="442">
        <f>SUM(I64:J64)*$K$5</f>
        <v>25005.487499999999</v>
      </c>
      <c r="L64" s="442">
        <f>SUM(I64:K64)*$L$5</f>
        <v>31937.564312500002</v>
      </c>
      <c r="M64" s="442">
        <f>SUM(I64:L64)*$M$5</f>
        <v>36757.233108749999</v>
      </c>
      <c r="N64" s="442">
        <f>SUM(I64:M64)*$N$5</f>
        <v>64937.778492124999</v>
      </c>
      <c r="O64" s="443">
        <f>SUM(I64:N64)</f>
        <v>714315.56341337494</v>
      </c>
      <c r="P64" s="440">
        <f>ROUND(O64,-3)</f>
        <v>714000</v>
      </c>
      <c r="Q64" s="426" t="s">
        <v>223</v>
      </c>
    </row>
    <row r="65" spans="2:17" s="426" customFormat="1" ht="11.25" x14ac:dyDescent="0.2">
      <c r="B65" s="1287"/>
      <c r="C65" s="1299"/>
      <c r="D65" s="482"/>
      <c r="E65" s="483"/>
      <c r="F65" s="484"/>
      <c r="G65" s="485"/>
      <c r="H65" s="486"/>
      <c r="I65" s="482"/>
      <c r="J65" s="483"/>
      <c r="K65" s="484"/>
      <c r="L65" s="485"/>
      <c r="M65" s="486"/>
      <c r="N65" s="482"/>
      <c r="O65" s="483"/>
      <c r="P65" s="484"/>
    </row>
    <row r="66" spans="2:17" s="426" customFormat="1" ht="11.25" x14ac:dyDescent="0.2">
      <c r="B66" s="1287"/>
      <c r="C66" s="1299"/>
      <c r="D66" s="482" t="s">
        <v>557</v>
      </c>
      <c r="E66" s="483"/>
      <c r="F66" s="484"/>
      <c r="G66" s="485"/>
      <c r="H66" s="486"/>
      <c r="I66" s="482"/>
      <c r="J66" s="483"/>
      <c r="K66" s="484"/>
      <c r="L66" s="485"/>
      <c r="M66" s="486"/>
      <c r="N66" s="482"/>
      <c r="O66" s="483"/>
      <c r="P66" s="484"/>
    </row>
    <row r="67" spans="2:17" s="426" customFormat="1" ht="11.25" x14ac:dyDescent="0.2">
      <c r="B67" s="1287"/>
      <c r="C67" s="1299"/>
      <c r="D67" s="482" t="s">
        <v>605</v>
      </c>
      <c r="E67" s="483">
        <v>1</v>
      </c>
      <c r="F67" s="484" t="s">
        <v>12</v>
      </c>
      <c r="G67" s="485"/>
      <c r="H67" s="486">
        <f t="shared" ref="H67:H70" si="16">E67*G67</f>
        <v>0</v>
      </c>
      <c r="I67" s="487"/>
      <c r="J67" s="488"/>
      <c r="K67" s="489"/>
      <c r="L67" s="489"/>
      <c r="M67" s="489"/>
      <c r="N67" s="489"/>
      <c r="O67" s="488"/>
      <c r="P67" s="487"/>
      <c r="Q67" s="420"/>
    </row>
    <row r="68" spans="2:17" s="426" customFormat="1" ht="11.25" x14ac:dyDescent="0.2">
      <c r="B68" s="1287"/>
      <c r="C68" s="1299"/>
      <c r="D68" s="482" t="s">
        <v>606</v>
      </c>
      <c r="E68" s="483">
        <v>1</v>
      </c>
      <c r="F68" s="484" t="s">
        <v>9</v>
      </c>
      <c r="G68" s="485"/>
      <c r="H68" s="486">
        <f t="shared" si="16"/>
        <v>0</v>
      </c>
      <c r="I68" s="487"/>
      <c r="J68" s="488"/>
      <c r="K68" s="489"/>
      <c r="L68" s="489"/>
      <c r="M68" s="489"/>
      <c r="N68" s="489"/>
      <c r="O68" s="488"/>
      <c r="P68" s="487"/>
      <c r="Q68" s="420"/>
    </row>
    <row r="69" spans="2:17" s="426" customFormat="1" ht="11.25" x14ac:dyDescent="0.2">
      <c r="B69" s="1287"/>
      <c r="C69" s="1299"/>
      <c r="D69" s="482" t="s">
        <v>608</v>
      </c>
      <c r="E69" s="483">
        <v>1</v>
      </c>
      <c r="F69" s="484" t="s">
        <v>9</v>
      </c>
      <c r="G69" s="485"/>
      <c r="H69" s="486">
        <f t="shared" si="16"/>
        <v>0</v>
      </c>
      <c r="I69" s="487"/>
      <c r="J69" s="488"/>
      <c r="K69" s="489"/>
      <c r="L69" s="489"/>
      <c r="M69" s="489"/>
      <c r="N69" s="489"/>
      <c r="O69" s="488"/>
      <c r="P69" s="487"/>
      <c r="Q69" s="420"/>
    </row>
    <row r="70" spans="2:17" s="426" customFormat="1" ht="11.25" x14ac:dyDescent="0.2">
      <c r="B70" s="1287"/>
      <c r="C70" s="1299"/>
      <c r="D70" s="482" t="s">
        <v>609</v>
      </c>
      <c r="E70" s="483">
        <v>1</v>
      </c>
      <c r="F70" s="484" t="s">
        <v>9</v>
      </c>
      <c r="G70" s="485"/>
      <c r="H70" s="486">
        <f t="shared" si="16"/>
        <v>0</v>
      </c>
      <c r="I70" s="487"/>
      <c r="J70" s="488"/>
      <c r="K70" s="489"/>
      <c r="L70" s="489"/>
      <c r="M70" s="489"/>
      <c r="N70" s="489"/>
      <c r="O70" s="488"/>
      <c r="P70" s="487"/>
      <c r="Q70" s="420"/>
    </row>
    <row r="71" spans="2:17" s="426" customFormat="1" ht="11.25" x14ac:dyDescent="0.2">
      <c r="B71" s="1287"/>
      <c r="C71" s="1299"/>
      <c r="D71" s="482" t="s">
        <v>613</v>
      </c>
      <c r="E71" s="483">
        <v>1</v>
      </c>
      <c r="F71" s="484" t="s">
        <v>576</v>
      </c>
      <c r="G71" s="485">
        <f>SUM(I19,I36,I55)</f>
        <v>0</v>
      </c>
      <c r="H71" s="486">
        <f t="shared" ref="H71:H72" si="17">E71*G71</f>
        <v>0</v>
      </c>
      <c r="I71" s="487"/>
      <c r="J71" s="488"/>
      <c r="K71" s="489"/>
      <c r="L71" s="489"/>
      <c r="M71" s="489"/>
      <c r="N71" s="489"/>
      <c r="O71" s="488"/>
      <c r="P71" s="487"/>
      <c r="Q71" s="420"/>
    </row>
    <row r="72" spans="2:17" s="426" customFormat="1" ht="11.25" x14ac:dyDescent="0.2">
      <c r="B72" s="1287"/>
      <c r="C72" s="1299"/>
      <c r="D72" s="490" t="s">
        <v>611</v>
      </c>
      <c r="E72" s="483"/>
      <c r="F72" s="484"/>
      <c r="G72" s="485"/>
      <c r="H72" s="439">
        <f t="shared" si="17"/>
        <v>0</v>
      </c>
      <c r="I72" s="440">
        <f>SUM(H66:H72)</f>
        <v>0</v>
      </c>
      <c r="J72" s="441">
        <f>I72*$J$5</f>
        <v>0</v>
      </c>
      <c r="K72" s="442">
        <f>SUM(I72:J72)*$K$5</f>
        <v>0</v>
      </c>
      <c r="L72" s="442">
        <f>SUM(I72:K72)*$L$5</f>
        <v>0</v>
      </c>
      <c r="M72" s="442">
        <f>SUM(I72:L72)*$M$5</f>
        <v>0</v>
      </c>
      <c r="N72" s="442">
        <f>SUM(I72:M72)*$N$5</f>
        <v>0</v>
      </c>
      <c r="O72" s="443">
        <f>SUM(I72:N72)</f>
        <v>0</v>
      </c>
      <c r="P72" s="440">
        <f>ROUND(O72,-3)</f>
        <v>0</v>
      </c>
      <c r="Q72" s="426" t="s">
        <v>223</v>
      </c>
    </row>
    <row r="73" spans="2:17" s="426" customFormat="1" ht="12" thickBot="1" x14ac:dyDescent="0.25">
      <c r="B73" s="1288"/>
      <c r="C73" s="1300"/>
      <c r="D73" s="444"/>
      <c r="E73" s="445"/>
      <c r="F73" s="446"/>
      <c r="G73" s="447"/>
      <c r="H73" s="448"/>
      <c r="I73" s="449"/>
      <c r="J73" s="450"/>
      <c r="K73" s="451"/>
      <c r="L73" s="451"/>
      <c r="M73" s="451"/>
      <c r="N73" s="451"/>
      <c r="O73" s="450"/>
      <c r="P73" s="449"/>
    </row>
    <row r="74" spans="2:17" s="420" customFormat="1" ht="11.25" x14ac:dyDescent="0.2">
      <c r="B74" s="1277" t="str">
        <f>'Detailed Matrix'!E110</f>
        <v>Systems</v>
      </c>
      <c r="C74" s="1301" t="str">
        <f>'Detailed Matrix'!F110</f>
        <v>Stage 01 - Improved air filtration</v>
      </c>
      <c r="D74" s="452" t="s">
        <v>556</v>
      </c>
      <c r="E74" s="453">
        <v>1</v>
      </c>
      <c r="F74" s="454"/>
      <c r="G74" s="455"/>
      <c r="H74" s="455">
        <f t="shared" ref="H74:H79" si="18">E74*G74</f>
        <v>0</v>
      </c>
      <c r="I74" s="457"/>
      <c r="J74" s="458"/>
      <c r="K74" s="459"/>
      <c r="L74" s="459"/>
      <c r="M74" s="459"/>
      <c r="N74" s="459"/>
      <c r="O74" s="458"/>
      <c r="P74" s="457"/>
    </row>
    <row r="75" spans="2:17" s="420" customFormat="1" ht="11.25" x14ac:dyDescent="0.2">
      <c r="B75" s="1278"/>
      <c r="C75" s="1302"/>
      <c r="D75" s="769"/>
      <c r="E75" s="479">
        <v>1</v>
      </c>
      <c r="F75" s="480"/>
      <c r="G75" s="481"/>
      <c r="H75" s="481">
        <f t="shared" si="18"/>
        <v>0</v>
      </c>
      <c r="I75" s="666"/>
      <c r="J75" s="667"/>
      <c r="K75" s="668"/>
      <c r="L75" s="668"/>
      <c r="M75" s="668"/>
      <c r="N75" s="668"/>
      <c r="O75" s="667"/>
      <c r="P75" s="666"/>
    </row>
    <row r="76" spans="2:17" s="420" customFormat="1" ht="11.25" x14ac:dyDescent="0.2">
      <c r="B76" s="1278"/>
      <c r="C76" s="1302"/>
      <c r="D76" s="769"/>
      <c r="E76" s="479">
        <v>1</v>
      </c>
      <c r="F76" s="480"/>
      <c r="G76" s="481"/>
      <c r="H76" s="481">
        <f t="shared" si="18"/>
        <v>0</v>
      </c>
      <c r="I76" s="666"/>
      <c r="J76" s="667"/>
      <c r="K76" s="668"/>
      <c r="L76" s="668"/>
      <c r="M76" s="668"/>
      <c r="N76" s="668"/>
      <c r="O76" s="667"/>
      <c r="P76" s="666"/>
    </row>
    <row r="77" spans="2:17" s="420" customFormat="1" ht="11.25" x14ac:dyDescent="0.2">
      <c r="B77" s="1278"/>
      <c r="C77" s="1302"/>
      <c r="D77" s="769"/>
      <c r="E77" s="479">
        <v>1</v>
      </c>
      <c r="F77" s="480"/>
      <c r="G77" s="481"/>
      <c r="H77" s="481">
        <f t="shared" si="18"/>
        <v>0</v>
      </c>
      <c r="I77" s="666"/>
      <c r="J77" s="667"/>
      <c r="K77" s="668"/>
      <c r="L77" s="668"/>
      <c r="M77" s="668"/>
      <c r="N77" s="668"/>
      <c r="O77" s="667"/>
      <c r="P77" s="666"/>
    </row>
    <row r="78" spans="2:17" s="420" customFormat="1" ht="11.25" x14ac:dyDescent="0.2">
      <c r="B78" s="1278"/>
      <c r="C78" s="1302"/>
      <c r="D78" s="769"/>
      <c r="E78" s="479">
        <v>1</v>
      </c>
      <c r="F78" s="480"/>
      <c r="G78" s="481"/>
      <c r="H78" s="481">
        <f t="shared" si="18"/>
        <v>0</v>
      </c>
      <c r="I78" s="666"/>
      <c r="J78" s="667"/>
      <c r="K78" s="668"/>
      <c r="L78" s="668"/>
      <c r="M78" s="668"/>
      <c r="N78" s="668"/>
      <c r="O78" s="667"/>
      <c r="P78" s="666"/>
    </row>
    <row r="79" spans="2:17" s="420" customFormat="1" ht="11.25" x14ac:dyDescent="0.2">
      <c r="B79" s="1278"/>
      <c r="C79" s="1302"/>
      <c r="D79" s="769"/>
      <c r="E79" s="479">
        <v>1</v>
      </c>
      <c r="F79" s="480"/>
      <c r="G79" s="481"/>
      <c r="H79" s="481">
        <f t="shared" si="18"/>
        <v>0</v>
      </c>
      <c r="I79" s="666"/>
      <c r="J79" s="667"/>
      <c r="K79" s="668"/>
      <c r="L79" s="668"/>
      <c r="M79" s="668"/>
      <c r="N79" s="668"/>
      <c r="O79" s="667"/>
      <c r="P79" s="666"/>
    </row>
    <row r="80" spans="2:17" s="420" customFormat="1" ht="11.25" x14ac:dyDescent="0.2">
      <c r="B80" s="1278"/>
      <c r="C80" s="1302"/>
      <c r="D80" s="460" t="s">
        <v>581</v>
      </c>
      <c r="E80" s="479"/>
      <c r="F80" s="480"/>
      <c r="G80" s="481"/>
      <c r="H80" s="867">
        <f t="shared" ref="H80" si="19">E80*G80</f>
        <v>0</v>
      </c>
      <c r="I80" s="863">
        <f>SUM(H74:H80)</f>
        <v>0</v>
      </c>
      <c r="J80" s="466">
        <f>I80*$J$5</f>
        <v>0</v>
      </c>
      <c r="K80" s="467">
        <f>SUM(I80:J80)*$K$5</f>
        <v>0</v>
      </c>
      <c r="L80" s="467">
        <f>SUM(I80:K80)*$L$5</f>
        <v>0</v>
      </c>
      <c r="M80" s="467">
        <f>SUM(I80:L80)*$M$5</f>
        <v>0</v>
      </c>
      <c r="N80" s="467">
        <f>SUM(I80:M80)*$N$5</f>
        <v>0</v>
      </c>
      <c r="O80" s="468">
        <f>SUM(I80:N80)</f>
        <v>0</v>
      </c>
      <c r="P80" s="465">
        <f>ROUND(O80,-3)</f>
        <v>0</v>
      </c>
      <c r="Q80" s="420" t="s">
        <v>514</v>
      </c>
    </row>
    <row r="81" spans="2:17" s="420" customFormat="1" ht="11.25" x14ac:dyDescent="0.2">
      <c r="B81" s="1278"/>
      <c r="C81" s="1302"/>
      <c r="D81" s="769"/>
      <c r="E81" s="479"/>
      <c r="F81" s="480"/>
      <c r="G81" s="481"/>
      <c r="H81" s="868"/>
      <c r="I81" s="870"/>
      <c r="J81" s="869"/>
      <c r="K81" s="481"/>
      <c r="L81" s="769"/>
      <c r="M81" s="479"/>
      <c r="N81" s="480"/>
      <c r="O81" s="481"/>
      <c r="P81" s="769"/>
    </row>
    <row r="82" spans="2:17" s="420" customFormat="1" ht="11.25" x14ac:dyDescent="0.2">
      <c r="B82" s="1278"/>
      <c r="C82" s="1302"/>
      <c r="D82" s="769" t="s">
        <v>557</v>
      </c>
      <c r="E82" s="479">
        <v>1</v>
      </c>
      <c r="F82" s="480"/>
      <c r="G82" s="481"/>
      <c r="H82" s="481">
        <f t="shared" ref="H82:H87" si="20">E82*G82</f>
        <v>0</v>
      </c>
      <c r="I82" s="870"/>
      <c r="J82" s="869"/>
      <c r="K82" s="481"/>
      <c r="L82" s="769"/>
      <c r="M82" s="479"/>
      <c r="N82" s="480"/>
      <c r="O82" s="481"/>
      <c r="P82" s="769"/>
    </row>
    <row r="83" spans="2:17" s="420" customFormat="1" ht="11.25" x14ac:dyDescent="0.2">
      <c r="B83" s="1278"/>
      <c r="C83" s="1302"/>
      <c r="D83" s="769"/>
      <c r="E83" s="479">
        <v>1</v>
      </c>
      <c r="F83" s="480"/>
      <c r="G83" s="481"/>
      <c r="H83" s="481">
        <f t="shared" si="20"/>
        <v>0</v>
      </c>
      <c r="I83" s="666"/>
      <c r="J83" s="667"/>
      <c r="K83" s="668"/>
      <c r="L83" s="668"/>
      <c r="M83" s="668"/>
      <c r="N83" s="668"/>
      <c r="O83" s="667"/>
      <c r="P83" s="666"/>
    </row>
    <row r="84" spans="2:17" s="420" customFormat="1" ht="11.25" x14ac:dyDescent="0.2">
      <c r="B84" s="1278"/>
      <c r="C84" s="1302"/>
      <c r="D84" s="769"/>
      <c r="E84" s="479">
        <v>1</v>
      </c>
      <c r="F84" s="480"/>
      <c r="G84" s="481"/>
      <c r="H84" s="481">
        <f t="shared" si="20"/>
        <v>0</v>
      </c>
      <c r="I84" s="666"/>
      <c r="J84" s="667"/>
      <c r="K84" s="668"/>
      <c r="L84" s="668"/>
      <c r="M84" s="668"/>
      <c r="N84" s="668"/>
      <c r="O84" s="667"/>
      <c r="P84" s="666"/>
    </row>
    <row r="85" spans="2:17" s="420" customFormat="1" ht="11.25" x14ac:dyDescent="0.2">
      <c r="B85" s="1278"/>
      <c r="C85" s="1302"/>
      <c r="D85" s="769"/>
      <c r="E85" s="479">
        <v>1</v>
      </c>
      <c r="F85" s="480"/>
      <c r="G85" s="481"/>
      <c r="H85" s="481">
        <f t="shared" si="20"/>
        <v>0</v>
      </c>
      <c r="I85" s="666"/>
      <c r="J85" s="667"/>
      <c r="K85" s="668"/>
      <c r="L85" s="668"/>
      <c r="M85" s="668"/>
      <c r="N85" s="668"/>
      <c r="O85" s="667"/>
      <c r="P85" s="666"/>
    </row>
    <row r="86" spans="2:17" s="420" customFormat="1" ht="11.25" x14ac:dyDescent="0.2">
      <c r="B86" s="1278"/>
      <c r="C86" s="1302"/>
      <c r="D86" s="769"/>
      <c r="E86" s="479">
        <v>1</v>
      </c>
      <c r="F86" s="480"/>
      <c r="G86" s="481"/>
      <c r="H86" s="481">
        <f t="shared" si="20"/>
        <v>0</v>
      </c>
      <c r="I86" s="666"/>
      <c r="J86" s="667"/>
      <c r="K86" s="668"/>
      <c r="L86" s="668"/>
      <c r="M86" s="668"/>
      <c r="N86" s="668"/>
      <c r="O86" s="667"/>
      <c r="P86" s="666"/>
    </row>
    <row r="87" spans="2:17" s="420" customFormat="1" ht="11.25" x14ac:dyDescent="0.2">
      <c r="B87" s="1278"/>
      <c r="C87" s="1302"/>
      <c r="D87" s="769"/>
      <c r="E87" s="479">
        <v>1</v>
      </c>
      <c r="F87" s="480"/>
      <c r="G87" s="481"/>
      <c r="H87" s="481">
        <f t="shared" si="20"/>
        <v>0</v>
      </c>
      <c r="I87" s="666"/>
      <c r="J87" s="667"/>
      <c r="K87" s="668"/>
      <c r="L87" s="668"/>
      <c r="M87" s="668"/>
      <c r="N87" s="668"/>
      <c r="O87" s="667"/>
      <c r="P87" s="666"/>
    </row>
    <row r="88" spans="2:17" s="420" customFormat="1" ht="11.25" x14ac:dyDescent="0.2">
      <c r="B88" s="1278"/>
      <c r="C88" s="1302"/>
      <c r="D88" s="460" t="s">
        <v>581</v>
      </c>
      <c r="E88" s="479"/>
      <c r="F88" s="480"/>
      <c r="G88" s="481"/>
      <c r="H88" s="481">
        <f t="shared" ref="H88" si="21">E88*G88</f>
        <v>0</v>
      </c>
      <c r="I88" s="865">
        <f>SUM(H82:H88)</f>
        <v>0</v>
      </c>
      <c r="J88" s="466">
        <f>I88*$J$5</f>
        <v>0</v>
      </c>
      <c r="K88" s="467">
        <f>SUM(I88:J88)*$K$5</f>
        <v>0</v>
      </c>
      <c r="L88" s="467">
        <f>SUM(I88:K88)*$L$5</f>
        <v>0</v>
      </c>
      <c r="M88" s="467">
        <f>SUM(I88:L88)*$M$5</f>
        <v>0</v>
      </c>
      <c r="N88" s="467">
        <f>SUM(I88:M88)*$N$5</f>
        <v>0</v>
      </c>
      <c r="O88" s="468">
        <f>SUM(I88:N88)</f>
        <v>0</v>
      </c>
      <c r="P88" s="465">
        <f>ROUND(O88,-3)</f>
        <v>0</v>
      </c>
      <c r="Q88" s="420" t="s">
        <v>514</v>
      </c>
    </row>
    <row r="89" spans="2:17" s="420" customFormat="1" ht="12" thickBot="1" x14ac:dyDescent="0.25">
      <c r="B89" s="1279"/>
      <c r="C89" s="1303"/>
      <c r="D89" s="469"/>
      <c r="E89" s="470"/>
      <c r="F89" s="471"/>
      <c r="G89" s="472"/>
      <c r="H89" s="473"/>
      <c r="I89" s="474"/>
      <c r="J89" s="475"/>
      <c r="K89" s="476"/>
      <c r="L89" s="476"/>
      <c r="M89" s="476"/>
      <c r="N89" s="476"/>
      <c r="O89" s="475"/>
      <c r="P89" s="474"/>
    </row>
    <row r="90" spans="2:17" s="420" customFormat="1" ht="11.25" x14ac:dyDescent="0.2">
      <c r="B90" s="1286" t="str">
        <f>'Detailed Matrix'!E111</f>
        <v>Systems</v>
      </c>
      <c r="C90" s="1298" t="str">
        <f>'Detailed Matrix'!F111</f>
        <v>Stage 02 - Basic control systems (increase/decrease in fresh air rate)</v>
      </c>
      <c r="D90" s="435" t="s">
        <v>556</v>
      </c>
      <c r="E90" s="436"/>
      <c r="F90" s="437"/>
      <c r="G90" s="438"/>
      <c r="H90" s="439"/>
      <c r="I90" s="440"/>
      <c r="J90" s="441"/>
      <c r="K90" s="442"/>
      <c r="L90" s="442"/>
      <c r="M90" s="442"/>
      <c r="N90" s="442"/>
      <c r="O90" s="443"/>
      <c r="P90" s="440"/>
    </row>
    <row r="91" spans="2:17" s="420" customFormat="1" ht="11.25" x14ac:dyDescent="0.2">
      <c r="B91" s="1287"/>
      <c r="C91" s="1299"/>
      <c r="D91" s="435"/>
      <c r="E91" s="436">
        <v>1</v>
      </c>
      <c r="F91" s="437" t="s">
        <v>12</v>
      </c>
      <c r="G91" s="438"/>
      <c r="H91" s="439">
        <f t="shared" ref="H91:H95" si="22">E91*G91</f>
        <v>0</v>
      </c>
      <c r="I91" s="440"/>
      <c r="J91" s="441"/>
      <c r="K91" s="442"/>
      <c r="L91" s="442"/>
      <c r="M91" s="442"/>
      <c r="N91" s="442"/>
      <c r="O91" s="443"/>
      <c r="P91" s="440"/>
    </row>
    <row r="92" spans="2:17" s="420" customFormat="1" ht="11.25" x14ac:dyDescent="0.2">
      <c r="B92" s="1287"/>
      <c r="C92" s="1299"/>
      <c r="D92" s="435"/>
      <c r="E92" s="436">
        <v>1</v>
      </c>
      <c r="F92" s="437" t="s">
        <v>9</v>
      </c>
      <c r="G92" s="438"/>
      <c r="H92" s="439">
        <f t="shared" si="22"/>
        <v>0</v>
      </c>
      <c r="I92" s="440"/>
      <c r="J92" s="441"/>
      <c r="K92" s="442"/>
      <c r="L92" s="442"/>
      <c r="M92" s="442"/>
      <c r="N92" s="442"/>
      <c r="O92" s="443"/>
      <c r="P92" s="440"/>
    </row>
    <row r="93" spans="2:17" s="420" customFormat="1" ht="11.25" x14ac:dyDescent="0.2">
      <c r="B93" s="1287"/>
      <c r="C93" s="1299"/>
      <c r="D93" s="435"/>
      <c r="E93" s="436">
        <v>1</v>
      </c>
      <c r="F93" s="437" t="s">
        <v>9</v>
      </c>
      <c r="G93" s="438"/>
      <c r="H93" s="439">
        <f t="shared" si="22"/>
        <v>0</v>
      </c>
      <c r="I93" s="440"/>
      <c r="J93" s="441"/>
      <c r="K93" s="442"/>
      <c r="L93" s="442"/>
      <c r="M93" s="442"/>
      <c r="N93" s="442"/>
      <c r="O93" s="443"/>
      <c r="P93" s="440"/>
    </row>
    <row r="94" spans="2:17" s="420" customFormat="1" ht="11.25" x14ac:dyDescent="0.2">
      <c r="B94" s="1287"/>
      <c r="C94" s="1299"/>
      <c r="D94" s="435"/>
      <c r="E94" s="436">
        <v>1</v>
      </c>
      <c r="F94" s="437" t="s">
        <v>9</v>
      </c>
      <c r="G94" s="438"/>
      <c r="H94" s="439">
        <f t="shared" si="22"/>
        <v>0</v>
      </c>
      <c r="I94" s="440"/>
      <c r="J94" s="441"/>
      <c r="K94" s="442"/>
      <c r="L94" s="442"/>
      <c r="M94" s="442"/>
      <c r="N94" s="442"/>
      <c r="O94" s="443"/>
      <c r="P94" s="440"/>
    </row>
    <row r="95" spans="2:17" s="420" customFormat="1" ht="11.25" x14ac:dyDescent="0.2">
      <c r="B95" s="1287"/>
      <c r="C95" s="1299"/>
      <c r="D95" s="435" t="s">
        <v>610</v>
      </c>
      <c r="E95" s="436">
        <v>-1</v>
      </c>
      <c r="F95" s="437" t="s">
        <v>576</v>
      </c>
      <c r="G95" s="438">
        <f>I80</f>
        <v>0</v>
      </c>
      <c r="H95" s="439">
        <f t="shared" si="22"/>
        <v>0</v>
      </c>
      <c r="I95" s="440"/>
      <c r="J95" s="441"/>
      <c r="K95" s="442"/>
      <c r="L95" s="442"/>
      <c r="M95" s="442"/>
      <c r="N95" s="442"/>
      <c r="O95" s="443"/>
      <c r="P95" s="440"/>
    </row>
    <row r="96" spans="2:17" s="420" customFormat="1" ht="11.25" x14ac:dyDescent="0.2">
      <c r="B96" s="1287"/>
      <c r="C96" s="1299"/>
      <c r="D96" s="435"/>
      <c r="E96" s="436"/>
      <c r="F96" s="437"/>
      <c r="G96" s="438"/>
      <c r="H96" s="439"/>
      <c r="I96" s="440"/>
      <c r="J96" s="441"/>
      <c r="K96" s="442"/>
      <c r="L96" s="442"/>
      <c r="M96" s="442"/>
      <c r="N96" s="442"/>
      <c r="O96" s="443"/>
      <c r="P96" s="440"/>
    </row>
    <row r="97" spans="2:17" s="420" customFormat="1" ht="11.25" x14ac:dyDescent="0.2">
      <c r="B97" s="1287"/>
      <c r="C97" s="1299"/>
      <c r="D97" s="435" t="s">
        <v>614</v>
      </c>
      <c r="E97" s="436"/>
      <c r="F97" s="437"/>
      <c r="G97" s="438"/>
      <c r="H97" s="439">
        <f>E97*G97</f>
        <v>0</v>
      </c>
      <c r="I97" s="863">
        <f>SUM(H90:H97)</f>
        <v>0</v>
      </c>
      <c r="J97" s="441">
        <f>I97*$J$5</f>
        <v>0</v>
      </c>
      <c r="K97" s="442">
        <f>SUM(I97:J97)*$K$5</f>
        <v>0</v>
      </c>
      <c r="L97" s="442">
        <f>SUM(I97:K97)*$L$5</f>
        <v>0</v>
      </c>
      <c r="M97" s="442">
        <f>SUM(I97:L97)*$M$5</f>
        <v>0</v>
      </c>
      <c r="N97" s="442">
        <f>SUM(I97:M97)*$N$5</f>
        <v>0</v>
      </c>
      <c r="O97" s="443">
        <f>SUM(I97:N97)</f>
        <v>0</v>
      </c>
      <c r="P97" s="440">
        <f>ROUND(O97,-3)</f>
        <v>0</v>
      </c>
      <c r="Q97" s="420" t="s">
        <v>600</v>
      </c>
    </row>
    <row r="98" spans="2:17" s="420" customFormat="1" ht="11.25" x14ac:dyDescent="0.2">
      <c r="B98" s="1287"/>
      <c r="C98" s="1299"/>
      <c r="D98" s="435"/>
      <c r="E98" s="436"/>
      <c r="F98" s="437"/>
      <c r="G98" s="438"/>
      <c r="H98" s="439"/>
      <c r="I98" s="440"/>
      <c r="J98" s="441"/>
      <c r="K98" s="442"/>
      <c r="L98" s="442"/>
      <c r="M98" s="442"/>
      <c r="N98" s="442"/>
      <c r="O98" s="443"/>
      <c r="P98" s="440"/>
    </row>
    <row r="99" spans="2:17" s="420" customFormat="1" ht="11.25" x14ac:dyDescent="0.2">
      <c r="B99" s="1287"/>
      <c r="C99" s="1299"/>
      <c r="D99" s="435" t="s">
        <v>557</v>
      </c>
      <c r="E99" s="436"/>
      <c r="F99" s="437"/>
      <c r="G99" s="438"/>
      <c r="H99" s="439"/>
      <c r="I99" s="440"/>
      <c r="J99" s="441"/>
      <c r="K99" s="442"/>
      <c r="L99" s="442"/>
      <c r="M99" s="442"/>
      <c r="N99" s="442"/>
      <c r="O99" s="443"/>
      <c r="P99" s="440"/>
    </row>
    <row r="100" spans="2:17" s="420" customFormat="1" ht="11.25" x14ac:dyDescent="0.2">
      <c r="B100" s="1287"/>
      <c r="C100" s="1299"/>
      <c r="D100" s="435"/>
      <c r="E100" s="436">
        <v>1</v>
      </c>
      <c r="F100" s="437" t="s">
        <v>12</v>
      </c>
      <c r="G100" s="438"/>
      <c r="H100" s="439">
        <f t="shared" ref="H100:H102" si="23">E100*G100</f>
        <v>0</v>
      </c>
      <c r="I100" s="440"/>
      <c r="J100" s="441"/>
      <c r="K100" s="442"/>
      <c r="L100" s="442"/>
      <c r="M100" s="442"/>
      <c r="N100" s="442"/>
      <c r="O100" s="443"/>
      <c r="P100" s="440"/>
    </row>
    <row r="101" spans="2:17" s="420" customFormat="1" ht="11.25" x14ac:dyDescent="0.2">
      <c r="B101" s="1287"/>
      <c r="C101" s="1299"/>
      <c r="D101" s="435"/>
      <c r="E101" s="436">
        <v>1</v>
      </c>
      <c r="F101" s="437" t="s">
        <v>9</v>
      </c>
      <c r="G101" s="438"/>
      <c r="H101" s="439">
        <f t="shared" si="23"/>
        <v>0</v>
      </c>
      <c r="I101" s="440"/>
      <c r="J101" s="441"/>
      <c r="K101" s="442"/>
      <c r="L101" s="442"/>
      <c r="M101" s="442"/>
      <c r="N101" s="442"/>
      <c r="O101" s="443"/>
      <c r="P101" s="440"/>
    </row>
    <row r="102" spans="2:17" s="420" customFormat="1" ht="11.25" x14ac:dyDescent="0.2">
      <c r="B102" s="1287"/>
      <c r="C102" s="1299"/>
      <c r="D102" s="435"/>
      <c r="E102" s="436">
        <v>1</v>
      </c>
      <c r="F102" s="437" t="s">
        <v>9</v>
      </c>
      <c r="G102" s="438"/>
      <c r="H102" s="439">
        <f t="shared" si="23"/>
        <v>0</v>
      </c>
      <c r="I102" s="440"/>
      <c r="J102" s="441"/>
      <c r="K102" s="442"/>
      <c r="L102" s="442"/>
      <c r="M102" s="442"/>
      <c r="N102" s="442"/>
      <c r="O102" s="443"/>
      <c r="P102" s="440"/>
    </row>
    <row r="103" spans="2:17" s="420" customFormat="1" ht="11.25" x14ac:dyDescent="0.2">
      <c r="B103" s="1287"/>
      <c r="C103" s="1299"/>
      <c r="D103" s="435"/>
      <c r="E103" s="436">
        <v>1</v>
      </c>
      <c r="F103" s="437" t="s">
        <v>9</v>
      </c>
      <c r="G103" s="438"/>
      <c r="H103" s="439">
        <f t="shared" ref="H103:H104" si="24">E103*G103</f>
        <v>0</v>
      </c>
      <c r="I103" s="440"/>
      <c r="J103" s="441"/>
      <c r="K103" s="442"/>
      <c r="L103" s="442"/>
      <c r="M103" s="442"/>
      <c r="N103" s="442"/>
      <c r="O103" s="443"/>
      <c r="P103" s="440"/>
    </row>
    <row r="104" spans="2:17" s="420" customFormat="1" ht="11.25" x14ac:dyDescent="0.2">
      <c r="B104" s="1287"/>
      <c r="C104" s="1299"/>
      <c r="D104" s="435" t="s">
        <v>610</v>
      </c>
      <c r="E104" s="436">
        <v>-1</v>
      </c>
      <c r="F104" s="437" t="s">
        <v>576</v>
      </c>
      <c r="G104" s="438">
        <f>I88</f>
        <v>0</v>
      </c>
      <c r="H104" s="439">
        <f t="shared" si="24"/>
        <v>0</v>
      </c>
      <c r="I104" s="440"/>
      <c r="J104" s="441"/>
      <c r="K104" s="442"/>
      <c r="L104" s="442"/>
      <c r="M104" s="442"/>
      <c r="N104" s="442"/>
      <c r="O104" s="443"/>
      <c r="P104" s="440"/>
    </row>
    <row r="105" spans="2:17" s="420" customFormat="1" ht="11.25" x14ac:dyDescent="0.2">
      <c r="B105" s="1287"/>
      <c r="C105" s="1299"/>
      <c r="D105" s="435"/>
      <c r="E105" s="436"/>
      <c r="F105" s="437"/>
      <c r="G105" s="438"/>
      <c r="H105" s="439"/>
      <c r="I105" s="440"/>
      <c r="J105" s="441"/>
      <c r="K105" s="442"/>
      <c r="L105" s="442"/>
      <c r="M105" s="442"/>
      <c r="N105" s="442"/>
      <c r="O105" s="443"/>
      <c r="P105" s="440"/>
    </row>
    <row r="106" spans="2:17" s="420" customFormat="1" ht="11.25" x14ac:dyDescent="0.2">
      <c r="B106" s="1287"/>
      <c r="C106" s="1299"/>
      <c r="D106" s="435" t="s">
        <v>614</v>
      </c>
      <c r="E106" s="436"/>
      <c r="F106" s="437"/>
      <c r="G106" s="438"/>
      <c r="H106" s="439">
        <f>E106*G106</f>
        <v>0</v>
      </c>
      <c r="I106" s="865">
        <f>SUM(H99:H106)</f>
        <v>0</v>
      </c>
      <c r="J106" s="441">
        <f>I106*$J$5</f>
        <v>0</v>
      </c>
      <c r="K106" s="442">
        <f>SUM(I106:J106)*$K$5</f>
        <v>0</v>
      </c>
      <c r="L106" s="442">
        <f>SUM(I106:K106)*$L$5</f>
        <v>0</v>
      </c>
      <c r="M106" s="442">
        <f>SUM(I106:L106)*$M$5</f>
        <v>0</v>
      </c>
      <c r="N106" s="442">
        <f>SUM(I106:M106)*$N$5</f>
        <v>0</v>
      </c>
      <c r="O106" s="443">
        <f>SUM(I106:N106)</f>
        <v>0</v>
      </c>
      <c r="P106" s="440">
        <f>ROUND(O106,-3)</f>
        <v>0</v>
      </c>
      <c r="Q106" s="420" t="s">
        <v>600</v>
      </c>
    </row>
    <row r="107" spans="2:17" s="420" customFormat="1" ht="12" thickBot="1" x14ac:dyDescent="0.25">
      <c r="B107" s="1288"/>
      <c r="C107" s="1300"/>
      <c r="D107" s="444"/>
      <c r="E107" s="445"/>
      <c r="F107" s="446"/>
      <c r="G107" s="447"/>
      <c r="H107" s="448"/>
      <c r="I107" s="449"/>
      <c r="J107" s="477"/>
      <c r="K107" s="478"/>
      <c r="L107" s="478"/>
      <c r="M107" s="478"/>
      <c r="N107" s="478"/>
      <c r="O107" s="450"/>
      <c r="P107" s="449"/>
    </row>
    <row r="108" spans="2:17" s="420" customFormat="1" ht="11.25" x14ac:dyDescent="0.2">
      <c r="B108" s="1286" t="str">
        <f>'Detailed Matrix'!E112</f>
        <v>Systems</v>
      </c>
      <c r="C108" s="1298" t="str">
        <f>'Detailed Matrix'!F112</f>
        <v>Stage 03- Demand controlled ventilation (MERV Level 13 or better)</v>
      </c>
      <c r="D108" s="435" t="s">
        <v>556</v>
      </c>
      <c r="E108" s="436"/>
      <c r="F108" s="437"/>
      <c r="G108" s="438"/>
      <c r="H108" s="439"/>
      <c r="I108" s="440"/>
      <c r="J108" s="441"/>
      <c r="K108" s="442"/>
      <c r="L108" s="442"/>
      <c r="M108" s="442"/>
      <c r="N108" s="442"/>
      <c r="O108" s="443"/>
      <c r="P108" s="440"/>
    </row>
    <row r="109" spans="2:17" s="420" customFormat="1" ht="11.25" x14ac:dyDescent="0.2">
      <c r="B109" s="1287"/>
      <c r="C109" s="1299"/>
      <c r="D109" s="435"/>
      <c r="E109" s="436">
        <v>1</v>
      </c>
      <c r="F109" s="437" t="s">
        <v>12</v>
      </c>
      <c r="G109" s="438"/>
      <c r="H109" s="439">
        <f t="shared" ref="H109:H112" si="25">E109*G109</f>
        <v>0</v>
      </c>
      <c r="I109" s="440"/>
      <c r="J109" s="441"/>
      <c r="K109" s="442"/>
      <c r="L109" s="442"/>
      <c r="M109" s="442"/>
      <c r="N109" s="442"/>
      <c r="O109" s="443"/>
      <c r="P109" s="440"/>
    </row>
    <row r="110" spans="2:17" s="420" customFormat="1" ht="11.25" x14ac:dyDescent="0.2">
      <c r="B110" s="1287"/>
      <c r="C110" s="1299"/>
      <c r="D110" s="435"/>
      <c r="E110" s="436">
        <v>1</v>
      </c>
      <c r="F110" s="437" t="s">
        <v>9</v>
      </c>
      <c r="G110" s="438"/>
      <c r="H110" s="439">
        <f t="shared" si="25"/>
        <v>0</v>
      </c>
      <c r="I110" s="440"/>
      <c r="J110" s="441"/>
      <c r="K110" s="442"/>
      <c r="L110" s="442"/>
      <c r="M110" s="442"/>
      <c r="N110" s="442"/>
      <c r="O110" s="443"/>
      <c r="P110" s="440"/>
    </row>
    <row r="111" spans="2:17" s="420" customFormat="1" ht="11.25" x14ac:dyDescent="0.2">
      <c r="B111" s="1287"/>
      <c r="C111" s="1299"/>
      <c r="D111" s="435"/>
      <c r="E111" s="436">
        <v>1</v>
      </c>
      <c r="F111" s="437" t="s">
        <v>9</v>
      </c>
      <c r="G111" s="438"/>
      <c r="H111" s="439">
        <f t="shared" si="25"/>
        <v>0</v>
      </c>
      <c r="I111" s="440"/>
      <c r="J111" s="441"/>
      <c r="K111" s="442"/>
      <c r="L111" s="442"/>
      <c r="M111" s="442"/>
      <c r="N111" s="442"/>
      <c r="O111" s="443"/>
      <c r="P111" s="440"/>
    </row>
    <row r="112" spans="2:17" s="420" customFormat="1" ht="11.25" x14ac:dyDescent="0.2">
      <c r="B112" s="1287"/>
      <c r="C112" s="1299"/>
      <c r="D112" s="435"/>
      <c r="E112" s="436">
        <v>1</v>
      </c>
      <c r="F112" s="437" t="s">
        <v>9</v>
      </c>
      <c r="G112" s="438"/>
      <c r="H112" s="439">
        <f t="shared" si="25"/>
        <v>0</v>
      </c>
      <c r="I112" s="440"/>
      <c r="J112" s="441"/>
      <c r="K112" s="442"/>
      <c r="L112" s="442"/>
      <c r="M112" s="442"/>
      <c r="N112" s="442"/>
      <c r="O112" s="443"/>
      <c r="P112" s="440"/>
    </row>
    <row r="113" spans="2:17" s="420" customFormat="1" ht="11.25" x14ac:dyDescent="0.2">
      <c r="B113" s="1287"/>
      <c r="C113" s="1299"/>
      <c r="D113" s="435" t="s">
        <v>615</v>
      </c>
      <c r="E113" s="436">
        <v>-1</v>
      </c>
      <c r="F113" s="437" t="s">
        <v>576</v>
      </c>
      <c r="G113" s="438">
        <f>I97+I80</f>
        <v>0</v>
      </c>
      <c r="H113" s="439">
        <f t="shared" ref="H113" si="26">E113*G113</f>
        <v>0</v>
      </c>
      <c r="I113" s="440"/>
      <c r="J113" s="441"/>
      <c r="K113" s="442"/>
      <c r="L113" s="442"/>
      <c r="M113" s="442"/>
      <c r="N113" s="442"/>
      <c r="O113" s="443"/>
      <c r="P113" s="440"/>
    </row>
    <row r="114" spans="2:17" s="420" customFormat="1" ht="11.25" x14ac:dyDescent="0.2">
      <c r="B114" s="1287"/>
      <c r="C114" s="1299"/>
      <c r="D114" s="435"/>
      <c r="E114" s="436"/>
      <c r="F114" s="437"/>
      <c r="G114" s="438"/>
      <c r="H114" s="439"/>
      <c r="I114" s="440"/>
      <c r="J114" s="441"/>
      <c r="K114" s="442"/>
      <c r="L114" s="442"/>
      <c r="M114" s="442"/>
      <c r="N114" s="442"/>
      <c r="O114" s="443"/>
      <c r="P114" s="440"/>
    </row>
    <row r="115" spans="2:17" s="420" customFormat="1" ht="11.25" x14ac:dyDescent="0.2">
      <c r="B115" s="1287"/>
      <c r="C115" s="1299"/>
      <c r="D115" s="435" t="s">
        <v>611</v>
      </c>
      <c r="E115" s="436"/>
      <c r="F115" s="437"/>
      <c r="G115" s="438"/>
      <c r="H115" s="439">
        <f>E115*G115</f>
        <v>0</v>
      </c>
      <c r="I115" s="863">
        <f>SUM(H108:H115)</f>
        <v>0</v>
      </c>
      <c r="J115" s="441">
        <f>I115*$J$5</f>
        <v>0</v>
      </c>
      <c r="K115" s="442">
        <f>SUM(I115:J115)*$K$5</f>
        <v>0</v>
      </c>
      <c r="L115" s="442">
        <f>SUM(I115:K115)*$L$5</f>
        <v>0</v>
      </c>
      <c r="M115" s="442">
        <f>SUM(I115:L115)*$M$5</f>
        <v>0</v>
      </c>
      <c r="N115" s="442">
        <f>SUM(I115:M115)*$N$5</f>
        <v>0</v>
      </c>
      <c r="O115" s="443">
        <f>SUM(I115:N115)</f>
        <v>0</v>
      </c>
      <c r="P115" s="440">
        <f>ROUND(O115,-3)</f>
        <v>0</v>
      </c>
      <c r="Q115" s="420" t="s">
        <v>600</v>
      </c>
    </row>
    <row r="116" spans="2:17" s="420" customFormat="1" ht="11.25" x14ac:dyDescent="0.2">
      <c r="B116" s="1287"/>
      <c r="C116" s="1299"/>
      <c r="D116" s="435"/>
      <c r="E116" s="436"/>
      <c r="F116" s="437"/>
      <c r="G116" s="438"/>
      <c r="H116" s="439"/>
      <c r="I116" s="440"/>
      <c r="J116" s="441"/>
      <c r="K116" s="442"/>
      <c r="L116" s="442"/>
      <c r="M116" s="442"/>
      <c r="N116" s="442"/>
      <c r="O116" s="443"/>
      <c r="P116" s="440"/>
    </row>
    <row r="117" spans="2:17" s="420" customFormat="1" ht="11.25" x14ac:dyDescent="0.2">
      <c r="B117" s="1287"/>
      <c r="C117" s="1299"/>
      <c r="D117" s="435" t="s">
        <v>557</v>
      </c>
      <c r="E117" s="436"/>
      <c r="F117" s="437"/>
      <c r="G117" s="438"/>
      <c r="H117" s="439"/>
      <c r="I117" s="440"/>
      <c r="J117" s="441"/>
      <c r="K117" s="442"/>
      <c r="L117" s="442"/>
      <c r="M117" s="442"/>
      <c r="N117" s="442"/>
      <c r="O117" s="443"/>
      <c r="P117" s="440"/>
    </row>
    <row r="118" spans="2:17" s="420" customFormat="1" ht="11.25" x14ac:dyDescent="0.2">
      <c r="B118" s="1287"/>
      <c r="C118" s="1299"/>
      <c r="D118" s="435"/>
      <c r="E118" s="436">
        <v>1</v>
      </c>
      <c r="F118" s="437" t="s">
        <v>12</v>
      </c>
      <c r="G118" s="438"/>
      <c r="H118" s="439">
        <f t="shared" ref="H118:H122" si="27">E118*G118</f>
        <v>0</v>
      </c>
      <c r="I118" s="440"/>
      <c r="J118" s="441"/>
      <c r="K118" s="442"/>
      <c r="L118" s="442"/>
      <c r="M118" s="442"/>
      <c r="N118" s="442"/>
      <c r="O118" s="443"/>
      <c r="P118" s="440"/>
    </row>
    <row r="119" spans="2:17" s="420" customFormat="1" ht="11.25" x14ac:dyDescent="0.2">
      <c r="B119" s="1287"/>
      <c r="C119" s="1299"/>
      <c r="D119" s="435"/>
      <c r="E119" s="436">
        <v>1</v>
      </c>
      <c r="F119" s="437" t="s">
        <v>9</v>
      </c>
      <c r="G119" s="438"/>
      <c r="H119" s="439">
        <f t="shared" si="27"/>
        <v>0</v>
      </c>
      <c r="I119" s="440"/>
      <c r="J119" s="441"/>
      <c r="K119" s="442"/>
      <c r="L119" s="442"/>
      <c r="M119" s="442"/>
      <c r="N119" s="442"/>
      <c r="O119" s="443"/>
      <c r="P119" s="440"/>
    </row>
    <row r="120" spans="2:17" s="420" customFormat="1" ht="11.25" x14ac:dyDescent="0.2">
      <c r="B120" s="1287"/>
      <c r="C120" s="1299"/>
      <c r="D120" s="435"/>
      <c r="E120" s="436">
        <v>1</v>
      </c>
      <c r="F120" s="437" t="s">
        <v>9</v>
      </c>
      <c r="G120" s="438"/>
      <c r="H120" s="439">
        <f t="shared" si="27"/>
        <v>0</v>
      </c>
      <c r="I120" s="440"/>
      <c r="J120" s="441"/>
      <c r="K120" s="442"/>
      <c r="L120" s="442"/>
      <c r="M120" s="442"/>
      <c r="N120" s="442"/>
      <c r="O120" s="443"/>
      <c r="P120" s="440"/>
    </row>
    <row r="121" spans="2:17" s="420" customFormat="1" ht="11.25" x14ac:dyDescent="0.2">
      <c r="B121" s="1287"/>
      <c r="C121" s="1299"/>
      <c r="D121" s="435"/>
      <c r="E121" s="436">
        <v>1</v>
      </c>
      <c r="F121" s="437" t="s">
        <v>9</v>
      </c>
      <c r="G121" s="438"/>
      <c r="H121" s="439">
        <f t="shared" si="27"/>
        <v>0</v>
      </c>
      <c r="I121" s="440"/>
      <c r="J121" s="441"/>
      <c r="K121" s="442"/>
      <c r="L121" s="442"/>
      <c r="M121" s="442"/>
      <c r="N121" s="442"/>
      <c r="O121" s="443"/>
      <c r="P121" s="440"/>
    </row>
    <row r="122" spans="2:17" s="420" customFormat="1" ht="11.25" x14ac:dyDescent="0.2">
      <c r="B122" s="1287"/>
      <c r="C122" s="1299"/>
      <c r="D122" s="435" t="s">
        <v>615</v>
      </c>
      <c r="E122" s="436">
        <v>-1</v>
      </c>
      <c r="F122" s="437" t="s">
        <v>576</v>
      </c>
      <c r="G122" s="438">
        <f>I106+I88</f>
        <v>0</v>
      </c>
      <c r="H122" s="439">
        <f t="shared" si="27"/>
        <v>0</v>
      </c>
      <c r="I122" s="440"/>
      <c r="J122" s="441"/>
      <c r="K122" s="442"/>
      <c r="L122" s="442"/>
      <c r="M122" s="442"/>
      <c r="N122" s="442"/>
      <c r="O122" s="443"/>
      <c r="P122" s="440"/>
    </row>
    <row r="123" spans="2:17" s="420" customFormat="1" ht="11.25" x14ac:dyDescent="0.2">
      <c r="B123" s="1287"/>
      <c r="C123" s="1299"/>
      <c r="D123" s="435"/>
      <c r="E123" s="436"/>
      <c r="F123" s="437"/>
      <c r="G123" s="438"/>
      <c r="H123" s="439"/>
      <c r="I123" s="440"/>
      <c r="J123" s="441"/>
      <c r="K123" s="442"/>
      <c r="L123" s="442"/>
      <c r="M123" s="442"/>
      <c r="N123" s="442"/>
      <c r="O123" s="443"/>
      <c r="P123" s="440"/>
    </row>
    <row r="124" spans="2:17" s="420" customFormat="1" ht="11.25" x14ac:dyDescent="0.2">
      <c r="B124" s="1287"/>
      <c r="C124" s="1299"/>
      <c r="D124" s="435" t="s">
        <v>611</v>
      </c>
      <c r="E124" s="436"/>
      <c r="F124" s="437"/>
      <c r="G124" s="438"/>
      <c r="H124" s="439">
        <f>E124*G124</f>
        <v>0</v>
      </c>
      <c r="I124" s="865">
        <f>SUM(H117:H124)</f>
        <v>0</v>
      </c>
      <c r="J124" s="441">
        <f>I124*$J$5</f>
        <v>0</v>
      </c>
      <c r="K124" s="442">
        <f>SUM(I124:J124)*$K$5</f>
        <v>0</v>
      </c>
      <c r="L124" s="442">
        <f>SUM(I124:K124)*$L$5</f>
        <v>0</v>
      </c>
      <c r="M124" s="442">
        <f>SUM(I124:L124)*$M$5</f>
        <v>0</v>
      </c>
      <c r="N124" s="442">
        <f>SUM(I124:M124)*$N$5</f>
        <v>0</v>
      </c>
      <c r="O124" s="443">
        <f>SUM(I124:N124)</f>
        <v>0</v>
      </c>
      <c r="P124" s="440">
        <f>ROUND(O124,-3)</f>
        <v>0</v>
      </c>
      <c r="Q124" s="420" t="s">
        <v>600</v>
      </c>
    </row>
    <row r="125" spans="2:17" s="420" customFormat="1" ht="12" thickBot="1" x14ac:dyDescent="0.25">
      <c r="B125" s="1287"/>
      <c r="C125" s="1299"/>
      <c r="D125" s="444"/>
      <c r="E125" s="445"/>
      <c r="F125" s="446"/>
      <c r="G125" s="447"/>
      <c r="H125" s="448"/>
      <c r="I125" s="449"/>
      <c r="J125" s="477"/>
      <c r="K125" s="478"/>
      <c r="L125" s="478"/>
      <c r="M125" s="478"/>
      <c r="N125" s="478"/>
      <c r="O125" s="450"/>
      <c r="P125" s="449"/>
    </row>
    <row r="126" spans="2:17" s="420" customFormat="1" ht="11.25" x14ac:dyDescent="0.2">
      <c r="B126" s="1286" t="str">
        <f>'Detailed Matrix'!E113</f>
        <v>VOC Materials</v>
      </c>
      <c r="C126" s="1298" t="str">
        <f>'Detailed Matrix'!F113</f>
        <v>Stage 01  - Reduce VOCs through selection of low emssion materials</v>
      </c>
      <c r="D126" s="435" t="s">
        <v>556</v>
      </c>
      <c r="E126" s="436">
        <v>1</v>
      </c>
      <c r="F126" s="437"/>
      <c r="G126" s="438"/>
      <c r="H126" s="439">
        <f t="shared" ref="H126:H131" si="28">E126*G126</f>
        <v>0</v>
      </c>
      <c r="I126" s="440"/>
      <c r="J126" s="441"/>
      <c r="K126" s="442"/>
      <c r="L126" s="442"/>
      <c r="M126" s="442"/>
      <c r="N126" s="442"/>
      <c r="O126" s="443"/>
      <c r="P126" s="440"/>
    </row>
    <row r="127" spans="2:17" s="420" customFormat="1" ht="11.25" x14ac:dyDescent="0.2">
      <c r="B127" s="1287"/>
      <c r="C127" s="1299"/>
      <c r="D127" s="435"/>
      <c r="E127" s="436">
        <v>1</v>
      </c>
      <c r="F127" s="437"/>
      <c r="G127" s="438"/>
      <c r="H127" s="439">
        <f t="shared" si="28"/>
        <v>0</v>
      </c>
      <c r="I127" s="440"/>
      <c r="J127" s="441"/>
      <c r="K127" s="442"/>
      <c r="L127" s="442"/>
      <c r="M127" s="442"/>
      <c r="N127" s="442"/>
      <c r="O127" s="443"/>
      <c r="P127" s="440"/>
    </row>
    <row r="128" spans="2:17" s="420" customFormat="1" ht="11.25" x14ac:dyDescent="0.2">
      <c r="B128" s="1287"/>
      <c r="C128" s="1299"/>
      <c r="D128" s="435"/>
      <c r="E128" s="436">
        <v>1</v>
      </c>
      <c r="F128" s="437"/>
      <c r="G128" s="438"/>
      <c r="H128" s="439">
        <f t="shared" si="28"/>
        <v>0</v>
      </c>
      <c r="I128" s="440"/>
      <c r="J128" s="441"/>
      <c r="K128" s="442"/>
      <c r="L128" s="442"/>
      <c r="M128" s="442"/>
      <c r="N128" s="442"/>
      <c r="O128" s="443"/>
      <c r="P128" s="440"/>
    </row>
    <row r="129" spans="2:17" s="420" customFormat="1" ht="11.25" x14ac:dyDescent="0.2">
      <c r="B129" s="1287"/>
      <c r="C129" s="1299"/>
      <c r="D129" s="435"/>
      <c r="E129" s="436">
        <v>1</v>
      </c>
      <c r="F129" s="437"/>
      <c r="G129" s="438"/>
      <c r="H129" s="439">
        <f t="shared" si="28"/>
        <v>0</v>
      </c>
      <c r="I129" s="440"/>
      <c r="J129" s="441"/>
      <c r="K129" s="442"/>
      <c r="L129" s="442"/>
      <c r="M129" s="442"/>
      <c r="N129" s="442"/>
      <c r="O129" s="443"/>
      <c r="P129" s="440"/>
    </row>
    <row r="130" spans="2:17" s="420" customFormat="1" ht="11.25" x14ac:dyDescent="0.2">
      <c r="B130" s="1287"/>
      <c r="C130" s="1299"/>
      <c r="D130" s="435"/>
      <c r="E130" s="436">
        <v>1</v>
      </c>
      <c r="F130" s="437"/>
      <c r="G130" s="438"/>
      <c r="H130" s="439">
        <f t="shared" si="28"/>
        <v>0</v>
      </c>
      <c r="I130" s="440"/>
      <c r="J130" s="441"/>
      <c r="K130" s="442"/>
      <c r="L130" s="442"/>
      <c r="M130" s="442"/>
      <c r="N130" s="442"/>
      <c r="O130" s="443"/>
      <c r="P130" s="440"/>
    </row>
    <row r="131" spans="2:17" s="420" customFormat="1" ht="11.25" x14ac:dyDescent="0.2">
      <c r="B131" s="1287"/>
      <c r="C131" s="1299"/>
      <c r="D131" s="435"/>
      <c r="E131" s="436">
        <v>1</v>
      </c>
      <c r="F131" s="437"/>
      <c r="G131" s="438"/>
      <c r="H131" s="439">
        <f t="shared" si="28"/>
        <v>0</v>
      </c>
      <c r="I131" s="440"/>
      <c r="J131" s="441"/>
      <c r="K131" s="442"/>
      <c r="L131" s="442"/>
      <c r="M131" s="442"/>
      <c r="N131" s="442"/>
      <c r="O131" s="443"/>
      <c r="P131" s="440"/>
    </row>
    <row r="132" spans="2:17" s="420" customFormat="1" ht="11.25" x14ac:dyDescent="0.2">
      <c r="B132" s="1287"/>
      <c r="C132" s="1299"/>
      <c r="D132" s="435" t="s">
        <v>598</v>
      </c>
      <c r="E132" s="436"/>
      <c r="F132" s="437"/>
      <c r="G132" s="438"/>
      <c r="H132" s="439">
        <f t="shared" ref="H132" si="29">E132*G132</f>
        <v>0</v>
      </c>
      <c r="I132" s="863">
        <f>SUM(H126:H132)</f>
        <v>0</v>
      </c>
      <c r="J132" s="441">
        <f>I132*$J$5</f>
        <v>0</v>
      </c>
      <c r="K132" s="442">
        <f>SUM(I132:J132)*$K$5</f>
        <v>0</v>
      </c>
      <c r="L132" s="442">
        <f>SUM(I132:K132)*$L$5</f>
        <v>0</v>
      </c>
      <c r="M132" s="442">
        <f>SUM(I132:L132)*$M$5</f>
        <v>0</v>
      </c>
      <c r="N132" s="442">
        <f>SUM(I132:M132)*$N$5</f>
        <v>0</v>
      </c>
      <c r="O132" s="443">
        <f>SUM(I132:N132)</f>
        <v>0</v>
      </c>
      <c r="P132" s="440">
        <f>ROUND(O132,-3)</f>
        <v>0</v>
      </c>
      <c r="Q132" s="420" t="s">
        <v>600</v>
      </c>
    </row>
    <row r="133" spans="2:17" s="420" customFormat="1" ht="11.25" x14ac:dyDescent="0.2">
      <c r="B133" s="1287"/>
      <c r="C133" s="1299"/>
      <c r="D133" s="435"/>
      <c r="E133" s="436"/>
      <c r="F133" s="437"/>
      <c r="G133" s="438"/>
      <c r="H133" s="439"/>
      <c r="I133" s="440"/>
      <c r="J133" s="441"/>
      <c r="K133" s="442"/>
      <c r="L133" s="442"/>
      <c r="M133" s="442"/>
      <c r="N133" s="442"/>
      <c r="O133" s="443"/>
      <c r="P133" s="440"/>
    </row>
    <row r="134" spans="2:17" s="420" customFormat="1" ht="11.25" x14ac:dyDescent="0.2">
      <c r="B134" s="1287"/>
      <c r="C134" s="1299"/>
      <c r="D134" s="435" t="s">
        <v>557</v>
      </c>
      <c r="E134" s="436">
        <v>1</v>
      </c>
      <c r="F134" s="437"/>
      <c r="G134" s="438"/>
      <c r="H134" s="439">
        <f t="shared" ref="H134:H139" si="30">E134*G134</f>
        <v>0</v>
      </c>
      <c r="I134" s="440"/>
      <c r="J134" s="441"/>
      <c r="K134" s="442"/>
      <c r="L134" s="442"/>
      <c r="M134" s="442"/>
      <c r="N134" s="442"/>
      <c r="O134" s="443"/>
      <c r="P134" s="440"/>
    </row>
    <row r="135" spans="2:17" s="420" customFormat="1" ht="11.25" x14ac:dyDescent="0.2">
      <c r="B135" s="1287"/>
      <c r="C135" s="1299"/>
      <c r="D135" s="435"/>
      <c r="E135" s="436">
        <v>1</v>
      </c>
      <c r="F135" s="437"/>
      <c r="G135" s="438"/>
      <c r="H135" s="439">
        <f t="shared" si="30"/>
        <v>0</v>
      </c>
      <c r="I135" s="440"/>
      <c r="J135" s="441"/>
      <c r="K135" s="442"/>
      <c r="L135" s="442"/>
      <c r="M135" s="442"/>
      <c r="N135" s="442"/>
      <c r="O135" s="443"/>
      <c r="P135" s="440"/>
    </row>
    <row r="136" spans="2:17" s="420" customFormat="1" ht="11.25" x14ac:dyDescent="0.2">
      <c r="B136" s="1287"/>
      <c r="C136" s="1299"/>
      <c r="D136" s="435"/>
      <c r="E136" s="436">
        <v>1</v>
      </c>
      <c r="F136" s="437"/>
      <c r="G136" s="438"/>
      <c r="H136" s="439">
        <f t="shared" si="30"/>
        <v>0</v>
      </c>
      <c r="I136" s="440"/>
      <c r="J136" s="441"/>
      <c r="K136" s="442"/>
      <c r="L136" s="442"/>
      <c r="M136" s="442"/>
      <c r="N136" s="442"/>
      <c r="O136" s="443"/>
      <c r="P136" s="440"/>
    </row>
    <row r="137" spans="2:17" s="420" customFormat="1" ht="11.25" x14ac:dyDescent="0.2">
      <c r="B137" s="1287"/>
      <c r="C137" s="1299"/>
      <c r="D137" s="435"/>
      <c r="E137" s="436">
        <v>1</v>
      </c>
      <c r="F137" s="437"/>
      <c r="G137" s="438"/>
      <c r="H137" s="439">
        <f t="shared" si="30"/>
        <v>0</v>
      </c>
      <c r="I137" s="440"/>
      <c r="J137" s="441"/>
      <c r="K137" s="442"/>
      <c r="L137" s="442"/>
      <c r="M137" s="442"/>
      <c r="N137" s="442"/>
      <c r="O137" s="443"/>
      <c r="P137" s="440"/>
    </row>
    <row r="138" spans="2:17" s="420" customFormat="1" ht="11.25" x14ac:dyDescent="0.2">
      <c r="B138" s="1287"/>
      <c r="C138" s="1299"/>
      <c r="D138" s="435"/>
      <c r="E138" s="436">
        <v>1</v>
      </c>
      <c r="F138" s="437"/>
      <c r="G138" s="438"/>
      <c r="H138" s="439">
        <f t="shared" si="30"/>
        <v>0</v>
      </c>
      <c r="I138" s="440"/>
      <c r="J138" s="441"/>
      <c r="K138" s="442"/>
      <c r="L138" s="442"/>
      <c r="M138" s="442"/>
      <c r="N138" s="442"/>
      <c r="O138" s="443"/>
      <c r="P138" s="440"/>
    </row>
    <row r="139" spans="2:17" s="420" customFormat="1" ht="11.25" x14ac:dyDescent="0.2">
      <c r="B139" s="1287"/>
      <c r="C139" s="1299"/>
      <c r="D139" s="435"/>
      <c r="E139" s="436">
        <v>1</v>
      </c>
      <c r="F139" s="437"/>
      <c r="G139" s="438"/>
      <c r="H139" s="439">
        <f t="shared" si="30"/>
        <v>0</v>
      </c>
      <c r="I139" s="440"/>
      <c r="J139" s="441"/>
      <c r="K139" s="442"/>
      <c r="L139" s="442"/>
      <c r="M139" s="442"/>
      <c r="N139" s="442"/>
      <c r="O139" s="443"/>
      <c r="P139" s="440"/>
    </row>
    <row r="140" spans="2:17" s="420" customFormat="1" ht="11.25" x14ac:dyDescent="0.2">
      <c r="B140" s="1287"/>
      <c r="C140" s="1299"/>
      <c r="D140" s="435" t="s">
        <v>598</v>
      </c>
      <c r="E140" s="436"/>
      <c r="F140" s="437"/>
      <c r="G140" s="438"/>
      <c r="H140" s="439">
        <f t="shared" ref="H140" si="31">E140*G140</f>
        <v>0</v>
      </c>
      <c r="I140" s="865">
        <f>SUM(H134:H140)</f>
        <v>0</v>
      </c>
      <c r="J140" s="441">
        <f>I140*$J$5</f>
        <v>0</v>
      </c>
      <c r="K140" s="442">
        <f>SUM(I140:J140)*$K$5</f>
        <v>0</v>
      </c>
      <c r="L140" s="442">
        <f>SUM(I140:K140)*$L$5</f>
        <v>0</v>
      </c>
      <c r="M140" s="442">
        <f>SUM(I140:L140)*$M$5</f>
        <v>0</v>
      </c>
      <c r="N140" s="442">
        <f>SUM(I140:M140)*$N$5</f>
        <v>0</v>
      </c>
      <c r="O140" s="443">
        <f>SUM(I140:N140)</f>
        <v>0</v>
      </c>
      <c r="P140" s="440">
        <f>ROUND(O140,-3)</f>
        <v>0</v>
      </c>
      <c r="Q140" s="420" t="s">
        <v>600</v>
      </c>
    </row>
    <row r="141" spans="2:17" s="420" customFormat="1" ht="12" thickBot="1" x14ac:dyDescent="0.25">
      <c r="B141" s="1287"/>
      <c r="C141" s="1299"/>
      <c r="D141" s="609"/>
      <c r="E141" s="593"/>
      <c r="F141" s="602"/>
      <c r="G141" s="595"/>
      <c r="H141" s="596"/>
      <c r="I141" s="597"/>
      <c r="J141" s="598"/>
      <c r="K141" s="599"/>
      <c r="L141" s="599"/>
      <c r="M141" s="599"/>
      <c r="N141" s="599"/>
      <c r="O141" s="600"/>
      <c r="P141" s="597"/>
    </row>
    <row r="142" spans="2:17" s="420" customFormat="1" ht="11.25" x14ac:dyDescent="0.2">
      <c r="B142" s="1286" t="str">
        <f>'Detailed Matrix'!E114</f>
        <v>VOC Materials</v>
      </c>
      <c r="C142" s="1298" t="str">
        <f>'Detailed Matrix'!F114</f>
        <v>Stage 02 - 'Red list' approach to materials with no high VOC materials permitted</v>
      </c>
      <c r="D142" s="427" t="s">
        <v>556</v>
      </c>
      <c r="E142" s="428"/>
      <c r="F142" s="429"/>
      <c r="G142" s="430"/>
      <c r="H142" s="431"/>
      <c r="I142" s="432"/>
      <c r="J142" s="871"/>
      <c r="K142" s="872"/>
      <c r="L142" s="872"/>
      <c r="M142" s="872"/>
      <c r="N142" s="872"/>
      <c r="O142" s="433"/>
      <c r="P142" s="432"/>
    </row>
    <row r="143" spans="2:17" s="420" customFormat="1" ht="11.25" x14ac:dyDescent="0.2">
      <c r="B143" s="1287"/>
      <c r="C143" s="1299"/>
      <c r="D143" s="482"/>
      <c r="E143" s="483">
        <v>1</v>
      </c>
      <c r="F143" s="484" t="s">
        <v>12</v>
      </c>
      <c r="G143" s="485"/>
      <c r="H143" s="486">
        <f t="shared" ref="H143:H147" si="32">E143*G143</f>
        <v>0</v>
      </c>
      <c r="I143" s="487"/>
      <c r="J143" s="873"/>
      <c r="K143" s="874"/>
      <c r="L143" s="874"/>
      <c r="M143" s="874"/>
      <c r="N143" s="874"/>
      <c r="O143" s="488"/>
      <c r="P143" s="487"/>
    </row>
    <row r="144" spans="2:17" s="420" customFormat="1" ht="11.25" x14ac:dyDescent="0.2">
      <c r="B144" s="1287"/>
      <c r="C144" s="1299"/>
      <c r="D144" s="482"/>
      <c r="E144" s="483">
        <v>1</v>
      </c>
      <c r="F144" s="484" t="s">
        <v>9</v>
      </c>
      <c r="G144" s="485"/>
      <c r="H144" s="486">
        <f t="shared" si="32"/>
        <v>0</v>
      </c>
      <c r="I144" s="487"/>
      <c r="J144" s="873"/>
      <c r="K144" s="874"/>
      <c r="L144" s="874"/>
      <c r="M144" s="874"/>
      <c r="N144" s="874"/>
      <c r="O144" s="488"/>
      <c r="P144" s="487"/>
    </row>
    <row r="145" spans="2:17" s="420" customFormat="1" ht="11.25" x14ac:dyDescent="0.2">
      <c r="B145" s="1287"/>
      <c r="C145" s="1299"/>
      <c r="D145" s="482"/>
      <c r="E145" s="483">
        <v>1</v>
      </c>
      <c r="F145" s="484" t="s">
        <v>9</v>
      </c>
      <c r="G145" s="485"/>
      <c r="H145" s="486">
        <f t="shared" si="32"/>
        <v>0</v>
      </c>
      <c r="I145" s="487"/>
      <c r="J145" s="873"/>
      <c r="K145" s="874"/>
      <c r="L145" s="874"/>
      <c r="M145" s="874"/>
      <c r="N145" s="874"/>
      <c r="O145" s="488"/>
      <c r="P145" s="487"/>
    </row>
    <row r="146" spans="2:17" s="420" customFormat="1" ht="11.25" x14ac:dyDescent="0.2">
      <c r="B146" s="1287"/>
      <c r="C146" s="1299"/>
      <c r="D146" s="482"/>
      <c r="E146" s="483">
        <v>1</v>
      </c>
      <c r="F146" s="484" t="s">
        <v>9</v>
      </c>
      <c r="G146" s="485"/>
      <c r="H146" s="486">
        <f t="shared" si="32"/>
        <v>0</v>
      </c>
      <c r="I146" s="487"/>
      <c r="J146" s="873"/>
      <c r="K146" s="874"/>
      <c r="L146" s="874"/>
      <c r="M146" s="874"/>
      <c r="N146" s="874"/>
      <c r="O146" s="488"/>
      <c r="P146" s="487"/>
    </row>
    <row r="147" spans="2:17" s="420" customFormat="1" ht="11.25" x14ac:dyDescent="0.2">
      <c r="B147" s="1287"/>
      <c r="C147" s="1299"/>
      <c r="D147" s="482" t="s">
        <v>610</v>
      </c>
      <c r="E147" s="483">
        <v>-1</v>
      </c>
      <c r="F147" s="484" t="s">
        <v>576</v>
      </c>
      <c r="G147" s="485">
        <f>I132</f>
        <v>0</v>
      </c>
      <c r="H147" s="486">
        <f t="shared" si="32"/>
        <v>0</v>
      </c>
      <c r="I147" s="487"/>
      <c r="J147" s="873"/>
      <c r="K147" s="874"/>
      <c r="L147" s="874"/>
      <c r="M147" s="874"/>
      <c r="N147" s="874"/>
      <c r="O147" s="488"/>
      <c r="P147" s="487"/>
    </row>
    <row r="148" spans="2:17" s="420" customFormat="1" ht="11.25" x14ac:dyDescent="0.2">
      <c r="B148" s="1287"/>
      <c r="C148" s="1299"/>
      <c r="D148" s="482"/>
      <c r="E148" s="483"/>
      <c r="F148" s="484"/>
      <c r="G148" s="485"/>
      <c r="H148" s="486"/>
      <c r="I148" s="487"/>
      <c r="J148" s="873"/>
      <c r="K148" s="874"/>
      <c r="L148" s="874"/>
      <c r="M148" s="874"/>
      <c r="N148" s="874"/>
      <c r="O148" s="488"/>
      <c r="P148" s="487"/>
    </row>
    <row r="149" spans="2:17" s="420" customFormat="1" ht="11.25" x14ac:dyDescent="0.2">
      <c r="B149" s="1287"/>
      <c r="C149" s="1299"/>
      <c r="D149" s="482" t="s">
        <v>598</v>
      </c>
      <c r="E149" s="483"/>
      <c r="F149" s="484"/>
      <c r="G149" s="485"/>
      <c r="H149" s="486">
        <f>E149*G149</f>
        <v>0</v>
      </c>
      <c r="I149" s="487">
        <f>SUM(H142:H149)</f>
        <v>0</v>
      </c>
      <c r="J149" s="873">
        <f>I149*$J$5</f>
        <v>0</v>
      </c>
      <c r="K149" s="874">
        <f>SUM(I149:J149)*$K$5</f>
        <v>0</v>
      </c>
      <c r="L149" s="874">
        <f>SUM(I149:K149)*$L$5</f>
        <v>0</v>
      </c>
      <c r="M149" s="874">
        <f>SUM(I149:L149)*$M$5</f>
        <v>0</v>
      </c>
      <c r="N149" s="874">
        <f>SUM(I149:M149)*$N$5</f>
        <v>0</v>
      </c>
      <c r="O149" s="488">
        <f>SUM(I149:N149)</f>
        <v>0</v>
      </c>
      <c r="P149" s="487">
        <f>ROUND(O149,-3)</f>
        <v>0</v>
      </c>
      <c r="Q149" s="420" t="s">
        <v>600</v>
      </c>
    </row>
    <row r="150" spans="2:17" s="420" customFormat="1" ht="11.25" x14ac:dyDescent="0.2">
      <c r="B150" s="1287"/>
      <c r="C150" s="1299"/>
      <c r="D150" s="482"/>
      <c r="E150" s="483"/>
      <c r="F150" s="484"/>
      <c r="G150" s="485"/>
      <c r="H150" s="486"/>
      <c r="I150" s="487"/>
      <c r="J150" s="873"/>
      <c r="K150" s="874"/>
      <c r="L150" s="874"/>
      <c r="M150" s="874"/>
      <c r="N150" s="874"/>
      <c r="O150" s="488"/>
      <c r="P150" s="487"/>
    </row>
    <row r="151" spans="2:17" s="420" customFormat="1" ht="11.25" x14ac:dyDescent="0.2">
      <c r="B151" s="1287"/>
      <c r="C151" s="1299"/>
      <c r="D151" s="482" t="s">
        <v>557</v>
      </c>
      <c r="E151" s="483"/>
      <c r="F151" s="484"/>
      <c r="G151" s="485"/>
      <c r="H151" s="486"/>
      <c r="I151" s="487"/>
      <c r="J151" s="873"/>
      <c r="K151" s="874"/>
      <c r="L151" s="874"/>
      <c r="M151" s="874"/>
      <c r="N151" s="874"/>
      <c r="O151" s="488"/>
      <c r="P151" s="487"/>
    </row>
    <row r="152" spans="2:17" s="420" customFormat="1" ht="11.25" x14ac:dyDescent="0.2">
      <c r="B152" s="1287"/>
      <c r="C152" s="1299"/>
      <c r="D152" s="482"/>
      <c r="E152" s="483">
        <v>1</v>
      </c>
      <c r="F152" s="484" t="s">
        <v>12</v>
      </c>
      <c r="G152" s="485"/>
      <c r="H152" s="486">
        <f t="shared" ref="H152:H156" si="33">E152*G152</f>
        <v>0</v>
      </c>
      <c r="I152" s="487"/>
      <c r="J152" s="873"/>
      <c r="K152" s="874"/>
      <c r="L152" s="874"/>
      <c r="M152" s="874"/>
      <c r="N152" s="874"/>
      <c r="O152" s="488"/>
      <c r="P152" s="487"/>
    </row>
    <row r="153" spans="2:17" s="420" customFormat="1" ht="11.25" x14ac:dyDescent="0.2">
      <c r="B153" s="1287"/>
      <c r="C153" s="1299"/>
      <c r="D153" s="482"/>
      <c r="E153" s="483">
        <v>1</v>
      </c>
      <c r="F153" s="484" t="s">
        <v>9</v>
      </c>
      <c r="G153" s="485"/>
      <c r="H153" s="486">
        <f t="shared" si="33"/>
        <v>0</v>
      </c>
      <c r="I153" s="487"/>
      <c r="J153" s="873"/>
      <c r="K153" s="874"/>
      <c r="L153" s="874"/>
      <c r="M153" s="874"/>
      <c r="N153" s="874"/>
      <c r="O153" s="488"/>
      <c r="P153" s="487"/>
    </row>
    <row r="154" spans="2:17" s="420" customFormat="1" ht="11.25" x14ac:dyDescent="0.2">
      <c r="B154" s="1287"/>
      <c r="C154" s="1299"/>
      <c r="D154" s="482"/>
      <c r="E154" s="483">
        <v>1</v>
      </c>
      <c r="F154" s="484" t="s">
        <v>9</v>
      </c>
      <c r="G154" s="485"/>
      <c r="H154" s="486">
        <f t="shared" si="33"/>
        <v>0</v>
      </c>
      <c r="I154" s="487"/>
      <c r="J154" s="873"/>
      <c r="K154" s="874"/>
      <c r="L154" s="874"/>
      <c r="M154" s="874"/>
      <c r="N154" s="874"/>
      <c r="O154" s="488"/>
      <c r="P154" s="487"/>
    </row>
    <row r="155" spans="2:17" s="420" customFormat="1" ht="11.25" x14ac:dyDescent="0.2">
      <c r="B155" s="1287"/>
      <c r="C155" s="1299"/>
      <c r="D155" s="482"/>
      <c r="E155" s="483">
        <v>1</v>
      </c>
      <c r="F155" s="484" t="s">
        <v>9</v>
      </c>
      <c r="G155" s="485"/>
      <c r="H155" s="486">
        <f t="shared" si="33"/>
        <v>0</v>
      </c>
      <c r="I155" s="487"/>
      <c r="J155" s="873"/>
      <c r="K155" s="874"/>
      <c r="L155" s="874"/>
      <c r="M155" s="874"/>
      <c r="N155" s="874"/>
      <c r="O155" s="488"/>
      <c r="P155" s="487"/>
    </row>
    <row r="156" spans="2:17" s="420" customFormat="1" ht="11.25" x14ac:dyDescent="0.2">
      <c r="B156" s="1287"/>
      <c r="C156" s="1299"/>
      <c r="D156" s="482" t="s">
        <v>610</v>
      </c>
      <c r="E156" s="483">
        <v>-1</v>
      </c>
      <c r="F156" s="484" t="s">
        <v>576</v>
      </c>
      <c r="G156" s="485">
        <f>I140</f>
        <v>0</v>
      </c>
      <c r="H156" s="486">
        <f t="shared" si="33"/>
        <v>0</v>
      </c>
      <c r="I156" s="487"/>
      <c r="J156" s="873"/>
      <c r="K156" s="874"/>
      <c r="L156" s="874"/>
      <c r="M156" s="874"/>
      <c r="N156" s="874"/>
      <c r="O156" s="488"/>
      <c r="P156" s="487"/>
    </row>
    <row r="157" spans="2:17" s="420" customFormat="1" ht="11.25" x14ac:dyDescent="0.2">
      <c r="B157" s="1287"/>
      <c r="C157" s="1299"/>
      <c r="D157" s="482"/>
      <c r="E157" s="483"/>
      <c r="F157" s="484"/>
      <c r="G157" s="485"/>
      <c r="H157" s="486"/>
      <c r="I157" s="487"/>
      <c r="J157" s="873"/>
      <c r="K157" s="874"/>
      <c r="L157" s="874"/>
      <c r="M157" s="874"/>
      <c r="N157" s="874"/>
      <c r="O157" s="488"/>
      <c r="P157" s="487"/>
    </row>
    <row r="158" spans="2:17" s="420" customFormat="1" ht="11.25" x14ac:dyDescent="0.2">
      <c r="B158" s="1287"/>
      <c r="C158" s="1299"/>
      <c r="D158" s="435" t="s">
        <v>598</v>
      </c>
      <c r="E158" s="436"/>
      <c r="F158" s="437"/>
      <c r="G158" s="438"/>
      <c r="H158" s="439">
        <f>E158*G158</f>
        <v>0</v>
      </c>
      <c r="I158" s="440">
        <f>SUM(H151:H158)</f>
        <v>0</v>
      </c>
      <c r="J158" s="441">
        <f>I158*$J$5</f>
        <v>0</v>
      </c>
      <c r="K158" s="442">
        <f>SUM(I158:J158)*$K$5</f>
        <v>0</v>
      </c>
      <c r="L158" s="442">
        <f>SUM(I158:K158)*$L$5</f>
        <v>0</v>
      </c>
      <c r="M158" s="442">
        <f>SUM(I158:L158)*$M$5</f>
        <v>0</v>
      </c>
      <c r="N158" s="442">
        <f>SUM(I158:M158)*$N$5</f>
        <v>0</v>
      </c>
      <c r="O158" s="443">
        <f>SUM(I158:N158)</f>
        <v>0</v>
      </c>
      <c r="P158" s="440">
        <f>ROUND(O158,-3)</f>
        <v>0</v>
      </c>
      <c r="Q158" s="420" t="s">
        <v>600</v>
      </c>
    </row>
    <row r="159" spans="2:17" s="420" customFormat="1" ht="12" thickBot="1" x14ac:dyDescent="0.25">
      <c r="B159" s="1288"/>
      <c r="C159" s="1300"/>
      <c r="D159" s="444"/>
      <c r="E159" s="445"/>
      <c r="F159" s="446"/>
      <c r="G159" s="447"/>
      <c r="H159" s="448"/>
      <c r="I159" s="449"/>
      <c r="J159" s="477"/>
      <c r="K159" s="478"/>
      <c r="L159" s="478"/>
      <c r="M159" s="478"/>
      <c r="N159" s="478"/>
      <c r="O159" s="450"/>
      <c r="P159" s="449"/>
    </row>
  </sheetData>
  <mergeCells count="19">
    <mergeCell ref="C126:C141"/>
    <mergeCell ref="C142:C159"/>
    <mergeCell ref="B2:P3"/>
    <mergeCell ref="B108:B125"/>
    <mergeCell ref="B126:B141"/>
    <mergeCell ref="B142:B159"/>
    <mergeCell ref="C6:C19"/>
    <mergeCell ref="C20:C38"/>
    <mergeCell ref="C39:C57"/>
    <mergeCell ref="C58:C73"/>
    <mergeCell ref="C74:C89"/>
    <mergeCell ref="C90:C107"/>
    <mergeCell ref="C108:C125"/>
    <mergeCell ref="B6:B19"/>
    <mergeCell ref="B20:B38"/>
    <mergeCell ref="B39:B57"/>
    <mergeCell ref="B58:B73"/>
    <mergeCell ref="B74:B89"/>
    <mergeCell ref="B90:B10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E87E4-F204-4E4A-829E-925D1E3DE143}">
  <sheetPr>
    <tabColor theme="5" tint="0.59999389629810485"/>
  </sheetPr>
  <dimension ref="B2:Q101"/>
  <sheetViews>
    <sheetView topLeftCell="A17" zoomScale="115" zoomScaleNormal="115" workbookViewId="0">
      <selection activeCell="C6" sqref="C6:C20"/>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Int Thermal Comfort</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1.25" x14ac:dyDescent="0.2">
      <c r="B6" s="1240" t="str">
        <f>'Detailed Matrix'!E116</f>
        <v>Overheating Prevention</v>
      </c>
      <c r="C6" s="1292" t="str">
        <f>'Detailed Matrix'!F116</f>
        <v>Stage 0 1 - Comfortable indoor environment temperatures using the adaptive thermal comfort model under the DSY 1 summer design conditions</v>
      </c>
      <c r="D6" s="492" t="s">
        <v>556</v>
      </c>
      <c r="E6" s="493">
        <v>1</v>
      </c>
      <c r="F6" s="494"/>
      <c r="G6" s="495"/>
      <c r="H6" s="496">
        <f t="shared" ref="H6:H11" si="0">E6*G6</f>
        <v>0</v>
      </c>
      <c r="I6" s="497"/>
      <c r="J6" s="498"/>
      <c r="K6" s="499"/>
      <c r="L6" s="499"/>
      <c r="M6" s="499"/>
      <c r="N6" s="499"/>
      <c r="O6" s="498"/>
      <c r="P6" s="497"/>
    </row>
    <row r="7" spans="2:17" s="420" customFormat="1" ht="11.25" x14ac:dyDescent="0.2">
      <c r="B7" s="1241"/>
      <c r="C7" s="1293"/>
      <c r="D7" s="500"/>
      <c r="E7" s="501">
        <v>1</v>
      </c>
      <c r="F7" s="502"/>
      <c r="G7" s="503"/>
      <c r="H7" s="504">
        <f t="shared" si="0"/>
        <v>0</v>
      </c>
      <c r="I7" s="505"/>
      <c r="J7" s="506"/>
      <c r="K7" s="507"/>
      <c r="L7" s="507"/>
      <c r="M7" s="507"/>
      <c r="N7" s="507"/>
      <c r="O7" s="506"/>
      <c r="P7" s="505"/>
    </row>
    <row r="8" spans="2:17" s="420" customFormat="1" ht="11.25" x14ac:dyDescent="0.2">
      <c r="B8" s="1241"/>
      <c r="C8" s="1293"/>
      <c r="D8" s="500"/>
      <c r="E8" s="501">
        <v>1</v>
      </c>
      <c r="F8" s="502"/>
      <c r="G8" s="503"/>
      <c r="H8" s="504">
        <f t="shared" si="0"/>
        <v>0</v>
      </c>
      <c r="I8" s="505"/>
      <c r="J8" s="506"/>
      <c r="K8" s="507"/>
      <c r="L8" s="507"/>
      <c r="M8" s="507"/>
      <c r="N8" s="507"/>
      <c r="O8" s="506"/>
      <c r="P8" s="505"/>
    </row>
    <row r="9" spans="2:17" s="420" customFormat="1" ht="11.25" x14ac:dyDescent="0.2">
      <c r="B9" s="1241"/>
      <c r="C9" s="1293"/>
      <c r="D9" s="500"/>
      <c r="E9" s="501">
        <v>1</v>
      </c>
      <c r="F9" s="502"/>
      <c r="G9" s="503"/>
      <c r="H9" s="504">
        <f t="shared" si="0"/>
        <v>0</v>
      </c>
      <c r="I9" s="505"/>
      <c r="J9" s="506"/>
      <c r="K9" s="507"/>
      <c r="L9" s="507"/>
      <c r="M9" s="507"/>
      <c r="N9" s="507"/>
      <c r="O9" s="506"/>
      <c r="P9" s="505"/>
    </row>
    <row r="10" spans="2:17" s="420" customFormat="1" ht="11.25" x14ac:dyDescent="0.2">
      <c r="B10" s="1241"/>
      <c r="C10" s="1293"/>
      <c r="D10" s="500"/>
      <c r="E10" s="501">
        <v>1</v>
      </c>
      <c r="F10" s="502"/>
      <c r="G10" s="503"/>
      <c r="H10" s="504">
        <f t="shared" si="0"/>
        <v>0</v>
      </c>
      <c r="I10" s="505"/>
      <c r="J10" s="506"/>
      <c r="K10" s="507"/>
      <c r="L10" s="507"/>
      <c r="M10" s="507"/>
      <c r="N10" s="507"/>
      <c r="O10" s="506"/>
      <c r="P10" s="505"/>
    </row>
    <row r="11" spans="2:17" s="420" customFormat="1" ht="11.25" x14ac:dyDescent="0.2">
      <c r="B11" s="1241"/>
      <c r="C11" s="1293"/>
      <c r="D11" s="500"/>
      <c r="E11" s="501">
        <v>1</v>
      </c>
      <c r="F11" s="502"/>
      <c r="G11" s="503"/>
      <c r="H11" s="504">
        <f t="shared" si="0"/>
        <v>0</v>
      </c>
      <c r="I11" s="505"/>
      <c r="J11" s="506"/>
      <c r="K11" s="507"/>
      <c r="L11" s="507"/>
      <c r="M11" s="507"/>
      <c r="N11" s="507"/>
      <c r="O11" s="506"/>
      <c r="P11" s="505"/>
    </row>
    <row r="12" spans="2:17" s="420" customFormat="1" ht="11.25" x14ac:dyDescent="0.2">
      <c r="B12" s="1241"/>
      <c r="C12" s="1293"/>
      <c r="D12" s="500" t="s">
        <v>581</v>
      </c>
      <c r="E12" s="501"/>
      <c r="F12" s="502"/>
      <c r="G12" s="503"/>
      <c r="H12" s="504">
        <f t="shared" ref="H12" si="1">E12*G12</f>
        <v>0</v>
      </c>
      <c r="I12" s="875">
        <f>SUM(H6:H12)</f>
        <v>0</v>
      </c>
      <c r="J12" s="506">
        <f>I12*$J$5</f>
        <v>0</v>
      </c>
      <c r="K12" s="507">
        <f>SUM(I12:J12)*$K$5</f>
        <v>0</v>
      </c>
      <c r="L12" s="507">
        <f>SUM(I12:K12)*$L$5</f>
        <v>0</v>
      </c>
      <c r="M12" s="507">
        <f>SUM(I12:L12)*$M$5</f>
        <v>0</v>
      </c>
      <c r="N12" s="507">
        <f>SUM(I12:M12)*$N$5</f>
        <v>0</v>
      </c>
      <c r="O12" s="506">
        <f>SUM(I12:N12)</f>
        <v>0</v>
      </c>
      <c r="P12" s="505">
        <f>ROUND(O12,-3)</f>
        <v>0</v>
      </c>
      <c r="Q12" s="420" t="s">
        <v>514</v>
      </c>
    </row>
    <row r="13" spans="2:17" s="420" customFormat="1" ht="11.25" x14ac:dyDescent="0.2">
      <c r="B13" s="1241"/>
      <c r="C13" s="1293"/>
      <c r="D13" s="500"/>
      <c r="E13" s="501"/>
      <c r="F13" s="502"/>
      <c r="G13" s="503"/>
      <c r="H13" s="504"/>
      <c r="I13" s="505"/>
      <c r="J13" s="506"/>
      <c r="K13" s="507"/>
      <c r="L13" s="507"/>
      <c r="M13" s="507"/>
      <c r="N13" s="507"/>
      <c r="O13" s="506"/>
      <c r="P13" s="505"/>
    </row>
    <row r="14" spans="2:17" s="420" customFormat="1" ht="11.25" x14ac:dyDescent="0.2">
      <c r="B14" s="1241"/>
      <c r="C14" s="1293"/>
      <c r="D14" s="500" t="s">
        <v>557</v>
      </c>
      <c r="E14" s="501">
        <v>1</v>
      </c>
      <c r="F14" s="502"/>
      <c r="G14" s="503"/>
      <c r="H14" s="504">
        <f>E14*G14</f>
        <v>0</v>
      </c>
      <c r="I14" s="505"/>
      <c r="J14" s="506"/>
      <c r="K14" s="507"/>
      <c r="L14" s="507"/>
      <c r="M14" s="507"/>
      <c r="N14" s="507"/>
      <c r="O14" s="506"/>
      <c r="P14" s="505"/>
    </row>
    <row r="15" spans="2:17" s="420" customFormat="1" ht="11.25" x14ac:dyDescent="0.2">
      <c r="B15" s="1241"/>
      <c r="C15" s="1293"/>
      <c r="D15" s="500"/>
      <c r="E15" s="501">
        <v>1</v>
      </c>
      <c r="F15" s="502"/>
      <c r="G15" s="503"/>
      <c r="H15" s="504">
        <f>E15*G15</f>
        <v>0</v>
      </c>
      <c r="I15" s="505"/>
      <c r="J15" s="506"/>
      <c r="K15" s="507"/>
      <c r="L15" s="507"/>
      <c r="M15" s="507"/>
      <c r="N15" s="507"/>
      <c r="O15" s="506"/>
      <c r="P15" s="505"/>
    </row>
    <row r="16" spans="2:17" s="420" customFormat="1" ht="11.25" x14ac:dyDescent="0.2">
      <c r="B16" s="1241"/>
      <c r="C16" s="1293"/>
      <c r="D16" s="500"/>
      <c r="E16" s="501">
        <v>1</v>
      </c>
      <c r="F16" s="502"/>
      <c r="G16" s="503"/>
      <c r="H16" s="504">
        <f>E16*G16</f>
        <v>0</v>
      </c>
      <c r="I16" s="505"/>
      <c r="J16" s="506"/>
      <c r="K16" s="507"/>
      <c r="L16" s="507"/>
      <c r="M16" s="507"/>
      <c r="N16" s="507"/>
      <c r="O16" s="506"/>
      <c r="P16" s="505"/>
    </row>
    <row r="17" spans="2:17" s="420" customFormat="1" ht="11.25" x14ac:dyDescent="0.2">
      <c r="B17" s="1241"/>
      <c r="C17" s="1293"/>
      <c r="D17" s="500"/>
      <c r="E17" s="501">
        <v>1</v>
      </c>
      <c r="F17" s="502"/>
      <c r="G17" s="503"/>
      <c r="H17" s="504">
        <f>E17*G17</f>
        <v>0</v>
      </c>
      <c r="I17" s="505"/>
      <c r="J17" s="506"/>
      <c r="K17" s="507"/>
      <c r="L17" s="507"/>
      <c r="M17" s="507"/>
      <c r="N17" s="507"/>
      <c r="O17" s="506"/>
      <c r="P17" s="505"/>
    </row>
    <row r="18" spans="2:17" s="420" customFormat="1" ht="11.25" x14ac:dyDescent="0.2">
      <c r="B18" s="1241"/>
      <c r="C18" s="1293"/>
      <c r="D18" s="500"/>
      <c r="E18" s="501">
        <v>1</v>
      </c>
      <c r="F18" s="502"/>
      <c r="G18" s="503"/>
      <c r="H18" s="504">
        <f>E18*G18</f>
        <v>0</v>
      </c>
      <c r="I18" s="505"/>
      <c r="J18" s="506"/>
      <c r="K18" s="507"/>
      <c r="L18" s="507"/>
      <c r="M18" s="507"/>
      <c r="N18" s="507"/>
      <c r="O18" s="506"/>
      <c r="P18" s="505"/>
    </row>
    <row r="19" spans="2:17" s="420" customFormat="1" ht="11.25" x14ac:dyDescent="0.2">
      <c r="B19" s="1241"/>
      <c r="C19" s="1293"/>
      <c r="D19" s="500" t="s">
        <v>581</v>
      </c>
      <c r="E19" s="501">
        <v>1</v>
      </c>
      <c r="F19" s="502"/>
      <c r="G19" s="503"/>
      <c r="H19" s="509">
        <f t="shared" ref="H19" si="2">E19*G19</f>
        <v>0</v>
      </c>
      <c r="I19" s="865">
        <f>SUM(H13:H19)</f>
        <v>0</v>
      </c>
      <c r="J19" s="513">
        <f>I19*$J$5</f>
        <v>0</v>
      </c>
      <c r="K19" s="514">
        <f>SUM(I19:J19)*$K$5</f>
        <v>0</v>
      </c>
      <c r="L19" s="514">
        <f>SUM(I19:K19)*$L$5</f>
        <v>0</v>
      </c>
      <c r="M19" s="514">
        <f>SUM(I19:L19)*$M$5</f>
        <v>0</v>
      </c>
      <c r="N19" s="514">
        <f>SUM(I19:M19)*$N$5</f>
        <v>0</v>
      </c>
      <c r="O19" s="515">
        <f>SUM(I19:N19)</f>
        <v>0</v>
      </c>
      <c r="P19" s="512">
        <f>ROUND(O19,-3)</f>
        <v>0</v>
      </c>
      <c r="Q19" s="420" t="s">
        <v>514</v>
      </c>
    </row>
    <row r="20" spans="2:17" s="420" customFormat="1" ht="12" thickBot="1" x14ac:dyDescent="0.25">
      <c r="B20" s="1242"/>
      <c r="C20" s="1294"/>
      <c r="D20" s="516"/>
      <c r="E20" s="517"/>
      <c r="F20" s="518"/>
      <c r="G20" s="519"/>
      <c r="H20" s="520"/>
      <c r="I20" s="521"/>
      <c r="J20" s="522"/>
      <c r="K20" s="523"/>
      <c r="L20" s="523"/>
      <c r="M20" s="523"/>
      <c r="N20" s="523"/>
      <c r="O20" s="522"/>
      <c r="P20" s="521"/>
    </row>
    <row r="21" spans="2:17" s="426" customFormat="1" ht="11.25" x14ac:dyDescent="0.2">
      <c r="B21" s="1263" t="str">
        <f>'Detailed Matrix'!E117</f>
        <v>Overheating Prevention</v>
      </c>
      <c r="C21" s="1289" t="str">
        <f>'Detailed Matrix'!F117</f>
        <v>Stage 02 - Comfortable indoor environment temperatures using the adaptive thermal comfort model under all extreme design  summer year conditions</v>
      </c>
      <c r="D21" s="876" t="s">
        <v>556</v>
      </c>
      <c r="E21" s="877"/>
      <c r="F21" s="878"/>
      <c r="G21" s="879"/>
      <c r="H21" s="880"/>
      <c r="I21" s="881"/>
      <c r="J21" s="882"/>
      <c r="K21" s="883"/>
      <c r="L21" s="883"/>
      <c r="M21" s="883"/>
      <c r="N21" s="883"/>
      <c r="O21" s="882"/>
      <c r="P21" s="881"/>
    </row>
    <row r="22" spans="2:17" s="426" customFormat="1" ht="11.25" x14ac:dyDescent="0.2">
      <c r="B22" s="1264"/>
      <c r="C22" s="1290"/>
      <c r="D22" s="884"/>
      <c r="E22" s="885">
        <v>1</v>
      </c>
      <c r="F22" s="886"/>
      <c r="G22" s="887"/>
      <c r="H22" s="888">
        <f t="shared" ref="H22:H27" si="3">E22*G22</f>
        <v>0</v>
      </c>
      <c r="I22" s="889"/>
      <c r="J22" s="890"/>
      <c r="K22" s="891"/>
      <c r="L22" s="891"/>
      <c r="M22" s="891"/>
      <c r="N22" s="891"/>
      <c r="O22" s="892"/>
      <c r="P22" s="889"/>
    </row>
    <row r="23" spans="2:17" s="426" customFormat="1" ht="11.25" x14ac:dyDescent="0.2">
      <c r="B23" s="1264"/>
      <c r="C23" s="1290"/>
      <c r="D23" s="884"/>
      <c r="E23" s="885">
        <v>1</v>
      </c>
      <c r="F23" s="886"/>
      <c r="G23" s="887"/>
      <c r="H23" s="888">
        <f t="shared" si="3"/>
        <v>0</v>
      </c>
      <c r="I23" s="889"/>
      <c r="J23" s="890"/>
      <c r="K23" s="891"/>
      <c r="L23" s="891"/>
      <c r="M23" s="891"/>
      <c r="N23" s="891"/>
      <c r="O23" s="892"/>
      <c r="P23" s="889"/>
    </row>
    <row r="24" spans="2:17" s="426" customFormat="1" ht="11.25" x14ac:dyDescent="0.2">
      <c r="B24" s="1264"/>
      <c r="C24" s="1290"/>
      <c r="D24" s="884"/>
      <c r="E24" s="885">
        <v>1</v>
      </c>
      <c r="F24" s="886"/>
      <c r="G24" s="887"/>
      <c r="H24" s="888">
        <f t="shared" si="3"/>
        <v>0</v>
      </c>
      <c r="I24" s="889"/>
      <c r="J24" s="890"/>
      <c r="K24" s="891"/>
      <c r="L24" s="891"/>
      <c r="M24" s="891"/>
      <c r="N24" s="891"/>
      <c r="O24" s="892"/>
      <c r="P24" s="889"/>
    </row>
    <row r="25" spans="2:17" s="426" customFormat="1" ht="11.25" x14ac:dyDescent="0.2">
      <c r="B25" s="1264"/>
      <c r="C25" s="1290"/>
      <c r="D25" s="884"/>
      <c r="E25" s="885">
        <v>1</v>
      </c>
      <c r="F25" s="886"/>
      <c r="G25" s="887"/>
      <c r="H25" s="888">
        <f t="shared" si="3"/>
        <v>0</v>
      </c>
      <c r="I25" s="889"/>
      <c r="J25" s="890"/>
      <c r="K25" s="891"/>
      <c r="L25" s="891"/>
      <c r="M25" s="891"/>
      <c r="N25" s="891"/>
      <c r="O25" s="892"/>
      <c r="P25" s="889"/>
    </row>
    <row r="26" spans="2:17" s="426" customFormat="1" ht="11.25" x14ac:dyDescent="0.2">
      <c r="B26" s="1264"/>
      <c r="C26" s="1290"/>
      <c r="D26" s="884" t="s">
        <v>610</v>
      </c>
      <c r="E26" s="885">
        <v>-1</v>
      </c>
      <c r="F26" s="886"/>
      <c r="G26" s="887">
        <f>I12</f>
        <v>0</v>
      </c>
      <c r="H26" s="888">
        <f t="shared" si="3"/>
        <v>0</v>
      </c>
      <c r="I26" s="889"/>
      <c r="J26" s="890"/>
      <c r="K26" s="891"/>
      <c r="L26" s="891"/>
      <c r="M26" s="891"/>
      <c r="N26" s="891"/>
      <c r="O26" s="892"/>
      <c r="P26" s="889"/>
    </row>
    <row r="27" spans="2:17" s="426" customFormat="1" ht="11.25" x14ac:dyDescent="0.2">
      <c r="B27" s="1264"/>
      <c r="C27" s="1290"/>
      <c r="D27" s="884"/>
      <c r="E27" s="885">
        <v>1</v>
      </c>
      <c r="F27" s="886"/>
      <c r="G27" s="887"/>
      <c r="H27" s="888">
        <f t="shared" si="3"/>
        <v>0</v>
      </c>
      <c r="I27" s="889"/>
      <c r="J27" s="890"/>
      <c r="K27" s="891"/>
      <c r="L27" s="891"/>
      <c r="M27" s="891"/>
      <c r="N27" s="891"/>
      <c r="O27" s="892"/>
      <c r="P27" s="889"/>
    </row>
    <row r="28" spans="2:17" s="426" customFormat="1" ht="11.25" x14ac:dyDescent="0.2">
      <c r="B28" s="1264"/>
      <c r="C28" s="1290"/>
      <c r="D28" s="884"/>
      <c r="E28" s="885"/>
      <c r="F28" s="886"/>
      <c r="G28" s="887"/>
      <c r="H28" s="888">
        <f>E28*G28</f>
        <v>0</v>
      </c>
      <c r="I28" s="903">
        <f>SUM(H21:H28)</f>
        <v>0</v>
      </c>
      <c r="J28" s="890">
        <f>I28*$J$5</f>
        <v>0</v>
      </c>
      <c r="K28" s="891">
        <f>SUM(I28:J28)*$K$5</f>
        <v>0</v>
      </c>
      <c r="L28" s="891">
        <f>SUM(I28:K28)*$L$5</f>
        <v>0</v>
      </c>
      <c r="M28" s="891">
        <f>SUM(I28:L28)*$M$5</f>
        <v>0</v>
      </c>
      <c r="N28" s="891">
        <f>SUM(I28:M28)*$N$5</f>
        <v>0</v>
      </c>
      <c r="O28" s="892">
        <f>SUM(I28:N28)</f>
        <v>0</v>
      </c>
      <c r="P28" s="889">
        <f>ROUND(O28,-3)</f>
        <v>0</v>
      </c>
      <c r="Q28" s="426" t="s">
        <v>600</v>
      </c>
    </row>
    <row r="29" spans="2:17" s="426" customFormat="1" ht="11.25" x14ac:dyDescent="0.2">
      <c r="B29" s="1264"/>
      <c r="C29" s="1290"/>
      <c r="D29" s="884"/>
      <c r="E29" s="885"/>
      <c r="F29" s="886"/>
      <c r="G29" s="887"/>
      <c r="H29" s="888"/>
      <c r="I29" s="889"/>
      <c r="J29" s="890"/>
      <c r="K29" s="891"/>
      <c r="L29" s="891"/>
      <c r="M29" s="891"/>
      <c r="N29" s="891"/>
      <c r="O29" s="892"/>
      <c r="P29" s="889"/>
    </row>
    <row r="30" spans="2:17" s="426" customFormat="1" ht="11.25" x14ac:dyDescent="0.2">
      <c r="B30" s="1264"/>
      <c r="C30" s="1290"/>
      <c r="D30" s="893" t="s">
        <v>557</v>
      </c>
      <c r="E30" s="885"/>
      <c r="F30" s="886"/>
      <c r="G30" s="887"/>
      <c r="H30" s="888"/>
      <c r="I30" s="889"/>
      <c r="J30" s="890"/>
      <c r="K30" s="891"/>
      <c r="L30" s="891"/>
      <c r="M30" s="891"/>
      <c r="N30" s="891"/>
      <c r="O30" s="892"/>
      <c r="P30" s="889"/>
    </row>
    <row r="31" spans="2:17" s="426" customFormat="1" ht="11.25" x14ac:dyDescent="0.2">
      <c r="B31" s="1264"/>
      <c r="C31" s="1290"/>
      <c r="D31" s="884"/>
      <c r="E31" s="885">
        <v>1</v>
      </c>
      <c r="F31" s="886"/>
      <c r="G31" s="887"/>
      <c r="H31" s="888">
        <f t="shared" ref="H31:H35" si="4">E31*G31</f>
        <v>0</v>
      </c>
      <c r="I31" s="889"/>
      <c r="J31" s="890"/>
      <c r="K31" s="891"/>
      <c r="L31" s="891"/>
      <c r="M31" s="891"/>
      <c r="N31" s="891"/>
      <c r="O31" s="892"/>
      <c r="P31" s="889"/>
    </row>
    <row r="32" spans="2:17" s="426" customFormat="1" ht="11.25" x14ac:dyDescent="0.2">
      <c r="B32" s="1264"/>
      <c r="C32" s="1290"/>
      <c r="D32" s="884"/>
      <c r="E32" s="885">
        <v>1</v>
      </c>
      <c r="F32" s="886"/>
      <c r="G32" s="887"/>
      <c r="H32" s="888">
        <f t="shared" si="4"/>
        <v>0</v>
      </c>
      <c r="I32" s="889"/>
      <c r="J32" s="890"/>
      <c r="K32" s="891"/>
      <c r="L32" s="891"/>
      <c r="M32" s="891"/>
      <c r="N32" s="891"/>
      <c r="O32" s="892"/>
      <c r="P32" s="889"/>
    </row>
    <row r="33" spans="2:17" s="426" customFormat="1" ht="11.25" x14ac:dyDescent="0.2">
      <c r="B33" s="1264"/>
      <c r="C33" s="1290"/>
      <c r="D33" s="884"/>
      <c r="E33" s="885">
        <v>1</v>
      </c>
      <c r="F33" s="886"/>
      <c r="G33" s="887"/>
      <c r="H33" s="888">
        <f t="shared" si="4"/>
        <v>0</v>
      </c>
      <c r="I33" s="889"/>
      <c r="J33" s="890"/>
      <c r="K33" s="891"/>
      <c r="L33" s="891"/>
      <c r="M33" s="891"/>
      <c r="N33" s="891"/>
      <c r="O33" s="892"/>
      <c r="P33" s="889"/>
    </row>
    <row r="34" spans="2:17" s="426" customFormat="1" ht="11.25" x14ac:dyDescent="0.2">
      <c r="B34" s="1264"/>
      <c r="C34" s="1290"/>
      <c r="D34" s="884"/>
      <c r="E34" s="885">
        <v>1</v>
      </c>
      <c r="F34" s="886"/>
      <c r="G34" s="887"/>
      <c r="H34" s="888">
        <f t="shared" si="4"/>
        <v>0</v>
      </c>
      <c r="I34" s="889"/>
      <c r="J34" s="890"/>
      <c r="K34" s="891"/>
      <c r="L34" s="891"/>
      <c r="M34" s="891"/>
      <c r="N34" s="891"/>
      <c r="O34" s="892"/>
      <c r="P34" s="889"/>
    </row>
    <row r="35" spans="2:17" s="426" customFormat="1" ht="11.25" x14ac:dyDescent="0.2">
      <c r="B35" s="1264"/>
      <c r="C35" s="1290"/>
      <c r="D35" s="884" t="s">
        <v>610</v>
      </c>
      <c r="E35" s="885">
        <v>-1</v>
      </c>
      <c r="F35" s="886" t="s">
        <v>576</v>
      </c>
      <c r="G35" s="887">
        <f>I19</f>
        <v>0</v>
      </c>
      <c r="H35" s="888">
        <f t="shared" si="4"/>
        <v>0</v>
      </c>
      <c r="I35" s="904">
        <f>SUM(H30:H35)</f>
        <v>0</v>
      </c>
      <c r="J35" s="890">
        <f>I35*$J$5</f>
        <v>0</v>
      </c>
      <c r="K35" s="891">
        <f>SUM(I35:J35)*$K$5</f>
        <v>0</v>
      </c>
      <c r="L35" s="891">
        <f>SUM(I35:K35)*$L$5</f>
        <v>0</v>
      </c>
      <c r="M35" s="891">
        <f>SUM(I35:L35)*$M$5</f>
        <v>0</v>
      </c>
      <c r="N35" s="891">
        <f>SUM(I35:M35)*$N$5</f>
        <v>0</v>
      </c>
      <c r="O35" s="892">
        <f>SUM(I35:N35)</f>
        <v>0</v>
      </c>
      <c r="P35" s="889">
        <f>ROUND(O35,-3)</f>
        <v>0</v>
      </c>
      <c r="Q35" s="426" t="s">
        <v>600</v>
      </c>
    </row>
    <row r="36" spans="2:17" s="426" customFormat="1" ht="12" thickBot="1" x14ac:dyDescent="0.25">
      <c r="B36" s="1264"/>
      <c r="C36" s="1290"/>
      <c r="D36" s="894"/>
      <c r="E36" s="895"/>
      <c r="F36" s="896"/>
      <c r="G36" s="897"/>
      <c r="H36" s="898"/>
      <c r="I36" s="899"/>
      <c r="J36" s="900"/>
      <c r="K36" s="901"/>
      <c r="L36" s="901"/>
      <c r="M36" s="901"/>
      <c r="N36" s="901"/>
      <c r="O36" s="902"/>
      <c r="P36" s="899"/>
    </row>
    <row r="37" spans="2:17" s="420" customFormat="1" ht="11.25" x14ac:dyDescent="0.2">
      <c r="B37" s="1263" t="str">
        <f>'Detailed Matrix'!E118</f>
        <v>Overheating Prevention</v>
      </c>
      <c r="C37" s="1289" t="str">
        <f>'Detailed Matrix'!F118</f>
        <v>Stage 03 - Comfortable indoor environment temperatures using the adaptive thermal comfort model under current and extreme future weather conditions</v>
      </c>
      <c r="D37" s="390" t="s">
        <v>556</v>
      </c>
      <c r="E37" s="391"/>
      <c r="F37" s="392"/>
      <c r="G37" s="393"/>
      <c r="H37" s="394"/>
      <c r="I37" s="395"/>
      <c r="J37" s="396"/>
      <c r="K37" s="397"/>
      <c r="L37" s="397"/>
      <c r="M37" s="397"/>
      <c r="N37" s="397"/>
      <c r="O37" s="396"/>
      <c r="P37" s="395"/>
    </row>
    <row r="38" spans="2:17" s="420" customFormat="1" ht="11.25" x14ac:dyDescent="0.2">
      <c r="B38" s="1264"/>
      <c r="C38" s="1290"/>
      <c r="D38" s="768"/>
      <c r="E38" s="399">
        <v>1</v>
      </c>
      <c r="F38" s="400"/>
      <c r="G38" s="401"/>
      <c r="H38" s="722">
        <f>E38*G38</f>
        <v>0</v>
      </c>
      <c r="I38" s="723"/>
      <c r="J38" s="724"/>
      <c r="K38" s="725"/>
      <c r="L38" s="725"/>
      <c r="M38" s="725"/>
      <c r="N38" s="725"/>
      <c r="O38" s="724"/>
      <c r="P38" s="723"/>
    </row>
    <row r="39" spans="2:17" s="420" customFormat="1" ht="11.25" x14ac:dyDescent="0.2">
      <c r="B39" s="1264"/>
      <c r="C39" s="1290"/>
      <c r="D39" s="768"/>
      <c r="E39" s="399">
        <v>1</v>
      </c>
      <c r="F39" s="400"/>
      <c r="G39" s="401"/>
      <c r="H39" s="722">
        <f t="shared" ref="H39:H43" si="5">E39*G39</f>
        <v>0</v>
      </c>
      <c r="I39" s="723"/>
      <c r="J39" s="724"/>
      <c r="K39" s="725"/>
      <c r="L39" s="725"/>
      <c r="M39" s="725"/>
      <c r="N39" s="725"/>
      <c r="O39" s="724"/>
      <c r="P39" s="723"/>
    </row>
    <row r="40" spans="2:17" s="420" customFormat="1" ht="11.25" x14ac:dyDescent="0.2">
      <c r="B40" s="1264"/>
      <c r="C40" s="1290"/>
      <c r="D40" s="768"/>
      <c r="E40" s="399">
        <v>1</v>
      </c>
      <c r="F40" s="400"/>
      <c r="G40" s="401"/>
      <c r="H40" s="722">
        <f t="shared" si="5"/>
        <v>0</v>
      </c>
      <c r="I40" s="723"/>
      <c r="J40" s="724"/>
      <c r="K40" s="725"/>
      <c r="L40" s="725"/>
      <c r="M40" s="725"/>
      <c r="N40" s="725"/>
      <c r="O40" s="724"/>
      <c r="P40" s="723"/>
    </row>
    <row r="41" spans="2:17" s="420" customFormat="1" ht="11.25" x14ac:dyDescent="0.2">
      <c r="B41" s="1264"/>
      <c r="C41" s="1290"/>
      <c r="D41" s="768"/>
      <c r="E41" s="399">
        <v>1</v>
      </c>
      <c r="F41" s="400"/>
      <c r="G41" s="401"/>
      <c r="H41" s="722">
        <f t="shared" si="5"/>
        <v>0</v>
      </c>
      <c r="I41" s="723"/>
      <c r="J41" s="724"/>
      <c r="K41" s="725"/>
      <c r="L41" s="725"/>
      <c r="M41" s="725"/>
      <c r="N41" s="725"/>
      <c r="O41" s="724"/>
      <c r="P41" s="723"/>
    </row>
    <row r="42" spans="2:17" s="420" customFormat="1" ht="11.25" x14ac:dyDescent="0.2">
      <c r="B42" s="1264"/>
      <c r="C42" s="1290"/>
      <c r="D42" s="768" t="s">
        <v>612</v>
      </c>
      <c r="E42" s="399">
        <v>-1</v>
      </c>
      <c r="F42" s="400" t="s">
        <v>576</v>
      </c>
      <c r="G42" s="401">
        <f>SUM(I12,I28)</f>
        <v>0</v>
      </c>
      <c r="H42" s="722">
        <f t="shared" si="5"/>
        <v>0</v>
      </c>
      <c r="I42" s="723"/>
      <c r="J42" s="724"/>
      <c r="K42" s="725"/>
      <c r="L42" s="725"/>
      <c r="M42" s="725"/>
      <c r="N42" s="725"/>
      <c r="O42" s="724"/>
      <c r="P42" s="723"/>
    </row>
    <row r="43" spans="2:17" s="420" customFormat="1" ht="11.25" x14ac:dyDescent="0.2">
      <c r="B43" s="1264"/>
      <c r="C43" s="1290"/>
      <c r="D43" s="768"/>
      <c r="E43" s="399"/>
      <c r="F43" s="400"/>
      <c r="G43" s="401"/>
      <c r="H43" s="722">
        <f t="shared" si="5"/>
        <v>0</v>
      </c>
      <c r="I43" s="723"/>
      <c r="J43" s="724"/>
      <c r="K43" s="725"/>
      <c r="L43" s="725"/>
      <c r="M43" s="725"/>
      <c r="N43" s="725"/>
      <c r="O43" s="724"/>
      <c r="P43" s="723"/>
    </row>
    <row r="44" spans="2:17" s="420" customFormat="1" ht="11.25" x14ac:dyDescent="0.2">
      <c r="B44" s="1264"/>
      <c r="C44" s="1290"/>
      <c r="D44" s="768"/>
      <c r="E44" s="399"/>
      <c r="F44" s="400"/>
      <c r="G44" s="401"/>
      <c r="H44" s="722">
        <f t="shared" ref="H44" si="6">E44*G44</f>
        <v>0</v>
      </c>
      <c r="I44" s="875">
        <f>SUM(H37:H44)</f>
        <v>0</v>
      </c>
      <c r="J44" s="724">
        <f>I44*$J$5</f>
        <v>0</v>
      </c>
      <c r="K44" s="725">
        <f>SUM(I44:J44)*$K$5</f>
        <v>0</v>
      </c>
      <c r="L44" s="725">
        <f>SUM(I44:K44)*$L$5</f>
        <v>0</v>
      </c>
      <c r="M44" s="725">
        <f>SUM(I44:L44)*$M$5</f>
        <v>0</v>
      </c>
      <c r="N44" s="725">
        <f>SUM(I44:M44)*$N$5</f>
        <v>0</v>
      </c>
      <c r="O44" s="724">
        <f>SUM(I44:N44)</f>
        <v>0</v>
      </c>
      <c r="P44" s="723">
        <f>ROUND(O44,-3)</f>
        <v>0</v>
      </c>
      <c r="Q44" s="420" t="s">
        <v>600</v>
      </c>
    </row>
    <row r="45" spans="2:17" s="420" customFormat="1" ht="11.25" x14ac:dyDescent="0.2">
      <c r="B45" s="1264"/>
      <c r="C45" s="1290"/>
      <c r="D45" s="768"/>
      <c r="E45" s="399"/>
      <c r="F45" s="400"/>
      <c r="G45" s="401"/>
      <c r="H45" s="722"/>
      <c r="I45" s="723"/>
      <c r="J45" s="724"/>
      <c r="K45" s="725"/>
      <c r="L45" s="725"/>
      <c r="M45" s="725"/>
      <c r="N45" s="725"/>
      <c r="O45" s="724"/>
      <c r="P45" s="723"/>
    </row>
    <row r="46" spans="2:17" s="420" customFormat="1" ht="11.25" x14ac:dyDescent="0.2">
      <c r="B46" s="1264"/>
      <c r="C46" s="1290"/>
      <c r="D46" s="768" t="s">
        <v>557</v>
      </c>
      <c r="E46" s="399"/>
      <c r="F46" s="400"/>
      <c r="G46" s="401"/>
      <c r="H46" s="722"/>
      <c r="I46" s="723"/>
      <c r="J46" s="724"/>
      <c r="K46" s="725"/>
      <c r="L46" s="725"/>
      <c r="M46" s="725"/>
      <c r="N46" s="725"/>
      <c r="O46" s="724"/>
      <c r="P46" s="723"/>
    </row>
    <row r="47" spans="2:17" s="420" customFormat="1" ht="11.25" x14ac:dyDescent="0.2">
      <c r="B47" s="1264"/>
      <c r="C47" s="1290"/>
      <c r="D47" s="768"/>
      <c r="E47" s="399">
        <v>1</v>
      </c>
      <c r="F47" s="400"/>
      <c r="G47" s="401"/>
      <c r="H47" s="722">
        <f t="shared" ref="H47:H51" si="7">E47*G47</f>
        <v>0</v>
      </c>
      <c r="I47" s="723"/>
      <c r="J47" s="724"/>
      <c r="K47" s="725"/>
      <c r="L47" s="725"/>
      <c r="M47" s="725"/>
      <c r="N47" s="725"/>
      <c r="O47" s="724"/>
      <c r="P47" s="723"/>
    </row>
    <row r="48" spans="2:17" s="420" customFormat="1" ht="11.25" x14ac:dyDescent="0.2">
      <c r="B48" s="1264"/>
      <c r="C48" s="1290"/>
      <c r="D48" s="768"/>
      <c r="E48" s="399">
        <v>1</v>
      </c>
      <c r="F48" s="400"/>
      <c r="G48" s="401"/>
      <c r="H48" s="722">
        <f t="shared" si="7"/>
        <v>0</v>
      </c>
      <c r="I48" s="723"/>
      <c r="J48" s="724"/>
      <c r="K48" s="725"/>
      <c r="L48" s="725"/>
      <c r="M48" s="725"/>
      <c r="N48" s="725"/>
      <c r="O48" s="724"/>
      <c r="P48" s="723"/>
    </row>
    <row r="49" spans="2:17" s="420" customFormat="1" ht="11.25" x14ac:dyDescent="0.2">
      <c r="B49" s="1264"/>
      <c r="C49" s="1290"/>
      <c r="D49" s="768"/>
      <c r="E49" s="399">
        <v>1</v>
      </c>
      <c r="F49" s="400"/>
      <c r="G49" s="401"/>
      <c r="H49" s="722">
        <f t="shared" si="7"/>
        <v>0</v>
      </c>
      <c r="I49" s="723"/>
      <c r="J49" s="724"/>
      <c r="K49" s="725"/>
      <c r="L49" s="725"/>
      <c r="M49" s="725"/>
      <c r="N49" s="725"/>
      <c r="O49" s="724"/>
      <c r="P49" s="723"/>
    </row>
    <row r="50" spans="2:17" s="420" customFormat="1" ht="11.25" x14ac:dyDescent="0.2">
      <c r="B50" s="1264"/>
      <c r="C50" s="1290"/>
      <c r="D50" s="768"/>
      <c r="E50" s="399">
        <v>1</v>
      </c>
      <c r="F50" s="400"/>
      <c r="G50" s="401"/>
      <c r="H50" s="722">
        <f t="shared" si="7"/>
        <v>0</v>
      </c>
      <c r="I50" s="723"/>
      <c r="J50" s="724"/>
      <c r="K50" s="725"/>
      <c r="L50" s="725"/>
      <c r="M50" s="725"/>
      <c r="N50" s="725"/>
      <c r="O50" s="724"/>
      <c r="P50" s="723"/>
    </row>
    <row r="51" spans="2:17" s="420" customFormat="1" ht="11.25" x14ac:dyDescent="0.2">
      <c r="B51" s="1264"/>
      <c r="C51" s="1290"/>
      <c r="D51" s="768" t="s">
        <v>612</v>
      </c>
      <c r="E51" s="399">
        <v>-1</v>
      </c>
      <c r="F51" s="400" t="s">
        <v>576</v>
      </c>
      <c r="G51" s="401">
        <f>SUM(I19,I35)</f>
        <v>0</v>
      </c>
      <c r="H51" s="722">
        <f t="shared" si="7"/>
        <v>0</v>
      </c>
      <c r="I51" s="723"/>
      <c r="J51" s="724"/>
      <c r="K51" s="725"/>
      <c r="L51" s="725"/>
      <c r="M51" s="725"/>
      <c r="N51" s="725"/>
      <c r="O51" s="724"/>
      <c r="P51" s="723"/>
    </row>
    <row r="52" spans="2:17" s="420" customFormat="1" ht="11.25" x14ac:dyDescent="0.2">
      <c r="B52" s="1264"/>
      <c r="C52" s="1290"/>
      <c r="D52" s="768"/>
      <c r="E52" s="399"/>
      <c r="F52" s="400"/>
      <c r="G52" s="401"/>
      <c r="H52" s="722"/>
      <c r="I52" s="723"/>
      <c r="J52" s="724"/>
      <c r="K52" s="725"/>
      <c r="L52" s="725"/>
      <c r="M52" s="725"/>
      <c r="N52" s="725"/>
      <c r="O52" s="724"/>
      <c r="P52" s="723"/>
    </row>
    <row r="53" spans="2:17" s="420" customFormat="1" ht="11.25" x14ac:dyDescent="0.2">
      <c r="B53" s="1264"/>
      <c r="C53" s="1290"/>
      <c r="D53" s="398"/>
      <c r="E53" s="399"/>
      <c r="F53" s="400"/>
      <c r="G53" s="401"/>
      <c r="H53" s="402">
        <f t="shared" ref="H53" si="8">E53*G53</f>
        <v>0</v>
      </c>
      <c r="I53" s="865">
        <f>SUM(H46:H53)</f>
        <v>0</v>
      </c>
      <c r="J53" s="404">
        <f>I53*$J$5</f>
        <v>0</v>
      </c>
      <c r="K53" s="405">
        <f>SUM(I53:J53)*$K$5</f>
        <v>0</v>
      </c>
      <c r="L53" s="405">
        <f>SUM(I53:K53)*$L$5</f>
        <v>0</v>
      </c>
      <c r="M53" s="405">
        <f>SUM(I53:L53)*$M$5</f>
        <v>0</v>
      </c>
      <c r="N53" s="405">
        <f>SUM(I53:M53)*$N$5</f>
        <v>0</v>
      </c>
      <c r="O53" s="406">
        <f>SUM(I53:N53)</f>
        <v>0</v>
      </c>
      <c r="P53" s="403">
        <f>ROUND(O53,-3)</f>
        <v>0</v>
      </c>
      <c r="Q53" s="420" t="s">
        <v>600</v>
      </c>
    </row>
    <row r="54" spans="2:17" s="420" customFormat="1" ht="12" thickBot="1" x14ac:dyDescent="0.25">
      <c r="B54" s="1265"/>
      <c r="C54" s="1291"/>
      <c r="D54" s="407"/>
      <c r="E54" s="408"/>
      <c r="F54" s="409"/>
      <c r="G54" s="410"/>
      <c r="H54" s="411"/>
      <c r="I54" s="412"/>
      <c r="J54" s="413"/>
      <c r="K54" s="414"/>
      <c r="L54" s="414"/>
      <c r="M54" s="414"/>
      <c r="N54" s="414"/>
      <c r="O54" s="413"/>
      <c r="P54" s="412"/>
    </row>
    <row r="55" spans="2:17" s="426" customFormat="1" ht="11.25" x14ac:dyDescent="0.2">
      <c r="B55" s="1304" t="str">
        <f>'Detailed Matrix'!E119</f>
        <v>Overheating Prevention</v>
      </c>
      <c r="C55" s="1307" t="str">
        <f>'Detailed Matrix'!F119</f>
        <v>Stage 04 - Comfortable indoor environment temperatures using the adaptive thermal comfort model under current and extreme future weather conditions with monitoring and verification</v>
      </c>
      <c r="D55" s="528" t="s">
        <v>556</v>
      </c>
      <c r="E55" s="529"/>
      <c r="F55" s="530"/>
      <c r="G55" s="531"/>
      <c r="H55" s="532"/>
      <c r="I55" s="533"/>
      <c r="J55" s="534"/>
      <c r="K55" s="535"/>
      <c r="L55" s="535"/>
      <c r="M55" s="535"/>
      <c r="N55" s="535"/>
      <c r="O55" s="534"/>
      <c r="P55" s="533"/>
    </row>
    <row r="56" spans="2:17" s="426" customFormat="1" ht="11.25" x14ac:dyDescent="0.2">
      <c r="B56" s="1305"/>
      <c r="C56" s="1308"/>
      <c r="D56" s="554"/>
      <c r="E56" s="555">
        <v>1</v>
      </c>
      <c r="F56" s="553"/>
      <c r="G56" s="556"/>
      <c r="H56" s="557">
        <f>E56*G56</f>
        <v>0</v>
      </c>
      <c r="I56" s="558"/>
      <c r="J56" s="559"/>
      <c r="K56" s="560"/>
      <c r="L56" s="560"/>
      <c r="M56" s="560"/>
      <c r="N56" s="560"/>
      <c r="O56" s="559"/>
      <c r="P56" s="558"/>
    </row>
    <row r="57" spans="2:17" s="426" customFormat="1" ht="11.25" x14ac:dyDescent="0.2">
      <c r="B57" s="1305"/>
      <c r="C57" s="1308"/>
      <c r="D57" s="554"/>
      <c r="E57" s="555">
        <v>1</v>
      </c>
      <c r="F57" s="553"/>
      <c r="G57" s="556"/>
      <c r="H57" s="557">
        <f t="shared" ref="H57:H59" si="9">E57*G57</f>
        <v>0</v>
      </c>
      <c r="I57" s="558"/>
      <c r="J57" s="559"/>
      <c r="K57" s="560"/>
      <c r="L57" s="560"/>
      <c r="M57" s="560"/>
      <c r="N57" s="560"/>
      <c r="O57" s="559"/>
      <c r="P57" s="558"/>
    </row>
    <row r="58" spans="2:17" s="426" customFormat="1" ht="11.25" x14ac:dyDescent="0.2">
      <c r="B58" s="1305"/>
      <c r="C58" s="1308"/>
      <c r="D58" s="554"/>
      <c r="E58" s="555">
        <v>1</v>
      </c>
      <c r="F58" s="553"/>
      <c r="G58" s="556"/>
      <c r="H58" s="557">
        <f t="shared" si="9"/>
        <v>0</v>
      </c>
      <c r="I58" s="558"/>
      <c r="J58" s="559"/>
      <c r="K58" s="560"/>
      <c r="L58" s="560"/>
      <c r="M58" s="560"/>
      <c r="N58" s="560"/>
      <c r="O58" s="559"/>
      <c r="P58" s="558"/>
    </row>
    <row r="59" spans="2:17" s="426" customFormat="1" ht="11.25" x14ac:dyDescent="0.2">
      <c r="B59" s="1305"/>
      <c r="C59" s="1308"/>
      <c r="D59" s="554"/>
      <c r="E59" s="555">
        <v>1</v>
      </c>
      <c r="F59" s="553"/>
      <c r="G59" s="556"/>
      <c r="H59" s="557">
        <f t="shared" si="9"/>
        <v>0</v>
      </c>
      <c r="I59" s="558"/>
      <c r="J59" s="559"/>
      <c r="K59" s="560"/>
      <c r="L59" s="560"/>
      <c r="M59" s="560"/>
      <c r="N59" s="560"/>
      <c r="O59" s="559"/>
      <c r="P59" s="558"/>
    </row>
    <row r="60" spans="2:17" s="426" customFormat="1" ht="11.25" x14ac:dyDescent="0.2">
      <c r="B60" s="1305"/>
      <c r="C60" s="1308"/>
      <c r="D60" s="554" t="s">
        <v>613</v>
      </c>
      <c r="E60" s="555">
        <v>-1</v>
      </c>
      <c r="F60" s="553" t="s">
        <v>576</v>
      </c>
      <c r="G60" s="556">
        <f>SUM(I12,I28,I44)</f>
        <v>0</v>
      </c>
      <c r="H60" s="557">
        <f t="shared" ref="H60:H61" si="10">E60*G60</f>
        <v>0</v>
      </c>
      <c r="I60" s="558"/>
      <c r="J60" s="559"/>
      <c r="K60" s="560"/>
      <c r="L60" s="560"/>
      <c r="M60" s="560"/>
      <c r="N60" s="560"/>
      <c r="O60" s="559"/>
      <c r="P60" s="558"/>
    </row>
    <row r="61" spans="2:17" s="426" customFormat="1" ht="11.25" x14ac:dyDescent="0.2">
      <c r="B61" s="1305"/>
      <c r="C61" s="1308"/>
      <c r="D61" s="554" t="s">
        <v>616</v>
      </c>
      <c r="E61" s="555"/>
      <c r="F61" s="553"/>
      <c r="G61" s="556"/>
      <c r="H61" s="557">
        <f t="shared" si="10"/>
        <v>0</v>
      </c>
      <c r="I61" s="875">
        <f>SUM(H55:H61)</f>
        <v>0</v>
      </c>
      <c r="J61" s="559">
        <f>I61*$J$5</f>
        <v>0</v>
      </c>
      <c r="K61" s="560">
        <f>SUM(I61:J61)*$K$5</f>
        <v>0</v>
      </c>
      <c r="L61" s="560">
        <f>SUM(I61:K61)*$L$5</f>
        <v>0</v>
      </c>
      <c r="M61" s="560">
        <f>SUM(I61:L61)*$M$5</f>
        <v>0</v>
      </c>
      <c r="N61" s="560">
        <f>SUM(I61:M61)*$N$5</f>
        <v>0</v>
      </c>
      <c r="O61" s="559">
        <f>SUM(I61:N61)</f>
        <v>0</v>
      </c>
      <c r="P61" s="558">
        <f>ROUND(O61,-3)</f>
        <v>0</v>
      </c>
      <c r="Q61" s="426" t="s">
        <v>600</v>
      </c>
    </row>
    <row r="62" spans="2:17" s="426" customFormat="1" ht="11.25" x14ac:dyDescent="0.2">
      <c r="B62" s="1305"/>
      <c r="C62" s="1308"/>
      <c r="D62" s="554"/>
      <c r="E62" s="555"/>
      <c r="F62" s="553"/>
      <c r="G62" s="556"/>
      <c r="H62" s="557"/>
      <c r="I62" s="558"/>
      <c r="J62" s="559"/>
      <c r="K62" s="560"/>
      <c r="L62" s="560"/>
      <c r="M62" s="560"/>
      <c r="N62" s="560"/>
      <c r="O62" s="559"/>
      <c r="P62" s="558"/>
    </row>
    <row r="63" spans="2:17" s="426" customFormat="1" ht="11.25" x14ac:dyDescent="0.2">
      <c r="B63" s="1305"/>
      <c r="C63" s="1308"/>
      <c r="D63" s="554" t="s">
        <v>557</v>
      </c>
      <c r="E63" s="555"/>
      <c r="F63" s="553"/>
      <c r="G63" s="556"/>
      <c r="H63" s="557"/>
      <c r="I63" s="558"/>
      <c r="J63" s="559"/>
      <c r="K63" s="560"/>
      <c r="L63" s="560"/>
      <c r="M63" s="560"/>
      <c r="N63" s="560"/>
      <c r="O63" s="559"/>
      <c r="P63" s="558"/>
    </row>
    <row r="64" spans="2:17" s="426" customFormat="1" ht="11.25" x14ac:dyDescent="0.2">
      <c r="B64" s="1305"/>
      <c r="C64" s="1308"/>
      <c r="D64" s="554"/>
      <c r="E64" s="555">
        <v>1</v>
      </c>
      <c r="F64" s="553"/>
      <c r="G64" s="556"/>
      <c r="H64" s="557">
        <f t="shared" ref="H64:H69" si="11">E64*G64</f>
        <v>0</v>
      </c>
      <c r="I64" s="558"/>
      <c r="J64" s="559"/>
      <c r="K64" s="560"/>
      <c r="L64" s="560"/>
      <c r="M64" s="560"/>
      <c r="N64" s="560"/>
      <c r="O64" s="559"/>
      <c r="P64" s="558"/>
    </row>
    <row r="65" spans="2:17" s="426" customFormat="1" ht="11.25" x14ac:dyDescent="0.2">
      <c r="B65" s="1305"/>
      <c r="C65" s="1308"/>
      <c r="D65" s="554"/>
      <c r="E65" s="555">
        <v>1</v>
      </c>
      <c r="F65" s="553"/>
      <c r="G65" s="556"/>
      <c r="H65" s="557">
        <f t="shared" si="11"/>
        <v>0</v>
      </c>
      <c r="I65" s="558"/>
      <c r="J65" s="559"/>
      <c r="K65" s="560"/>
      <c r="L65" s="560"/>
      <c r="M65" s="560"/>
      <c r="N65" s="560"/>
      <c r="O65" s="559"/>
      <c r="P65" s="558"/>
    </row>
    <row r="66" spans="2:17" s="426" customFormat="1" ht="11.25" x14ac:dyDescent="0.2">
      <c r="B66" s="1305"/>
      <c r="C66" s="1308"/>
      <c r="D66" s="554"/>
      <c r="E66" s="555">
        <v>1</v>
      </c>
      <c r="F66" s="553"/>
      <c r="G66" s="556"/>
      <c r="H66" s="557">
        <f t="shared" si="11"/>
        <v>0</v>
      </c>
      <c r="I66" s="558"/>
      <c r="J66" s="559"/>
      <c r="K66" s="560"/>
      <c r="L66" s="560"/>
      <c r="M66" s="560"/>
      <c r="N66" s="560"/>
      <c r="O66" s="559"/>
      <c r="P66" s="558"/>
    </row>
    <row r="67" spans="2:17" s="426" customFormat="1" ht="11.25" x14ac:dyDescent="0.2">
      <c r="B67" s="1305"/>
      <c r="C67" s="1308"/>
      <c r="D67" s="554"/>
      <c r="E67" s="555">
        <v>1</v>
      </c>
      <c r="F67" s="553"/>
      <c r="G67" s="556"/>
      <c r="H67" s="557">
        <f t="shared" si="11"/>
        <v>0</v>
      </c>
      <c r="I67" s="558"/>
      <c r="J67" s="559"/>
      <c r="K67" s="560"/>
      <c r="L67" s="560"/>
      <c r="M67" s="560"/>
      <c r="N67" s="560"/>
      <c r="O67" s="559"/>
      <c r="P67" s="558"/>
    </row>
    <row r="68" spans="2:17" s="426" customFormat="1" ht="11.25" x14ac:dyDescent="0.2">
      <c r="B68" s="1305"/>
      <c r="C68" s="1308"/>
      <c r="D68" s="554" t="s">
        <v>613</v>
      </c>
      <c r="E68" s="555">
        <v>-1</v>
      </c>
      <c r="F68" s="553" t="s">
        <v>576</v>
      </c>
      <c r="G68" s="556">
        <f>SUM(I19,I35,I53)</f>
        <v>0</v>
      </c>
      <c r="H68" s="557">
        <f t="shared" si="11"/>
        <v>0</v>
      </c>
      <c r="I68" s="558"/>
      <c r="J68" s="559"/>
      <c r="K68" s="560"/>
      <c r="L68" s="560"/>
      <c r="M68" s="560"/>
      <c r="N68" s="560"/>
      <c r="O68" s="559"/>
      <c r="P68" s="558"/>
    </row>
    <row r="69" spans="2:17" s="426" customFormat="1" ht="11.25" x14ac:dyDescent="0.2">
      <c r="B69" s="1305"/>
      <c r="C69" s="1308"/>
      <c r="D69" s="554" t="s">
        <v>616</v>
      </c>
      <c r="E69" s="555"/>
      <c r="F69" s="553"/>
      <c r="G69" s="556"/>
      <c r="H69" s="557">
        <f t="shared" si="11"/>
        <v>0</v>
      </c>
      <c r="I69" s="905">
        <f>SUM(H63:H69)</f>
        <v>0</v>
      </c>
      <c r="J69" s="559">
        <f>I69*$J$5</f>
        <v>0</v>
      </c>
      <c r="K69" s="560">
        <f>SUM(I69:J69)*$K$5</f>
        <v>0</v>
      </c>
      <c r="L69" s="560">
        <f>SUM(I69:K69)*$L$5</f>
        <v>0</v>
      </c>
      <c r="M69" s="560">
        <f>SUM(I69:L69)*$M$5</f>
        <v>0</v>
      </c>
      <c r="N69" s="560">
        <f>SUM(I69:M69)*$N$5</f>
        <v>0</v>
      </c>
      <c r="O69" s="559">
        <f>SUM(I69:N69)</f>
        <v>0</v>
      </c>
      <c r="P69" s="558">
        <f>ROUND(O69,-3)</f>
        <v>0</v>
      </c>
      <c r="Q69" s="426" t="s">
        <v>600</v>
      </c>
    </row>
    <row r="70" spans="2:17" s="426" customFormat="1" ht="12" thickBot="1" x14ac:dyDescent="0.25">
      <c r="B70" s="1305"/>
      <c r="C70" s="1308"/>
      <c r="D70" s="554"/>
      <c r="E70" s="555"/>
      <c r="F70" s="553"/>
      <c r="G70" s="556"/>
      <c r="H70" s="557"/>
      <c r="I70" s="558"/>
      <c r="J70" s="559"/>
      <c r="K70" s="560"/>
      <c r="L70" s="560"/>
      <c r="M70" s="560"/>
      <c r="N70" s="560"/>
      <c r="O70" s="559"/>
      <c r="P70" s="558"/>
    </row>
    <row r="71" spans="2:17" s="420" customFormat="1" ht="11.25" x14ac:dyDescent="0.2">
      <c r="B71" s="1304" t="str">
        <f>'Detailed Matrix'!E120</f>
        <v>Overheating Prevention</v>
      </c>
      <c r="C71" s="1307" t="str">
        <f>'Detailed Matrix'!F120</f>
        <v>Stage 05 - Comfortable indoor environment temperatures using the adaptive thermal comfort model  without the requirements for active cooling</v>
      </c>
      <c r="D71" s="528" t="s">
        <v>556</v>
      </c>
      <c r="E71" s="529"/>
      <c r="F71" s="530"/>
      <c r="G71" s="531"/>
      <c r="H71" s="532"/>
      <c r="I71" s="533"/>
      <c r="J71" s="534"/>
      <c r="K71" s="535"/>
      <c r="L71" s="535"/>
      <c r="M71" s="535"/>
      <c r="N71" s="535"/>
      <c r="O71" s="534"/>
      <c r="P71" s="533"/>
    </row>
    <row r="72" spans="2:17" s="420" customFormat="1" ht="11.25" x14ac:dyDescent="0.2">
      <c r="B72" s="1305"/>
      <c r="C72" s="1308"/>
      <c r="D72" s="554"/>
      <c r="E72" s="555">
        <v>1</v>
      </c>
      <c r="F72" s="553"/>
      <c r="G72" s="556"/>
      <c r="H72" s="557">
        <f>E72*G72</f>
        <v>0</v>
      </c>
      <c r="I72" s="558"/>
      <c r="J72" s="559"/>
      <c r="K72" s="560"/>
      <c r="L72" s="560"/>
      <c r="M72" s="560"/>
      <c r="N72" s="560"/>
      <c r="O72" s="559"/>
      <c r="P72" s="558"/>
    </row>
    <row r="73" spans="2:17" s="420" customFormat="1" ht="11.25" x14ac:dyDescent="0.2">
      <c r="B73" s="1305"/>
      <c r="C73" s="1308"/>
      <c r="D73" s="554"/>
      <c r="E73" s="555">
        <v>1</v>
      </c>
      <c r="F73" s="553"/>
      <c r="G73" s="556"/>
      <c r="H73" s="557">
        <f t="shared" ref="H73:H77" si="12">E73*G73</f>
        <v>0</v>
      </c>
      <c r="I73" s="558"/>
      <c r="J73" s="559"/>
      <c r="K73" s="560"/>
      <c r="L73" s="560"/>
      <c r="M73" s="560"/>
      <c r="N73" s="560"/>
      <c r="O73" s="559"/>
      <c r="P73" s="558"/>
    </row>
    <row r="74" spans="2:17" s="420" customFormat="1" ht="11.25" x14ac:dyDescent="0.2">
      <c r="B74" s="1305"/>
      <c r="C74" s="1308"/>
      <c r="D74" s="554"/>
      <c r="E74" s="555">
        <v>1</v>
      </c>
      <c r="F74" s="553"/>
      <c r="G74" s="556"/>
      <c r="H74" s="557">
        <f t="shared" si="12"/>
        <v>0</v>
      </c>
      <c r="I74" s="558"/>
      <c r="J74" s="559"/>
      <c r="K74" s="560"/>
      <c r="L74" s="560"/>
      <c r="M74" s="560"/>
      <c r="N74" s="560"/>
      <c r="O74" s="559"/>
      <c r="P74" s="558"/>
    </row>
    <row r="75" spans="2:17" s="420" customFormat="1" ht="11.25" x14ac:dyDescent="0.2">
      <c r="B75" s="1305"/>
      <c r="C75" s="1308"/>
      <c r="D75" s="554"/>
      <c r="E75" s="555">
        <v>1</v>
      </c>
      <c r="F75" s="553"/>
      <c r="G75" s="556"/>
      <c r="H75" s="557">
        <f t="shared" si="12"/>
        <v>0</v>
      </c>
      <c r="I75" s="558"/>
      <c r="J75" s="559"/>
      <c r="K75" s="560"/>
      <c r="L75" s="560"/>
      <c r="M75" s="560"/>
      <c r="N75" s="560"/>
      <c r="O75" s="559"/>
      <c r="P75" s="558"/>
    </row>
    <row r="76" spans="2:17" s="420" customFormat="1" ht="11.25" x14ac:dyDescent="0.2">
      <c r="B76" s="1305"/>
      <c r="C76" s="1308"/>
      <c r="D76" s="554" t="s">
        <v>617</v>
      </c>
      <c r="E76" s="555">
        <v>-1</v>
      </c>
      <c r="F76" s="553" t="s">
        <v>576</v>
      </c>
      <c r="G76" s="556">
        <f>SUM(I12,I28,I44,I61)</f>
        <v>0</v>
      </c>
      <c r="H76" s="557">
        <f t="shared" si="12"/>
        <v>0</v>
      </c>
      <c r="I76" s="558"/>
      <c r="J76" s="559"/>
      <c r="K76" s="560"/>
      <c r="L76" s="560"/>
      <c r="M76" s="560"/>
      <c r="N76" s="560"/>
      <c r="O76" s="559"/>
      <c r="P76" s="558"/>
    </row>
    <row r="77" spans="2:17" s="420" customFormat="1" ht="11.25" x14ac:dyDescent="0.2">
      <c r="B77" s="1305"/>
      <c r="C77" s="1308"/>
      <c r="D77" s="554" t="s">
        <v>618</v>
      </c>
      <c r="E77" s="555"/>
      <c r="F77" s="553"/>
      <c r="G77" s="556"/>
      <c r="H77" s="557">
        <f t="shared" si="12"/>
        <v>0</v>
      </c>
      <c r="I77" s="875">
        <f>SUM(H71:H77)</f>
        <v>0</v>
      </c>
      <c r="J77" s="559">
        <f>I77*$J$5</f>
        <v>0</v>
      </c>
      <c r="K77" s="560">
        <f>SUM(I77:J77)*$K$5</f>
        <v>0</v>
      </c>
      <c r="L77" s="560">
        <f>SUM(I77:K77)*$L$5</f>
        <v>0</v>
      </c>
      <c r="M77" s="560">
        <f>SUM(I77:L77)*$M$5</f>
        <v>0</v>
      </c>
      <c r="N77" s="560">
        <f>SUM(I77:M77)*$N$5</f>
        <v>0</v>
      </c>
      <c r="O77" s="559">
        <f>SUM(I77:N77)</f>
        <v>0</v>
      </c>
      <c r="P77" s="558">
        <f>ROUND(O77,-3)</f>
        <v>0</v>
      </c>
      <c r="Q77" s="420" t="s">
        <v>600</v>
      </c>
    </row>
    <row r="78" spans="2:17" s="420" customFormat="1" ht="11.25" x14ac:dyDescent="0.2">
      <c r="B78" s="1305"/>
      <c r="C78" s="1308"/>
      <c r="D78" s="554"/>
      <c r="E78" s="555"/>
      <c r="F78" s="553"/>
      <c r="G78" s="556"/>
      <c r="H78" s="557"/>
      <c r="I78" s="558"/>
      <c r="J78" s="559"/>
      <c r="K78" s="560"/>
      <c r="L78" s="560"/>
      <c r="M78" s="560"/>
      <c r="N78" s="560"/>
      <c r="O78" s="559"/>
      <c r="P78" s="558"/>
    </row>
    <row r="79" spans="2:17" s="420" customFormat="1" ht="11.25" x14ac:dyDescent="0.2">
      <c r="B79" s="1305"/>
      <c r="C79" s="1308"/>
      <c r="D79" s="554" t="s">
        <v>557</v>
      </c>
      <c r="E79" s="555"/>
      <c r="F79" s="553"/>
      <c r="G79" s="556"/>
      <c r="H79" s="557"/>
      <c r="I79" s="558"/>
      <c r="J79" s="559"/>
      <c r="K79" s="560"/>
      <c r="L79" s="560"/>
      <c r="M79" s="560"/>
      <c r="N79" s="560"/>
      <c r="O79" s="559"/>
      <c r="P79" s="558"/>
    </row>
    <row r="80" spans="2:17" s="420" customFormat="1" ht="11.25" x14ac:dyDescent="0.2">
      <c r="B80" s="1305"/>
      <c r="C80" s="1308"/>
      <c r="D80" s="554"/>
      <c r="E80" s="555">
        <v>1</v>
      </c>
      <c r="F80" s="553"/>
      <c r="G80" s="556"/>
      <c r="H80" s="557">
        <f t="shared" ref="H80:H85" si="13">E80*G80</f>
        <v>0</v>
      </c>
      <c r="I80" s="558"/>
      <c r="J80" s="559"/>
      <c r="K80" s="560"/>
      <c r="L80" s="560"/>
      <c r="M80" s="560"/>
      <c r="N80" s="560"/>
      <c r="O80" s="559"/>
      <c r="P80" s="558"/>
    </row>
    <row r="81" spans="2:17" s="420" customFormat="1" ht="11.25" x14ac:dyDescent="0.2">
      <c r="B81" s="1305"/>
      <c r="C81" s="1308"/>
      <c r="D81" s="554"/>
      <c r="E81" s="555">
        <v>1</v>
      </c>
      <c r="F81" s="553"/>
      <c r="G81" s="556"/>
      <c r="H81" s="557">
        <f t="shared" si="13"/>
        <v>0</v>
      </c>
      <c r="I81" s="558"/>
      <c r="J81" s="559"/>
      <c r="K81" s="560"/>
      <c r="L81" s="560"/>
      <c r="M81" s="560"/>
      <c r="N81" s="560"/>
      <c r="O81" s="559"/>
      <c r="P81" s="558"/>
    </row>
    <row r="82" spans="2:17" s="420" customFormat="1" ht="11.25" x14ac:dyDescent="0.2">
      <c r="B82" s="1305"/>
      <c r="C82" s="1308"/>
      <c r="D82" s="554"/>
      <c r="E82" s="555">
        <v>1</v>
      </c>
      <c r="F82" s="553"/>
      <c r="G82" s="556"/>
      <c r="H82" s="557">
        <f t="shared" si="13"/>
        <v>0</v>
      </c>
      <c r="I82" s="558"/>
      <c r="J82" s="559"/>
      <c r="K82" s="560"/>
      <c r="L82" s="560"/>
      <c r="M82" s="560"/>
      <c r="N82" s="560"/>
      <c r="O82" s="559"/>
      <c r="P82" s="558"/>
    </row>
    <row r="83" spans="2:17" s="420" customFormat="1" ht="11.25" x14ac:dyDescent="0.2">
      <c r="B83" s="1305"/>
      <c r="C83" s="1308"/>
      <c r="D83" s="554"/>
      <c r="E83" s="555">
        <v>1</v>
      </c>
      <c r="F83" s="553"/>
      <c r="G83" s="556"/>
      <c r="H83" s="557">
        <f t="shared" si="13"/>
        <v>0</v>
      </c>
      <c r="I83" s="558"/>
      <c r="J83" s="559"/>
      <c r="K83" s="560"/>
      <c r="L83" s="560"/>
      <c r="M83" s="560"/>
      <c r="N83" s="560"/>
      <c r="O83" s="559"/>
      <c r="P83" s="558"/>
    </row>
    <row r="84" spans="2:17" s="420" customFormat="1" ht="11.25" x14ac:dyDescent="0.2">
      <c r="B84" s="1305"/>
      <c r="C84" s="1308"/>
      <c r="D84" s="554" t="s">
        <v>617</v>
      </c>
      <c r="E84" s="555">
        <v>-1</v>
      </c>
      <c r="F84" s="553" t="s">
        <v>576</v>
      </c>
      <c r="G84" s="556">
        <f>SUM(I19,I35,I53,I69)</f>
        <v>0</v>
      </c>
      <c r="H84" s="557">
        <f t="shared" si="13"/>
        <v>0</v>
      </c>
      <c r="I84" s="558"/>
      <c r="J84" s="559"/>
      <c r="K84" s="560"/>
      <c r="L84" s="560"/>
      <c r="M84" s="560"/>
      <c r="N84" s="560"/>
      <c r="O84" s="559"/>
      <c r="P84" s="558"/>
    </row>
    <row r="85" spans="2:17" s="420" customFormat="1" ht="11.25" x14ac:dyDescent="0.2">
      <c r="B85" s="1305"/>
      <c r="C85" s="1308"/>
      <c r="D85" s="554" t="s">
        <v>618</v>
      </c>
      <c r="E85" s="555"/>
      <c r="F85" s="553"/>
      <c r="G85" s="556"/>
      <c r="H85" s="557">
        <f t="shared" si="13"/>
        <v>0</v>
      </c>
      <c r="I85" s="905">
        <f>SUM(H79:H85)</f>
        <v>0</v>
      </c>
      <c r="J85" s="559">
        <f>I85*$J$5</f>
        <v>0</v>
      </c>
      <c r="K85" s="560">
        <f>SUM(I85:J85)*$K$5</f>
        <v>0</v>
      </c>
      <c r="L85" s="560">
        <f>SUM(I85:K85)*$L$5</f>
        <v>0</v>
      </c>
      <c r="M85" s="560">
        <f>SUM(I85:L85)*$M$5</f>
        <v>0</v>
      </c>
      <c r="N85" s="560">
        <f>SUM(I85:M85)*$N$5</f>
        <v>0</v>
      </c>
      <c r="O85" s="559">
        <f>SUM(I85:N85)</f>
        <v>0</v>
      </c>
      <c r="P85" s="558">
        <f>ROUND(O85,-3)</f>
        <v>0</v>
      </c>
      <c r="Q85" s="420" t="s">
        <v>600</v>
      </c>
    </row>
    <row r="86" spans="2:17" s="420" customFormat="1" ht="12" thickBot="1" x14ac:dyDescent="0.25">
      <c r="B86" s="1306"/>
      <c r="C86" s="1309"/>
      <c r="D86" s="545"/>
      <c r="E86" s="546"/>
      <c r="F86" s="547"/>
      <c r="G86" s="548"/>
      <c r="H86" s="549"/>
      <c r="I86" s="550"/>
      <c r="J86" s="551"/>
      <c r="K86" s="552"/>
      <c r="L86" s="552"/>
      <c r="M86" s="552"/>
      <c r="N86" s="552"/>
      <c r="O86" s="551"/>
      <c r="P86" s="550"/>
    </row>
    <row r="87" spans="2:17" s="420" customFormat="1" ht="11.25" x14ac:dyDescent="0.2">
      <c r="B87" s="1304" t="str">
        <f>'Detailed Matrix'!E121</f>
        <v>Controls</v>
      </c>
      <c r="C87" s="1307" t="str">
        <f>'Detailed Matrix'!F121</f>
        <v>Stage 01 - Thermal Zoning and controls appropriate for intended use case</v>
      </c>
      <c r="D87" s="536" t="s">
        <v>556</v>
      </c>
      <c r="E87" s="537">
        <v>1</v>
      </c>
      <c r="F87" s="538"/>
      <c r="G87" s="539"/>
      <c r="H87" s="540">
        <f t="shared" ref="H87:H92" si="14">E87*G87</f>
        <v>0</v>
      </c>
      <c r="I87" s="541"/>
      <c r="J87" s="542"/>
      <c r="K87" s="543"/>
      <c r="L87" s="543"/>
      <c r="M87" s="543"/>
      <c r="N87" s="543"/>
      <c r="O87" s="544"/>
      <c r="P87" s="541"/>
    </row>
    <row r="88" spans="2:17" s="420" customFormat="1" ht="11.25" x14ac:dyDescent="0.2">
      <c r="B88" s="1305"/>
      <c r="C88" s="1308"/>
      <c r="D88" s="536"/>
      <c r="E88" s="537">
        <v>1</v>
      </c>
      <c r="F88" s="538"/>
      <c r="G88" s="539"/>
      <c r="H88" s="540">
        <f t="shared" si="14"/>
        <v>0</v>
      </c>
      <c r="I88" s="541"/>
      <c r="J88" s="542"/>
      <c r="K88" s="543"/>
      <c r="L88" s="543"/>
      <c r="M88" s="543"/>
      <c r="N88" s="543"/>
      <c r="O88" s="544"/>
      <c r="P88" s="541"/>
    </row>
    <row r="89" spans="2:17" s="420" customFormat="1" ht="11.25" x14ac:dyDescent="0.2">
      <c r="B89" s="1305"/>
      <c r="C89" s="1308"/>
      <c r="D89" s="536"/>
      <c r="E89" s="537">
        <v>1</v>
      </c>
      <c r="F89" s="538"/>
      <c r="G89" s="539"/>
      <c r="H89" s="540">
        <f t="shared" si="14"/>
        <v>0</v>
      </c>
      <c r="I89" s="541"/>
      <c r="J89" s="542"/>
      <c r="K89" s="543"/>
      <c r="L89" s="543"/>
      <c r="M89" s="543"/>
      <c r="N89" s="543"/>
      <c r="O89" s="544"/>
      <c r="P89" s="541"/>
    </row>
    <row r="90" spans="2:17" s="420" customFormat="1" ht="11.25" x14ac:dyDescent="0.2">
      <c r="B90" s="1305"/>
      <c r="C90" s="1308"/>
      <c r="D90" s="536"/>
      <c r="E90" s="537">
        <v>1</v>
      </c>
      <c r="F90" s="538"/>
      <c r="G90" s="539"/>
      <c r="H90" s="540">
        <f t="shared" si="14"/>
        <v>0</v>
      </c>
      <c r="I90" s="541"/>
      <c r="J90" s="542"/>
      <c r="K90" s="543"/>
      <c r="L90" s="543"/>
      <c r="M90" s="543"/>
      <c r="N90" s="543"/>
      <c r="O90" s="544"/>
      <c r="P90" s="541"/>
    </row>
    <row r="91" spans="2:17" s="420" customFormat="1" ht="11.25" x14ac:dyDescent="0.2">
      <c r="B91" s="1305"/>
      <c r="C91" s="1308"/>
      <c r="D91" s="536"/>
      <c r="E91" s="537">
        <v>1</v>
      </c>
      <c r="F91" s="538"/>
      <c r="G91" s="539"/>
      <c r="H91" s="540">
        <f t="shared" si="14"/>
        <v>0</v>
      </c>
      <c r="I91" s="541"/>
      <c r="J91" s="542"/>
      <c r="K91" s="543"/>
      <c r="L91" s="543"/>
      <c r="M91" s="543"/>
      <c r="N91" s="543"/>
      <c r="O91" s="544"/>
      <c r="P91" s="541"/>
    </row>
    <row r="92" spans="2:17" s="420" customFormat="1" ht="11.25" x14ac:dyDescent="0.2">
      <c r="B92" s="1305"/>
      <c r="C92" s="1308"/>
      <c r="D92" s="536"/>
      <c r="E92" s="537">
        <v>1</v>
      </c>
      <c r="F92" s="538"/>
      <c r="G92" s="539"/>
      <c r="H92" s="540">
        <f t="shared" si="14"/>
        <v>0</v>
      </c>
      <c r="I92" s="541"/>
      <c r="J92" s="542"/>
      <c r="K92" s="543"/>
      <c r="L92" s="543"/>
      <c r="M92" s="543"/>
      <c r="N92" s="543"/>
      <c r="O92" s="544"/>
      <c r="P92" s="541"/>
    </row>
    <row r="93" spans="2:17" s="420" customFormat="1" ht="11.25" x14ac:dyDescent="0.2">
      <c r="B93" s="1305"/>
      <c r="C93" s="1308"/>
      <c r="D93" s="536" t="s">
        <v>619</v>
      </c>
      <c r="E93" s="537"/>
      <c r="F93" s="538"/>
      <c r="G93" s="539"/>
      <c r="H93" s="540">
        <f t="shared" ref="H93" si="15">E93*G93</f>
        <v>0</v>
      </c>
      <c r="I93" s="541">
        <f>SUM(H87:H93)</f>
        <v>0</v>
      </c>
      <c r="J93" s="542">
        <f>I93*$J$5</f>
        <v>0</v>
      </c>
      <c r="K93" s="543">
        <f>SUM(I93:J93)*$K$5</f>
        <v>0</v>
      </c>
      <c r="L93" s="543">
        <f>SUM(I93:K93)*$L$5</f>
        <v>0</v>
      </c>
      <c r="M93" s="543">
        <f>SUM(I93:L93)*$M$5</f>
        <v>0</v>
      </c>
      <c r="N93" s="543">
        <f>SUM(I93:M93)*$N$5</f>
        <v>0</v>
      </c>
      <c r="O93" s="544">
        <f>SUM(I93:N93)</f>
        <v>0</v>
      </c>
      <c r="P93" s="541">
        <f>ROUND(O93,-3)</f>
        <v>0</v>
      </c>
      <c r="Q93" s="420" t="s">
        <v>600</v>
      </c>
    </row>
    <row r="94" spans="2:17" s="420" customFormat="1" ht="11.25" x14ac:dyDescent="0.2">
      <c r="B94" s="1305"/>
      <c r="C94" s="1308"/>
      <c r="D94" s="536"/>
      <c r="E94" s="537"/>
      <c r="F94" s="538"/>
      <c r="G94" s="539"/>
      <c r="H94" s="540"/>
      <c r="I94" s="541"/>
      <c r="J94" s="542"/>
      <c r="K94" s="543"/>
      <c r="L94" s="543"/>
      <c r="M94" s="543"/>
      <c r="N94" s="543"/>
      <c r="O94" s="544"/>
      <c r="P94" s="541"/>
    </row>
    <row r="95" spans="2:17" s="420" customFormat="1" ht="11.25" x14ac:dyDescent="0.2">
      <c r="B95" s="1305"/>
      <c r="C95" s="1308"/>
      <c r="D95" s="536" t="s">
        <v>557</v>
      </c>
      <c r="E95" s="537">
        <v>1</v>
      </c>
      <c r="F95" s="538"/>
      <c r="G95" s="539"/>
      <c r="H95" s="540">
        <f>E95*G95</f>
        <v>0</v>
      </c>
      <c r="I95" s="541"/>
      <c r="J95" s="542"/>
      <c r="K95" s="543"/>
      <c r="L95" s="543"/>
      <c r="M95" s="543"/>
      <c r="N95" s="543"/>
      <c r="O95" s="544"/>
      <c r="P95" s="541"/>
    </row>
    <row r="96" spans="2:17" s="420" customFormat="1" ht="11.25" x14ac:dyDescent="0.2">
      <c r="B96" s="1305"/>
      <c r="C96" s="1308"/>
      <c r="D96" s="536"/>
      <c r="E96" s="537">
        <v>1</v>
      </c>
      <c r="F96" s="538"/>
      <c r="G96" s="539"/>
      <c r="H96" s="540">
        <f>E96*G96</f>
        <v>0</v>
      </c>
      <c r="I96" s="541"/>
      <c r="J96" s="542"/>
      <c r="K96" s="543"/>
      <c r="L96" s="543"/>
      <c r="M96" s="543"/>
      <c r="N96" s="543"/>
      <c r="O96" s="544"/>
      <c r="P96" s="541"/>
    </row>
    <row r="97" spans="2:17" s="420" customFormat="1" ht="11.25" x14ac:dyDescent="0.2">
      <c r="B97" s="1305"/>
      <c r="C97" s="1308"/>
      <c r="D97" s="536"/>
      <c r="E97" s="537">
        <v>1</v>
      </c>
      <c r="F97" s="538"/>
      <c r="G97" s="539"/>
      <c r="H97" s="540">
        <f>E97*G97</f>
        <v>0</v>
      </c>
      <c r="I97" s="541"/>
      <c r="J97" s="542"/>
      <c r="K97" s="543"/>
      <c r="L97" s="543"/>
      <c r="M97" s="543"/>
      <c r="N97" s="543"/>
      <c r="O97" s="544"/>
      <c r="P97" s="541"/>
    </row>
    <row r="98" spans="2:17" s="420" customFormat="1" ht="11.25" x14ac:dyDescent="0.2">
      <c r="B98" s="1305"/>
      <c r="C98" s="1308"/>
      <c r="D98" s="536"/>
      <c r="E98" s="537">
        <v>1</v>
      </c>
      <c r="F98" s="538"/>
      <c r="G98" s="539"/>
      <c r="H98" s="540">
        <f>E98*G98</f>
        <v>0</v>
      </c>
      <c r="I98" s="541"/>
      <c r="J98" s="542"/>
      <c r="K98" s="543"/>
      <c r="L98" s="543"/>
      <c r="M98" s="543"/>
      <c r="N98" s="543"/>
      <c r="O98" s="544"/>
      <c r="P98" s="541"/>
    </row>
    <row r="99" spans="2:17" s="420" customFormat="1" ht="11.25" x14ac:dyDescent="0.2">
      <c r="B99" s="1305"/>
      <c r="C99" s="1308"/>
      <c r="D99" s="536"/>
      <c r="E99" s="537">
        <v>1</v>
      </c>
      <c r="F99" s="538"/>
      <c r="G99" s="539"/>
      <c r="H99" s="540">
        <f>E99*G99</f>
        <v>0</v>
      </c>
      <c r="I99" s="541"/>
      <c r="J99" s="542"/>
      <c r="K99" s="543"/>
      <c r="L99" s="543"/>
      <c r="M99" s="543"/>
      <c r="N99" s="543"/>
      <c r="O99" s="544"/>
      <c r="P99" s="541"/>
    </row>
    <row r="100" spans="2:17" s="420" customFormat="1" ht="11.25" x14ac:dyDescent="0.2">
      <c r="B100" s="1305"/>
      <c r="C100" s="1308"/>
      <c r="D100" s="536" t="s">
        <v>619</v>
      </c>
      <c r="E100" s="537">
        <v>1</v>
      </c>
      <c r="F100" s="538"/>
      <c r="G100" s="539"/>
      <c r="H100" s="540">
        <f t="shared" ref="H100" si="16">E100*G100</f>
        <v>0</v>
      </c>
      <c r="I100" s="541">
        <f>SUM(H94:H100)</f>
        <v>0</v>
      </c>
      <c r="J100" s="542">
        <f>I100*$J$5</f>
        <v>0</v>
      </c>
      <c r="K100" s="543">
        <f>SUM(I100:J100)*$K$5</f>
        <v>0</v>
      </c>
      <c r="L100" s="543">
        <f>SUM(I100:K100)*$L$5</f>
        <v>0</v>
      </c>
      <c r="M100" s="543">
        <f>SUM(I100:L100)*$M$5</f>
        <v>0</v>
      </c>
      <c r="N100" s="543">
        <f>SUM(I100:M100)*$N$5</f>
        <v>0</v>
      </c>
      <c r="O100" s="544">
        <f>SUM(I100:N100)</f>
        <v>0</v>
      </c>
      <c r="P100" s="541">
        <f>ROUND(O100,-3)</f>
        <v>0</v>
      </c>
      <c r="Q100" s="420" t="s">
        <v>600</v>
      </c>
    </row>
    <row r="101" spans="2:17" s="420" customFormat="1" ht="12" thickBot="1" x14ac:dyDescent="0.25">
      <c r="B101" s="1306"/>
      <c r="C101" s="1309"/>
      <c r="D101" s="545"/>
      <c r="E101" s="546"/>
      <c r="F101" s="547"/>
      <c r="G101" s="548"/>
      <c r="H101" s="549"/>
      <c r="I101" s="550"/>
      <c r="J101" s="561"/>
      <c r="K101" s="562"/>
      <c r="L101" s="562"/>
      <c r="M101" s="562"/>
      <c r="N101" s="562"/>
      <c r="O101" s="551"/>
      <c r="P101" s="550"/>
    </row>
  </sheetData>
  <mergeCells count="13">
    <mergeCell ref="B2:P3"/>
    <mergeCell ref="B55:B70"/>
    <mergeCell ref="C55:C70"/>
    <mergeCell ref="B71:B86"/>
    <mergeCell ref="C71:C86"/>
    <mergeCell ref="B87:B101"/>
    <mergeCell ref="C87:C101"/>
    <mergeCell ref="B6:B20"/>
    <mergeCell ref="C6:C20"/>
    <mergeCell ref="B21:B36"/>
    <mergeCell ref="C21:C36"/>
    <mergeCell ref="B37:B54"/>
    <mergeCell ref="C37:C5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CAB32-C25F-4C82-8A3E-2A09DE42FB76}">
  <sheetPr>
    <tabColor theme="5" tint="0.59999389629810485"/>
  </sheetPr>
  <dimension ref="B2:Q191"/>
  <sheetViews>
    <sheetView topLeftCell="D1" zoomScale="130" zoomScaleNormal="130" workbookViewId="0">
      <selection activeCell="C177" sqref="C177:C191"/>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Personal Safety</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1.25" customHeight="1" x14ac:dyDescent="0.2">
      <c r="B6" s="1240" t="str">
        <f>'Detailed Matrix'!E151</f>
        <v>Material Specification to prevent harm to occupants</v>
      </c>
      <c r="C6" s="1310" t="str">
        <f>'Detailed Matrix'!F151</f>
        <v>Reduce potential for slipping, sharp edges, breaking.</v>
      </c>
      <c r="D6" s="492" t="s">
        <v>556</v>
      </c>
      <c r="E6" s="493">
        <v>1</v>
      </c>
      <c r="F6" s="494"/>
      <c r="G6" s="495"/>
      <c r="H6" s="496">
        <f t="shared" ref="H6:H12" si="0">E6*G6</f>
        <v>0</v>
      </c>
      <c r="I6" s="497"/>
      <c r="J6" s="498"/>
      <c r="K6" s="499"/>
      <c r="L6" s="499"/>
      <c r="M6" s="499"/>
      <c r="N6" s="499"/>
      <c r="O6" s="498"/>
      <c r="P6" s="497"/>
    </row>
    <row r="7" spans="2:17" s="420" customFormat="1" ht="11.25" customHeight="1" x14ac:dyDescent="0.2">
      <c r="B7" s="1241"/>
      <c r="C7" s="1311"/>
      <c r="D7" s="500"/>
      <c r="E7" s="501">
        <v>1</v>
      </c>
      <c r="F7" s="502"/>
      <c r="G7" s="503"/>
      <c r="H7" s="504">
        <f t="shared" si="0"/>
        <v>0</v>
      </c>
      <c r="I7" s="505"/>
      <c r="J7" s="506"/>
      <c r="K7" s="507"/>
      <c r="L7" s="507"/>
      <c r="M7" s="507"/>
      <c r="N7" s="507"/>
      <c r="O7" s="506"/>
      <c r="P7" s="505"/>
    </row>
    <row r="8" spans="2:17" s="420" customFormat="1" ht="11.25" customHeight="1" x14ac:dyDescent="0.2">
      <c r="B8" s="1241"/>
      <c r="C8" s="1311"/>
      <c r="D8" s="500"/>
      <c r="E8" s="501">
        <v>1</v>
      </c>
      <c r="F8" s="502"/>
      <c r="G8" s="503"/>
      <c r="H8" s="504">
        <f t="shared" si="0"/>
        <v>0</v>
      </c>
      <c r="I8" s="505"/>
      <c r="J8" s="506"/>
      <c r="K8" s="507"/>
      <c r="L8" s="507"/>
      <c r="M8" s="507"/>
      <c r="N8" s="507"/>
      <c r="O8" s="506"/>
      <c r="P8" s="505"/>
    </row>
    <row r="9" spans="2:17" s="420" customFormat="1" ht="11.25" customHeight="1" x14ac:dyDescent="0.2">
      <c r="B9" s="1241"/>
      <c r="C9" s="1311"/>
      <c r="D9" s="500"/>
      <c r="E9" s="501">
        <v>1</v>
      </c>
      <c r="F9" s="502"/>
      <c r="G9" s="503"/>
      <c r="H9" s="504">
        <f t="shared" si="0"/>
        <v>0</v>
      </c>
      <c r="I9" s="505"/>
      <c r="J9" s="506"/>
      <c r="K9" s="507"/>
      <c r="L9" s="507"/>
      <c r="M9" s="507"/>
      <c r="N9" s="507"/>
      <c r="O9" s="506"/>
      <c r="P9" s="505"/>
    </row>
    <row r="10" spans="2:17" s="420" customFormat="1" ht="11.25" customHeight="1" x14ac:dyDescent="0.2">
      <c r="B10" s="1241"/>
      <c r="C10" s="1311"/>
      <c r="D10" s="500"/>
      <c r="E10" s="501">
        <v>1</v>
      </c>
      <c r="F10" s="502"/>
      <c r="G10" s="503"/>
      <c r="H10" s="504">
        <f t="shared" si="0"/>
        <v>0</v>
      </c>
      <c r="I10" s="505"/>
      <c r="J10" s="506"/>
      <c r="K10" s="507"/>
      <c r="L10" s="507"/>
      <c r="M10" s="507"/>
      <c r="N10" s="507"/>
      <c r="O10" s="506"/>
      <c r="P10" s="505"/>
    </row>
    <row r="11" spans="2:17" s="420" customFormat="1" ht="11.25" customHeight="1" x14ac:dyDescent="0.2">
      <c r="B11" s="1241"/>
      <c r="C11" s="1311"/>
      <c r="D11" s="500"/>
      <c r="E11" s="501">
        <v>1</v>
      </c>
      <c r="F11" s="502"/>
      <c r="G11" s="503"/>
      <c r="H11" s="504">
        <f t="shared" si="0"/>
        <v>0</v>
      </c>
      <c r="I11" s="505"/>
      <c r="J11" s="506"/>
      <c r="K11" s="507"/>
      <c r="L11" s="507"/>
      <c r="M11" s="507"/>
      <c r="N11" s="507"/>
      <c r="O11" s="506"/>
      <c r="P11" s="505"/>
    </row>
    <row r="12" spans="2:17" s="420" customFormat="1" ht="11.25" customHeight="1" x14ac:dyDescent="0.2">
      <c r="B12" s="1241"/>
      <c r="C12" s="1311"/>
      <c r="D12" s="500" t="s">
        <v>581</v>
      </c>
      <c r="E12" s="501"/>
      <c r="F12" s="502"/>
      <c r="G12" s="503"/>
      <c r="H12" s="504">
        <f t="shared" si="0"/>
        <v>0</v>
      </c>
      <c r="I12" s="875">
        <f>SUM(H6:H12)</f>
        <v>0</v>
      </c>
      <c r="J12" s="506">
        <f>I12*$J$5</f>
        <v>0</v>
      </c>
      <c r="K12" s="507">
        <f>SUM(I12:J12)*$K$5</f>
        <v>0</v>
      </c>
      <c r="L12" s="507">
        <f>SUM(I12:K12)*$L$5</f>
        <v>0</v>
      </c>
      <c r="M12" s="507">
        <f>SUM(I12:L12)*$M$5</f>
        <v>0</v>
      </c>
      <c r="N12" s="507">
        <f>SUM(I12:M12)*$N$5</f>
        <v>0</v>
      </c>
      <c r="O12" s="506">
        <f>SUM(I12:N12)</f>
        <v>0</v>
      </c>
      <c r="P12" s="505">
        <f>ROUND(O12,-3)</f>
        <v>0</v>
      </c>
      <c r="Q12" s="420" t="s">
        <v>514</v>
      </c>
    </row>
    <row r="13" spans="2:17" s="420" customFormat="1" ht="11.25" customHeight="1" x14ac:dyDescent="0.2">
      <c r="B13" s="1241"/>
      <c r="C13" s="1311"/>
      <c r="D13" s="500"/>
      <c r="E13" s="501"/>
      <c r="F13" s="502"/>
      <c r="G13" s="503"/>
      <c r="H13" s="504"/>
      <c r="I13" s="505"/>
      <c r="J13" s="506"/>
      <c r="K13" s="507"/>
      <c r="L13" s="507"/>
      <c r="M13" s="507"/>
      <c r="N13" s="507"/>
      <c r="O13" s="506"/>
      <c r="P13" s="505"/>
    </row>
    <row r="14" spans="2:17" s="420" customFormat="1" ht="11.25" customHeight="1" x14ac:dyDescent="0.2">
      <c r="B14" s="1241"/>
      <c r="C14" s="1311"/>
      <c r="D14" s="500" t="s">
        <v>557</v>
      </c>
      <c r="E14" s="501">
        <v>1</v>
      </c>
      <c r="F14" s="502"/>
      <c r="G14" s="503"/>
      <c r="H14" s="504">
        <f>E14*G14</f>
        <v>0</v>
      </c>
      <c r="I14" s="505"/>
      <c r="J14" s="506"/>
      <c r="K14" s="507"/>
      <c r="L14" s="507"/>
      <c r="M14" s="507"/>
      <c r="N14" s="507"/>
      <c r="O14" s="506"/>
      <c r="P14" s="505"/>
    </row>
    <row r="15" spans="2:17" s="420" customFormat="1" ht="11.25" customHeight="1" x14ac:dyDescent="0.2">
      <c r="B15" s="1241"/>
      <c r="C15" s="1311"/>
      <c r="D15" s="500"/>
      <c r="E15" s="501">
        <v>1</v>
      </c>
      <c r="F15" s="502"/>
      <c r="G15" s="503"/>
      <c r="H15" s="504">
        <f>E15*G15</f>
        <v>0</v>
      </c>
      <c r="I15" s="505"/>
      <c r="J15" s="506"/>
      <c r="K15" s="507"/>
      <c r="L15" s="507"/>
      <c r="M15" s="507"/>
      <c r="N15" s="507"/>
      <c r="O15" s="506"/>
      <c r="P15" s="505"/>
    </row>
    <row r="16" spans="2:17" s="420" customFormat="1" ht="11.25" customHeight="1" x14ac:dyDescent="0.2">
      <c r="B16" s="1241"/>
      <c r="C16" s="1311"/>
      <c r="D16" s="500"/>
      <c r="E16" s="501">
        <v>1</v>
      </c>
      <c r="F16" s="502"/>
      <c r="G16" s="503"/>
      <c r="H16" s="504">
        <f>E16*G16</f>
        <v>0</v>
      </c>
      <c r="I16" s="505"/>
      <c r="J16" s="506"/>
      <c r="K16" s="507"/>
      <c r="L16" s="507"/>
      <c r="M16" s="507"/>
      <c r="N16" s="507"/>
      <c r="O16" s="506"/>
      <c r="P16" s="505"/>
    </row>
    <row r="17" spans="2:17" s="420" customFormat="1" ht="11.25" customHeight="1" x14ac:dyDescent="0.2">
      <c r="B17" s="1241"/>
      <c r="C17" s="1311"/>
      <c r="D17" s="500"/>
      <c r="E17" s="501">
        <v>1</v>
      </c>
      <c r="F17" s="502"/>
      <c r="G17" s="503"/>
      <c r="H17" s="504">
        <f>E17*G17</f>
        <v>0</v>
      </c>
      <c r="I17" s="505"/>
      <c r="J17" s="506"/>
      <c r="K17" s="507"/>
      <c r="L17" s="507"/>
      <c r="M17" s="507"/>
      <c r="N17" s="507"/>
      <c r="O17" s="506"/>
      <c r="P17" s="505"/>
    </row>
    <row r="18" spans="2:17" s="420" customFormat="1" ht="11.25" customHeight="1" x14ac:dyDescent="0.2">
      <c r="B18" s="1241"/>
      <c r="C18" s="1311"/>
      <c r="D18" s="500"/>
      <c r="E18" s="501">
        <v>1</v>
      </c>
      <c r="F18" s="502"/>
      <c r="G18" s="503"/>
      <c r="H18" s="504">
        <f>E18*G18</f>
        <v>0</v>
      </c>
      <c r="I18" s="505"/>
      <c r="J18" s="506"/>
      <c r="K18" s="507"/>
      <c r="L18" s="507"/>
      <c r="M18" s="507"/>
      <c r="N18" s="507"/>
      <c r="O18" s="506"/>
      <c r="P18" s="505"/>
    </row>
    <row r="19" spans="2:17" s="420" customFormat="1" ht="11.25" customHeight="1" x14ac:dyDescent="0.2">
      <c r="B19" s="1241"/>
      <c r="C19" s="1311"/>
      <c r="D19" s="500" t="s">
        <v>581</v>
      </c>
      <c r="E19" s="501">
        <v>1</v>
      </c>
      <c r="F19" s="502"/>
      <c r="G19" s="503"/>
      <c r="H19" s="509">
        <f t="shared" ref="H19" si="1">E19*G19</f>
        <v>0</v>
      </c>
      <c r="I19" s="865">
        <f>SUM(H14:H19)</f>
        <v>0</v>
      </c>
      <c r="J19" s="513">
        <f>I19*$J$5</f>
        <v>0</v>
      </c>
      <c r="K19" s="514">
        <f>SUM(I19:J19)*$K$5</f>
        <v>0</v>
      </c>
      <c r="L19" s="514">
        <f>SUM(I19:K19)*$L$5</f>
        <v>0</v>
      </c>
      <c r="M19" s="514">
        <f>SUM(I19:L19)*$M$5</f>
        <v>0</v>
      </c>
      <c r="N19" s="514">
        <f>SUM(I19:M19)*$N$5</f>
        <v>0</v>
      </c>
      <c r="O19" s="515">
        <f>SUM(I19:N19)</f>
        <v>0</v>
      </c>
      <c r="P19" s="512">
        <f>ROUND(O19,-3)</f>
        <v>0</v>
      </c>
      <c r="Q19" s="420" t="s">
        <v>514</v>
      </c>
    </row>
    <row r="20" spans="2:17" s="420" customFormat="1" ht="12" thickBot="1" x14ac:dyDescent="0.25">
      <c r="B20" s="1242"/>
      <c r="C20" s="1312"/>
      <c r="D20" s="516"/>
      <c r="E20" s="517"/>
      <c r="F20" s="518"/>
      <c r="G20" s="519"/>
      <c r="H20" s="520"/>
      <c r="I20" s="521"/>
      <c r="J20" s="522"/>
      <c r="K20" s="523"/>
      <c r="L20" s="523"/>
      <c r="M20" s="523"/>
      <c r="N20" s="523"/>
      <c r="O20" s="522"/>
      <c r="P20" s="521"/>
    </row>
    <row r="21" spans="2:17" s="426" customFormat="1" ht="11.1" customHeight="1" x14ac:dyDescent="0.2">
      <c r="B21" s="1240" t="str">
        <f>'Detailed Matrix'!E152</f>
        <v>User experience evaluation to assess occupant comfort</v>
      </c>
      <c r="C21" s="1292" t="str">
        <f>'Detailed Matrix'!F152</f>
        <v>Implement user experience evaluation to assess comfort related needs in the design phase, helping to eliminate discomfort disorders (e.g. work-related musculoskeletal issues)</v>
      </c>
      <c r="D21" s="492" t="s">
        <v>556</v>
      </c>
      <c r="E21" s="493">
        <v>1</v>
      </c>
      <c r="F21" s="494"/>
      <c r="G21" s="495"/>
      <c r="H21" s="496">
        <f t="shared" ref="H21:H27" si="2">E21*G21</f>
        <v>0</v>
      </c>
      <c r="I21" s="497"/>
      <c r="J21" s="498"/>
      <c r="K21" s="499"/>
      <c r="L21" s="499"/>
      <c r="M21" s="499"/>
      <c r="N21" s="499"/>
      <c r="O21" s="498"/>
      <c r="P21" s="497"/>
    </row>
    <row r="22" spans="2:17" s="426" customFormat="1" ht="11.1" customHeight="1" x14ac:dyDescent="0.2">
      <c r="B22" s="1241"/>
      <c r="C22" s="1293"/>
      <c r="D22" s="500"/>
      <c r="E22" s="501">
        <v>1</v>
      </c>
      <c r="F22" s="502"/>
      <c r="G22" s="503"/>
      <c r="H22" s="504">
        <f t="shared" si="2"/>
        <v>0</v>
      </c>
      <c r="I22" s="505"/>
      <c r="J22" s="506"/>
      <c r="K22" s="507"/>
      <c r="L22" s="507"/>
      <c r="M22" s="507"/>
      <c r="N22" s="507"/>
      <c r="O22" s="506"/>
      <c r="P22" s="505"/>
    </row>
    <row r="23" spans="2:17" s="426" customFormat="1" ht="11.1" customHeight="1" x14ac:dyDescent="0.2">
      <c r="B23" s="1241"/>
      <c r="C23" s="1293"/>
      <c r="D23" s="500"/>
      <c r="E23" s="501">
        <v>1</v>
      </c>
      <c r="F23" s="502"/>
      <c r="G23" s="503"/>
      <c r="H23" s="504">
        <f t="shared" si="2"/>
        <v>0</v>
      </c>
      <c r="I23" s="505"/>
      <c r="J23" s="506"/>
      <c r="K23" s="507"/>
      <c r="L23" s="507"/>
      <c r="M23" s="507"/>
      <c r="N23" s="507"/>
      <c r="O23" s="506"/>
      <c r="P23" s="505"/>
    </row>
    <row r="24" spans="2:17" s="426" customFormat="1" ht="11.1" customHeight="1" x14ac:dyDescent="0.2">
      <c r="B24" s="1241"/>
      <c r="C24" s="1293"/>
      <c r="D24" s="500"/>
      <c r="E24" s="501">
        <v>1</v>
      </c>
      <c r="F24" s="502"/>
      <c r="G24" s="503"/>
      <c r="H24" s="504">
        <f t="shared" si="2"/>
        <v>0</v>
      </c>
      <c r="I24" s="505"/>
      <c r="J24" s="506"/>
      <c r="K24" s="507"/>
      <c r="L24" s="507"/>
      <c r="M24" s="507"/>
      <c r="N24" s="507"/>
      <c r="O24" s="506"/>
      <c r="P24" s="505"/>
    </row>
    <row r="25" spans="2:17" s="426" customFormat="1" ht="11.1" customHeight="1" x14ac:dyDescent="0.2">
      <c r="B25" s="1241"/>
      <c r="C25" s="1293"/>
      <c r="D25" s="500"/>
      <c r="E25" s="501">
        <v>1</v>
      </c>
      <c r="F25" s="502"/>
      <c r="G25" s="503"/>
      <c r="H25" s="504">
        <f t="shared" si="2"/>
        <v>0</v>
      </c>
      <c r="I25" s="505"/>
      <c r="J25" s="506"/>
      <c r="K25" s="507"/>
      <c r="L25" s="507"/>
      <c r="M25" s="507"/>
      <c r="N25" s="507"/>
      <c r="O25" s="506"/>
      <c r="P25" s="505"/>
    </row>
    <row r="26" spans="2:17" s="426" customFormat="1" ht="11.1" customHeight="1" x14ac:dyDescent="0.2">
      <c r="B26" s="1241"/>
      <c r="C26" s="1293"/>
      <c r="D26" s="500"/>
      <c r="E26" s="501">
        <v>1</v>
      </c>
      <c r="F26" s="502"/>
      <c r="G26" s="503"/>
      <c r="H26" s="504">
        <f t="shared" si="2"/>
        <v>0</v>
      </c>
      <c r="I26" s="505"/>
      <c r="J26" s="506"/>
      <c r="K26" s="507"/>
      <c r="L26" s="507"/>
      <c r="M26" s="507"/>
      <c r="N26" s="507"/>
      <c r="O26" s="506"/>
      <c r="P26" s="505"/>
    </row>
    <row r="27" spans="2:17" s="426" customFormat="1" ht="11.1" customHeight="1" x14ac:dyDescent="0.2">
      <c r="B27" s="1241"/>
      <c r="C27" s="1293"/>
      <c r="D27" s="500" t="s">
        <v>620</v>
      </c>
      <c r="E27" s="501"/>
      <c r="F27" s="502"/>
      <c r="G27" s="503"/>
      <c r="H27" s="504">
        <f t="shared" si="2"/>
        <v>0</v>
      </c>
      <c r="I27" s="875">
        <f>SUM(H21:H27)</f>
        <v>0</v>
      </c>
      <c r="J27" s="506">
        <f>I27*$J$5</f>
        <v>0</v>
      </c>
      <c r="K27" s="507">
        <f>SUM(I27:J27)*$K$5</f>
        <v>0</v>
      </c>
      <c r="L27" s="507">
        <f>SUM(I27:K27)*$L$5</f>
        <v>0</v>
      </c>
      <c r="M27" s="507">
        <f>SUM(I27:L27)*$M$5</f>
        <v>0</v>
      </c>
      <c r="N27" s="507">
        <f>SUM(I27:M27)*$N$5</f>
        <v>0</v>
      </c>
      <c r="O27" s="506">
        <f>SUM(I27:N27)</f>
        <v>0</v>
      </c>
      <c r="P27" s="505">
        <f>ROUND(O27,-3)</f>
        <v>0</v>
      </c>
      <c r="Q27" s="426" t="s">
        <v>514</v>
      </c>
    </row>
    <row r="28" spans="2:17" s="426" customFormat="1" ht="11.1" customHeight="1" x14ac:dyDescent="0.2">
      <c r="B28" s="1241"/>
      <c r="C28" s="1293"/>
      <c r="D28" s="500"/>
      <c r="E28" s="501"/>
      <c r="F28" s="502"/>
      <c r="G28" s="503"/>
      <c r="H28" s="504"/>
      <c r="I28" s="505"/>
      <c r="J28" s="506"/>
      <c r="K28" s="507"/>
      <c r="L28" s="507"/>
      <c r="M28" s="507"/>
      <c r="N28" s="507"/>
      <c r="O28" s="506"/>
      <c r="P28" s="505"/>
    </row>
    <row r="29" spans="2:17" s="426" customFormat="1" ht="11.1" customHeight="1" x14ac:dyDescent="0.2">
      <c r="B29" s="1241"/>
      <c r="C29" s="1293"/>
      <c r="D29" s="500" t="s">
        <v>557</v>
      </c>
      <c r="E29" s="501">
        <v>1</v>
      </c>
      <c r="F29" s="502"/>
      <c r="G29" s="503"/>
      <c r="H29" s="504">
        <f>E29*G29</f>
        <v>0</v>
      </c>
      <c r="I29" s="505"/>
      <c r="J29" s="506"/>
      <c r="K29" s="507"/>
      <c r="L29" s="507"/>
      <c r="M29" s="507"/>
      <c r="N29" s="507"/>
      <c r="O29" s="506"/>
      <c r="P29" s="505"/>
    </row>
    <row r="30" spans="2:17" s="426" customFormat="1" ht="11.1" customHeight="1" x14ac:dyDescent="0.2">
      <c r="B30" s="1241"/>
      <c r="C30" s="1293"/>
      <c r="D30" s="500"/>
      <c r="E30" s="501">
        <v>1</v>
      </c>
      <c r="F30" s="502"/>
      <c r="G30" s="503"/>
      <c r="H30" s="504">
        <f>E30*G30</f>
        <v>0</v>
      </c>
      <c r="I30" s="505"/>
      <c r="J30" s="506"/>
      <c r="K30" s="507"/>
      <c r="L30" s="507"/>
      <c r="M30" s="507"/>
      <c r="N30" s="507"/>
      <c r="O30" s="506"/>
      <c r="P30" s="505"/>
    </row>
    <row r="31" spans="2:17" s="426" customFormat="1" ht="11.1" customHeight="1" x14ac:dyDescent="0.2">
      <c r="B31" s="1241"/>
      <c r="C31" s="1293"/>
      <c r="D31" s="500"/>
      <c r="E31" s="501">
        <v>1</v>
      </c>
      <c r="F31" s="502"/>
      <c r="G31" s="503"/>
      <c r="H31" s="504">
        <f>E31*G31</f>
        <v>0</v>
      </c>
      <c r="I31" s="505"/>
      <c r="J31" s="506"/>
      <c r="K31" s="507"/>
      <c r="L31" s="507"/>
      <c r="M31" s="507"/>
      <c r="N31" s="507"/>
      <c r="O31" s="506"/>
      <c r="P31" s="505"/>
    </row>
    <row r="32" spans="2:17" s="426" customFormat="1" ht="11.1" customHeight="1" x14ac:dyDescent="0.2">
      <c r="B32" s="1241"/>
      <c r="C32" s="1293"/>
      <c r="D32" s="500"/>
      <c r="E32" s="501">
        <v>1</v>
      </c>
      <c r="F32" s="502"/>
      <c r="G32" s="503"/>
      <c r="H32" s="504">
        <f>E32*G32</f>
        <v>0</v>
      </c>
      <c r="I32" s="505"/>
      <c r="J32" s="506"/>
      <c r="K32" s="507"/>
      <c r="L32" s="507"/>
      <c r="M32" s="507"/>
      <c r="N32" s="507"/>
      <c r="O32" s="506"/>
      <c r="P32" s="505"/>
    </row>
    <row r="33" spans="2:17" s="426" customFormat="1" ht="11.1" customHeight="1" x14ac:dyDescent="0.2">
      <c r="B33" s="1241"/>
      <c r="C33" s="1293"/>
      <c r="D33" s="500"/>
      <c r="E33" s="501">
        <v>1</v>
      </c>
      <c r="F33" s="502"/>
      <c r="G33" s="503"/>
      <c r="H33" s="504">
        <f>E33*G33</f>
        <v>0</v>
      </c>
      <c r="I33" s="505"/>
      <c r="J33" s="506"/>
      <c r="K33" s="507"/>
      <c r="L33" s="507"/>
      <c r="M33" s="507"/>
      <c r="N33" s="507"/>
      <c r="O33" s="506"/>
      <c r="P33" s="505"/>
    </row>
    <row r="34" spans="2:17" s="426" customFormat="1" ht="11.1" customHeight="1" x14ac:dyDescent="0.2">
      <c r="B34" s="1241"/>
      <c r="C34" s="1293"/>
      <c r="D34" s="500" t="s">
        <v>620</v>
      </c>
      <c r="E34" s="501">
        <v>1</v>
      </c>
      <c r="F34" s="502"/>
      <c r="G34" s="503"/>
      <c r="H34" s="509">
        <f t="shared" ref="H34" si="3">E34*G34</f>
        <v>0</v>
      </c>
      <c r="I34" s="865">
        <f>SUM(H29:H34)</f>
        <v>0</v>
      </c>
      <c r="J34" s="513">
        <f>I34*$J$5</f>
        <v>0</v>
      </c>
      <c r="K34" s="514">
        <f>SUM(I34:J34)*$K$5</f>
        <v>0</v>
      </c>
      <c r="L34" s="514">
        <f>SUM(I34:K34)*$L$5</f>
        <v>0</v>
      </c>
      <c r="M34" s="514">
        <f>SUM(I34:L34)*$M$5</f>
        <v>0</v>
      </c>
      <c r="N34" s="514">
        <f>SUM(I34:M34)*$N$5</f>
        <v>0</v>
      </c>
      <c r="O34" s="515">
        <f>SUM(I34:N34)</f>
        <v>0</v>
      </c>
      <c r="P34" s="512">
        <f>ROUND(O34,-3)</f>
        <v>0</v>
      </c>
      <c r="Q34" s="426" t="s">
        <v>514</v>
      </c>
    </row>
    <row r="35" spans="2:17" s="426" customFormat="1" ht="12" thickBot="1" x14ac:dyDescent="0.25">
      <c r="B35" s="1242"/>
      <c r="C35" s="1294"/>
      <c r="D35" s="516"/>
      <c r="E35" s="517"/>
      <c r="F35" s="518"/>
      <c r="G35" s="519"/>
      <c r="H35" s="520"/>
      <c r="I35" s="521"/>
      <c r="J35" s="522"/>
      <c r="K35" s="523"/>
      <c r="L35" s="523"/>
      <c r="M35" s="523"/>
      <c r="N35" s="523"/>
      <c r="O35" s="522"/>
      <c r="P35" s="521"/>
    </row>
    <row r="36" spans="2:17" s="420" customFormat="1" ht="11.25" x14ac:dyDescent="0.2">
      <c r="B36" s="1240" t="str">
        <f>'Detailed Matrix'!E153</f>
        <v>Burglary preventative measures</v>
      </c>
      <c r="C36" s="1292" t="str">
        <f>'Detailed Matrix'!F153</f>
        <v>Burglary preventive measures/ surveillance of openings accessible from terrain</v>
      </c>
      <c r="D36" s="492" t="s">
        <v>556</v>
      </c>
      <c r="E36" s="493">
        <v>1</v>
      </c>
      <c r="F36" s="494"/>
      <c r="G36" s="495"/>
      <c r="H36" s="496">
        <f t="shared" ref="H36:H42" si="4">E36*G36</f>
        <v>0</v>
      </c>
      <c r="I36" s="497"/>
      <c r="J36" s="498"/>
      <c r="K36" s="499"/>
      <c r="L36" s="499"/>
      <c r="M36" s="499"/>
      <c r="N36" s="499"/>
      <c r="O36" s="498"/>
      <c r="P36" s="497"/>
    </row>
    <row r="37" spans="2:17" s="420" customFormat="1" ht="11.25" x14ac:dyDescent="0.2">
      <c r="B37" s="1241"/>
      <c r="C37" s="1293"/>
      <c r="D37" s="500"/>
      <c r="E37" s="501">
        <v>1</v>
      </c>
      <c r="F37" s="502"/>
      <c r="G37" s="503"/>
      <c r="H37" s="504">
        <f t="shared" si="4"/>
        <v>0</v>
      </c>
      <c r="I37" s="505"/>
      <c r="J37" s="506"/>
      <c r="K37" s="507"/>
      <c r="L37" s="507"/>
      <c r="M37" s="507"/>
      <c r="N37" s="507"/>
      <c r="O37" s="506"/>
      <c r="P37" s="505"/>
    </row>
    <row r="38" spans="2:17" s="420" customFormat="1" ht="11.25" x14ac:dyDescent="0.2">
      <c r="B38" s="1241"/>
      <c r="C38" s="1293"/>
      <c r="D38" s="500"/>
      <c r="E38" s="501">
        <v>1</v>
      </c>
      <c r="F38" s="502"/>
      <c r="G38" s="503"/>
      <c r="H38" s="504">
        <f t="shared" si="4"/>
        <v>0</v>
      </c>
      <c r="I38" s="505"/>
      <c r="J38" s="506"/>
      <c r="K38" s="507"/>
      <c r="L38" s="507"/>
      <c r="M38" s="507"/>
      <c r="N38" s="507"/>
      <c r="O38" s="506"/>
      <c r="P38" s="505"/>
    </row>
    <row r="39" spans="2:17" s="420" customFormat="1" ht="11.25" x14ac:dyDescent="0.2">
      <c r="B39" s="1241"/>
      <c r="C39" s="1293"/>
      <c r="D39" s="500"/>
      <c r="E39" s="501">
        <v>1</v>
      </c>
      <c r="F39" s="502"/>
      <c r="G39" s="503"/>
      <c r="H39" s="504">
        <f t="shared" si="4"/>
        <v>0</v>
      </c>
      <c r="I39" s="505"/>
      <c r="J39" s="506"/>
      <c r="K39" s="507"/>
      <c r="L39" s="507"/>
      <c r="M39" s="507"/>
      <c r="N39" s="507"/>
      <c r="O39" s="506"/>
      <c r="P39" s="505"/>
    </row>
    <row r="40" spans="2:17" s="420" customFormat="1" ht="11.25" x14ac:dyDescent="0.2">
      <c r="B40" s="1241"/>
      <c r="C40" s="1293"/>
      <c r="D40" s="500"/>
      <c r="E40" s="501">
        <v>1</v>
      </c>
      <c r="F40" s="502"/>
      <c r="G40" s="503"/>
      <c r="H40" s="504">
        <f t="shared" si="4"/>
        <v>0</v>
      </c>
      <c r="I40" s="505"/>
      <c r="J40" s="506"/>
      <c r="K40" s="507"/>
      <c r="L40" s="507"/>
      <c r="M40" s="507"/>
      <c r="N40" s="507"/>
      <c r="O40" s="506"/>
      <c r="P40" s="505"/>
    </row>
    <row r="41" spans="2:17" s="420" customFormat="1" ht="11.25" x14ac:dyDescent="0.2">
      <c r="B41" s="1241"/>
      <c r="C41" s="1293"/>
      <c r="D41" s="500"/>
      <c r="E41" s="501">
        <v>1</v>
      </c>
      <c r="F41" s="502"/>
      <c r="G41" s="503"/>
      <c r="H41" s="504">
        <f t="shared" si="4"/>
        <v>0</v>
      </c>
      <c r="I41" s="505"/>
      <c r="J41" s="506"/>
      <c r="K41" s="507"/>
      <c r="L41" s="507"/>
      <c r="M41" s="507"/>
      <c r="N41" s="507"/>
      <c r="O41" s="506"/>
      <c r="P41" s="505"/>
    </row>
    <row r="42" spans="2:17" s="420" customFormat="1" ht="11.25" x14ac:dyDescent="0.2">
      <c r="B42" s="1241"/>
      <c r="C42" s="1293"/>
      <c r="D42" s="500" t="s">
        <v>581</v>
      </c>
      <c r="E42" s="501"/>
      <c r="F42" s="502"/>
      <c r="G42" s="503"/>
      <c r="H42" s="504">
        <f t="shared" si="4"/>
        <v>0</v>
      </c>
      <c r="I42" s="875">
        <f>SUM(H36:H42)</f>
        <v>0</v>
      </c>
      <c r="J42" s="506">
        <f>I42*$J$5</f>
        <v>0</v>
      </c>
      <c r="K42" s="507">
        <f>SUM(I42:J42)*$K$5</f>
        <v>0</v>
      </c>
      <c r="L42" s="507">
        <f>SUM(I42:K42)*$L$5</f>
        <v>0</v>
      </c>
      <c r="M42" s="507">
        <f>SUM(I42:L42)*$M$5</f>
        <v>0</v>
      </c>
      <c r="N42" s="507">
        <f>SUM(I42:M42)*$N$5</f>
        <v>0</v>
      </c>
      <c r="O42" s="506">
        <f>SUM(I42:N42)</f>
        <v>0</v>
      </c>
      <c r="P42" s="505">
        <f>ROUND(O42,-3)</f>
        <v>0</v>
      </c>
      <c r="Q42" s="420" t="s">
        <v>514</v>
      </c>
    </row>
    <row r="43" spans="2:17" s="420" customFormat="1" ht="11.25" x14ac:dyDescent="0.2">
      <c r="B43" s="1241"/>
      <c r="C43" s="1293"/>
      <c r="D43" s="500"/>
      <c r="E43" s="501"/>
      <c r="F43" s="502"/>
      <c r="G43" s="503"/>
      <c r="H43" s="504"/>
      <c r="I43" s="505"/>
      <c r="J43" s="506"/>
      <c r="K43" s="507"/>
      <c r="L43" s="507"/>
      <c r="M43" s="507"/>
      <c r="N43" s="507"/>
      <c r="O43" s="506"/>
      <c r="P43" s="505"/>
    </row>
    <row r="44" spans="2:17" s="420" customFormat="1" ht="11.25" x14ac:dyDescent="0.2">
      <c r="B44" s="1241"/>
      <c r="C44" s="1293"/>
      <c r="D44" s="500" t="s">
        <v>557</v>
      </c>
      <c r="E44" s="501">
        <v>1</v>
      </c>
      <c r="F44" s="502"/>
      <c r="G44" s="503"/>
      <c r="H44" s="504">
        <f>E44*G44</f>
        <v>0</v>
      </c>
      <c r="I44" s="505"/>
      <c r="J44" s="506"/>
      <c r="K44" s="507"/>
      <c r="L44" s="507"/>
      <c r="M44" s="507"/>
      <c r="N44" s="507"/>
      <c r="O44" s="506"/>
      <c r="P44" s="505"/>
    </row>
    <row r="45" spans="2:17" s="420" customFormat="1" ht="11.25" x14ac:dyDescent="0.2">
      <c r="B45" s="1241"/>
      <c r="C45" s="1293"/>
      <c r="D45" s="500"/>
      <c r="E45" s="501">
        <v>1</v>
      </c>
      <c r="F45" s="502"/>
      <c r="G45" s="503"/>
      <c r="H45" s="504">
        <f>E45*G45</f>
        <v>0</v>
      </c>
      <c r="I45" s="505"/>
      <c r="J45" s="506"/>
      <c r="K45" s="507"/>
      <c r="L45" s="507"/>
      <c r="M45" s="507"/>
      <c r="N45" s="507"/>
      <c r="O45" s="506"/>
      <c r="P45" s="505"/>
    </row>
    <row r="46" spans="2:17" s="420" customFormat="1" ht="11.25" x14ac:dyDescent="0.2">
      <c r="B46" s="1241"/>
      <c r="C46" s="1293"/>
      <c r="D46" s="500"/>
      <c r="E46" s="501">
        <v>1</v>
      </c>
      <c r="F46" s="502"/>
      <c r="G46" s="503"/>
      <c r="H46" s="504">
        <f>E46*G46</f>
        <v>0</v>
      </c>
      <c r="I46" s="505"/>
      <c r="J46" s="506"/>
      <c r="K46" s="507"/>
      <c r="L46" s="507"/>
      <c r="M46" s="507"/>
      <c r="N46" s="507"/>
      <c r="O46" s="506"/>
      <c r="P46" s="505"/>
    </row>
    <row r="47" spans="2:17" s="420" customFormat="1" ht="11.25" x14ac:dyDescent="0.2">
      <c r="B47" s="1241"/>
      <c r="C47" s="1293"/>
      <c r="D47" s="500"/>
      <c r="E47" s="501">
        <v>1</v>
      </c>
      <c r="F47" s="502"/>
      <c r="G47" s="503"/>
      <c r="H47" s="504">
        <f>E47*G47</f>
        <v>0</v>
      </c>
      <c r="I47" s="505"/>
      <c r="J47" s="506"/>
      <c r="K47" s="507"/>
      <c r="L47" s="507"/>
      <c r="M47" s="507"/>
      <c r="N47" s="507"/>
      <c r="O47" s="506"/>
      <c r="P47" s="505"/>
    </row>
    <row r="48" spans="2:17" s="420" customFormat="1" ht="11.25" x14ac:dyDescent="0.2">
      <c r="B48" s="1241"/>
      <c r="C48" s="1293"/>
      <c r="D48" s="500"/>
      <c r="E48" s="501">
        <v>1</v>
      </c>
      <c r="F48" s="502"/>
      <c r="G48" s="503"/>
      <c r="H48" s="504">
        <f>E48*G48</f>
        <v>0</v>
      </c>
      <c r="I48" s="505"/>
      <c r="J48" s="506"/>
      <c r="K48" s="507"/>
      <c r="L48" s="507"/>
      <c r="M48" s="507"/>
      <c r="N48" s="507"/>
      <c r="O48" s="506"/>
      <c r="P48" s="505"/>
    </row>
    <row r="49" spans="2:17" s="420" customFormat="1" ht="12" thickBot="1" x14ac:dyDescent="0.25">
      <c r="B49" s="1241"/>
      <c r="C49" s="1293"/>
      <c r="D49" s="500" t="s">
        <v>581</v>
      </c>
      <c r="E49" s="501">
        <v>1</v>
      </c>
      <c r="F49" s="502"/>
      <c r="G49" s="503"/>
      <c r="H49" s="509">
        <f t="shared" ref="H49" si="5">E49*G49</f>
        <v>0</v>
      </c>
      <c r="I49" s="865">
        <f>SUM(H44:H49)</f>
        <v>0</v>
      </c>
      <c r="J49" s="513">
        <f>I49*$J$5</f>
        <v>0</v>
      </c>
      <c r="K49" s="514">
        <f>SUM(I49:J49)*$K$5</f>
        <v>0</v>
      </c>
      <c r="L49" s="514">
        <f>SUM(I49:K49)*$L$5</f>
        <v>0</v>
      </c>
      <c r="M49" s="514">
        <f>SUM(I49:L49)*$M$5</f>
        <v>0</v>
      </c>
      <c r="N49" s="514">
        <f>SUM(I49:M49)*$N$5</f>
        <v>0</v>
      </c>
      <c r="O49" s="515">
        <f>SUM(I49:N49)</f>
        <v>0</v>
      </c>
      <c r="P49" s="512">
        <f>ROUND(O49,-3)</f>
        <v>0</v>
      </c>
      <c r="Q49" s="420" t="s">
        <v>514</v>
      </c>
    </row>
    <row r="50" spans="2:17" s="426" customFormat="1" ht="11.25" customHeight="1" x14ac:dyDescent="0.2">
      <c r="B50" s="1240" t="str">
        <f>'Detailed Matrix'!E154</f>
        <v>Hazard Reviews to eliminate or mitigate danagers</v>
      </c>
      <c r="C50" s="1292" t="str">
        <f>'Detailed Matrix'!F154</f>
        <v>`</v>
      </c>
      <c r="D50" s="492" t="s">
        <v>556</v>
      </c>
      <c r="E50" s="493">
        <v>1</v>
      </c>
      <c r="F50" s="494"/>
      <c r="G50" s="495"/>
      <c r="H50" s="496">
        <f t="shared" ref="H50:H56" si="6">E50*G50</f>
        <v>0</v>
      </c>
      <c r="I50" s="497"/>
      <c r="J50" s="498"/>
      <c r="K50" s="499"/>
      <c r="L50" s="499"/>
      <c r="M50" s="499"/>
      <c r="N50" s="499"/>
      <c r="O50" s="498"/>
      <c r="P50" s="497"/>
    </row>
    <row r="51" spans="2:17" s="426" customFormat="1" ht="11.25" customHeight="1" x14ac:dyDescent="0.2">
      <c r="B51" s="1241"/>
      <c r="C51" s="1293"/>
      <c r="D51" s="500"/>
      <c r="E51" s="501">
        <v>1</v>
      </c>
      <c r="F51" s="502"/>
      <c r="G51" s="503"/>
      <c r="H51" s="504">
        <f t="shared" si="6"/>
        <v>0</v>
      </c>
      <c r="I51" s="505"/>
      <c r="J51" s="506"/>
      <c r="K51" s="507"/>
      <c r="L51" s="507"/>
      <c r="M51" s="507"/>
      <c r="N51" s="507"/>
      <c r="O51" s="506"/>
      <c r="P51" s="505"/>
    </row>
    <row r="52" spans="2:17" s="426" customFormat="1" ht="11.25" customHeight="1" x14ac:dyDescent="0.2">
      <c r="B52" s="1241"/>
      <c r="C52" s="1293"/>
      <c r="D52" s="500"/>
      <c r="E52" s="501">
        <v>1</v>
      </c>
      <c r="F52" s="502"/>
      <c r="G52" s="503"/>
      <c r="H52" s="504">
        <f t="shared" si="6"/>
        <v>0</v>
      </c>
      <c r="I52" s="505"/>
      <c r="J52" s="506"/>
      <c r="K52" s="507"/>
      <c r="L52" s="507"/>
      <c r="M52" s="507"/>
      <c r="N52" s="507"/>
      <c r="O52" s="506"/>
      <c r="P52" s="505"/>
    </row>
    <row r="53" spans="2:17" s="426" customFormat="1" ht="11.25" customHeight="1" x14ac:dyDescent="0.2">
      <c r="B53" s="1241"/>
      <c r="C53" s="1293"/>
      <c r="D53" s="500"/>
      <c r="E53" s="501">
        <v>1</v>
      </c>
      <c r="F53" s="502"/>
      <c r="G53" s="503"/>
      <c r="H53" s="504">
        <f t="shared" si="6"/>
        <v>0</v>
      </c>
      <c r="I53" s="505"/>
      <c r="J53" s="506"/>
      <c r="K53" s="507"/>
      <c r="L53" s="507"/>
      <c r="M53" s="507"/>
      <c r="N53" s="507"/>
      <c r="O53" s="506"/>
      <c r="P53" s="505"/>
    </row>
    <row r="54" spans="2:17" s="426" customFormat="1" ht="11.25" customHeight="1" x14ac:dyDescent="0.2">
      <c r="B54" s="1241"/>
      <c r="C54" s="1293"/>
      <c r="D54" s="500"/>
      <c r="E54" s="501">
        <v>1</v>
      </c>
      <c r="F54" s="502"/>
      <c r="G54" s="503"/>
      <c r="H54" s="504">
        <f t="shared" si="6"/>
        <v>0</v>
      </c>
      <c r="I54" s="505"/>
      <c r="J54" s="506"/>
      <c r="K54" s="507"/>
      <c r="L54" s="507"/>
      <c r="M54" s="507"/>
      <c r="N54" s="507"/>
      <c r="O54" s="506"/>
      <c r="P54" s="505"/>
    </row>
    <row r="55" spans="2:17" s="426" customFormat="1" ht="11.25" customHeight="1" x14ac:dyDescent="0.2">
      <c r="B55" s="1241"/>
      <c r="C55" s="1293"/>
      <c r="D55" s="500"/>
      <c r="E55" s="501">
        <v>1</v>
      </c>
      <c r="F55" s="502"/>
      <c r="G55" s="503"/>
      <c r="H55" s="504">
        <f t="shared" si="6"/>
        <v>0</v>
      </c>
      <c r="I55" s="505"/>
      <c r="J55" s="506"/>
      <c r="K55" s="507"/>
      <c r="L55" s="507"/>
      <c r="M55" s="507"/>
      <c r="N55" s="507"/>
      <c r="O55" s="506"/>
      <c r="P55" s="505"/>
    </row>
    <row r="56" spans="2:17" s="426" customFormat="1" ht="11.25" customHeight="1" x14ac:dyDescent="0.2">
      <c r="B56" s="1241"/>
      <c r="C56" s="1293"/>
      <c r="D56" s="500" t="s">
        <v>581</v>
      </c>
      <c r="E56" s="501"/>
      <c r="F56" s="502"/>
      <c r="G56" s="503"/>
      <c r="H56" s="504">
        <f t="shared" si="6"/>
        <v>0</v>
      </c>
      <c r="I56" s="875">
        <f>SUM(H50:H56)</f>
        <v>0</v>
      </c>
      <c r="J56" s="506">
        <f>I56*$J$5</f>
        <v>0</v>
      </c>
      <c r="K56" s="507">
        <f>SUM(I56:J56)*$K$5</f>
        <v>0</v>
      </c>
      <c r="L56" s="507">
        <f>SUM(I56:K56)*$L$5</f>
        <v>0</v>
      </c>
      <c r="M56" s="507">
        <f>SUM(I56:L56)*$M$5</f>
        <v>0</v>
      </c>
      <c r="N56" s="507">
        <f>SUM(I56:M56)*$N$5</f>
        <v>0</v>
      </c>
      <c r="O56" s="506">
        <f>SUM(I56:N56)</f>
        <v>0</v>
      </c>
      <c r="P56" s="505">
        <f>ROUND(O56,-3)</f>
        <v>0</v>
      </c>
      <c r="Q56" s="426" t="s">
        <v>514</v>
      </c>
    </row>
    <row r="57" spans="2:17" s="426" customFormat="1" ht="11.25" customHeight="1" x14ac:dyDescent="0.2">
      <c r="B57" s="1241"/>
      <c r="C57" s="1293"/>
      <c r="D57" s="500"/>
      <c r="E57" s="501"/>
      <c r="F57" s="502"/>
      <c r="G57" s="503"/>
      <c r="H57" s="504"/>
      <c r="I57" s="505"/>
      <c r="J57" s="506"/>
      <c r="K57" s="507"/>
      <c r="L57" s="507"/>
      <c r="M57" s="507"/>
      <c r="N57" s="507"/>
      <c r="O57" s="506"/>
      <c r="P57" s="505"/>
    </row>
    <row r="58" spans="2:17" s="426" customFormat="1" ht="11.25" customHeight="1" x14ac:dyDescent="0.2">
      <c r="B58" s="1241"/>
      <c r="C58" s="1293"/>
      <c r="D58" s="500" t="s">
        <v>557</v>
      </c>
      <c r="E58" s="501">
        <v>1</v>
      </c>
      <c r="F58" s="502"/>
      <c r="G58" s="503"/>
      <c r="H58" s="504">
        <f t="shared" ref="H58:H70" si="7">E58*G58</f>
        <v>0</v>
      </c>
      <c r="I58" s="505"/>
      <c r="J58" s="506"/>
      <c r="K58" s="507"/>
      <c r="L58" s="507"/>
      <c r="M58" s="507"/>
      <c r="N58" s="507"/>
      <c r="O58" s="506"/>
      <c r="P58" s="505"/>
    </row>
    <row r="59" spans="2:17" s="426" customFormat="1" ht="11.25" customHeight="1" x14ac:dyDescent="0.2">
      <c r="B59" s="1241"/>
      <c r="C59" s="1293"/>
      <c r="D59" s="500"/>
      <c r="E59" s="501">
        <v>1</v>
      </c>
      <c r="F59" s="502"/>
      <c r="G59" s="503"/>
      <c r="H59" s="504">
        <f t="shared" si="7"/>
        <v>0</v>
      </c>
      <c r="I59" s="505"/>
      <c r="J59" s="506"/>
      <c r="K59" s="507"/>
      <c r="L59" s="507"/>
      <c r="M59" s="507"/>
      <c r="N59" s="507"/>
      <c r="O59" s="506"/>
      <c r="P59" s="505"/>
    </row>
    <row r="60" spans="2:17" s="426" customFormat="1" ht="11.25" customHeight="1" x14ac:dyDescent="0.2">
      <c r="B60" s="1241"/>
      <c r="C60" s="1293"/>
      <c r="D60" s="500"/>
      <c r="E60" s="501">
        <v>1</v>
      </c>
      <c r="F60" s="502"/>
      <c r="G60" s="503"/>
      <c r="H60" s="504">
        <f t="shared" si="7"/>
        <v>0</v>
      </c>
      <c r="I60" s="505"/>
      <c r="J60" s="506"/>
      <c r="K60" s="507"/>
      <c r="L60" s="507"/>
      <c r="M60" s="507"/>
      <c r="N60" s="507"/>
      <c r="O60" s="506"/>
      <c r="P60" s="505"/>
    </row>
    <row r="61" spans="2:17" s="426" customFormat="1" ht="11.25" customHeight="1" x14ac:dyDescent="0.2">
      <c r="B61" s="1241"/>
      <c r="C61" s="1293"/>
      <c r="D61" s="500"/>
      <c r="E61" s="501">
        <v>1</v>
      </c>
      <c r="F61" s="502"/>
      <c r="G61" s="503"/>
      <c r="H61" s="504">
        <f t="shared" si="7"/>
        <v>0</v>
      </c>
      <c r="I61" s="505"/>
      <c r="J61" s="506"/>
      <c r="K61" s="507"/>
      <c r="L61" s="507"/>
      <c r="M61" s="507"/>
      <c r="N61" s="507"/>
      <c r="O61" s="506"/>
      <c r="P61" s="505"/>
    </row>
    <row r="62" spans="2:17" s="426" customFormat="1" ht="11.25" customHeight="1" x14ac:dyDescent="0.2">
      <c r="B62" s="1241"/>
      <c r="C62" s="1293"/>
      <c r="D62" s="508"/>
      <c r="E62" s="501">
        <v>1</v>
      </c>
      <c r="F62" s="502"/>
      <c r="G62" s="503"/>
      <c r="H62" s="509">
        <f t="shared" si="7"/>
        <v>0</v>
      </c>
      <c r="I62" s="512"/>
      <c r="J62" s="513"/>
      <c r="K62" s="514"/>
      <c r="L62" s="514"/>
      <c r="M62" s="514"/>
      <c r="N62" s="514"/>
      <c r="O62" s="515"/>
      <c r="P62" s="512"/>
    </row>
    <row r="63" spans="2:17" s="426" customFormat="1" ht="12" thickBot="1" x14ac:dyDescent="0.25">
      <c r="B63" s="1242"/>
      <c r="C63" s="1294"/>
      <c r="D63" s="516" t="s">
        <v>581</v>
      </c>
      <c r="E63" s="517">
        <v>1</v>
      </c>
      <c r="F63" s="518"/>
      <c r="G63" s="519"/>
      <c r="H63" s="520">
        <f t="shared" si="7"/>
        <v>0</v>
      </c>
      <c r="I63" s="932">
        <f>SUM(H58:H63)</f>
        <v>0</v>
      </c>
      <c r="J63" s="522">
        <f>I63*$J$5</f>
        <v>0</v>
      </c>
      <c r="K63" s="523">
        <f>SUM(I63:J63)*$K$5</f>
        <v>0</v>
      </c>
      <c r="L63" s="523">
        <f>SUM(I63:K63)*$L$5</f>
        <v>0</v>
      </c>
      <c r="M63" s="523">
        <f>SUM(I63:L63)*$M$5</f>
        <v>0</v>
      </c>
      <c r="N63" s="523">
        <f>SUM(I63:M63)*$N$5</f>
        <v>0</v>
      </c>
      <c r="O63" s="522">
        <f>SUM(I63:N63)</f>
        <v>0</v>
      </c>
      <c r="P63" s="521">
        <f>ROUND(O63,-3)</f>
        <v>0</v>
      </c>
      <c r="Q63" s="426" t="s">
        <v>514</v>
      </c>
    </row>
    <row r="64" spans="2:17" s="420" customFormat="1" ht="11.25" x14ac:dyDescent="0.2">
      <c r="B64" s="1240" t="str">
        <f>'Detailed Matrix'!E155</f>
        <v>Hazard reduction measures</v>
      </c>
      <c r="C64" s="1292" t="str">
        <f>'Detailed Matrix'!F155</f>
        <v>Take measures for reduction of hazards in daily operation</v>
      </c>
      <c r="D64" s="492" t="s">
        <v>556</v>
      </c>
      <c r="E64" s="493">
        <v>1</v>
      </c>
      <c r="F64" s="494"/>
      <c r="G64" s="495"/>
      <c r="H64" s="496">
        <f t="shared" si="7"/>
        <v>0</v>
      </c>
      <c r="I64" s="497"/>
      <c r="J64" s="498"/>
      <c r="K64" s="499"/>
      <c r="L64" s="499"/>
      <c r="M64" s="499"/>
      <c r="N64" s="499"/>
      <c r="O64" s="498"/>
      <c r="P64" s="497"/>
    </row>
    <row r="65" spans="2:17" s="420" customFormat="1" ht="11.25" x14ac:dyDescent="0.2">
      <c r="B65" s="1241"/>
      <c r="C65" s="1293"/>
      <c r="D65" s="500"/>
      <c r="E65" s="501">
        <v>1</v>
      </c>
      <c r="F65" s="502"/>
      <c r="G65" s="503"/>
      <c r="H65" s="504">
        <f t="shared" si="7"/>
        <v>0</v>
      </c>
      <c r="I65" s="505"/>
      <c r="J65" s="506"/>
      <c r="K65" s="507"/>
      <c r="L65" s="507"/>
      <c r="M65" s="507"/>
      <c r="N65" s="507"/>
      <c r="O65" s="506"/>
      <c r="P65" s="505"/>
    </row>
    <row r="66" spans="2:17" s="420" customFormat="1" ht="11.25" x14ac:dyDescent="0.2">
      <c r="B66" s="1241"/>
      <c r="C66" s="1293"/>
      <c r="D66" s="500"/>
      <c r="E66" s="501">
        <v>1</v>
      </c>
      <c r="F66" s="502"/>
      <c r="G66" s="503"/>
      <c r="H66" s="504">
        <f t="shared" si="7"/>
        <v>0</v>
      </c>
      <c r="I66" s="505"/>
      <c r="J66" s="506"/>
      <c r="K66" s="507"/>
      <c r="L66" s="507"/>
      <c r="M66" s="507"/>
      <c r="N66" s="507"/>
      <c r="O66" s="506"/>
      <c r="P66" s="505"/>
    </row>
    <row r="67" spans="2:17" s="420" customFormat="1" ht="11.25" x14ac:dyDescent="0.2">
      <c r="B67" s="1241"/>
      <c r="C67" s="1293"/>
      <c r="D67" s="500"/>
      <c r="E67" s="501">
        <v>1</v>
      </c>
      <c r="F67" s="502"/>
      <c r="G67" s="503"/>
      <c r="H67" s="504">
        <f t="shared" si="7"/>
        <v>0</v>
      </c>
      <c r="I67" s="505"/>
      <c r="J67" s="506"/>
      <c r="K67" s="507"/>
      <c r="L67" s="507"/>
      <c r="M67" s="507"/>
      <c r="N67" s="507"/>
      <c r="O67" s="506"/>
      <c r="P67" s="505"/>
    </row>
    <row r="68" spans="2:17" s="420" customFormat="1" ht="11.25" x14ac:dyDescent="0.2">
      <c r="B68" s="1241"/>
      <c r="C68" s="1293"/>
      <c r="D68" s="500"/>
      <c r="E68" s="501">
        <v>1</v>
      </c>
      <c r="F68" s="502"/>
      <c r="G68" s="503"/>
      <c r="H68" s="504">
        <f t="shared" si="7"/>
        <v>0</v>
      </c>
      <c r="I68" s="505"/>
      <c r="J68" s="506"/>
      <c r="K68" s="507"/>
      <c r="L68" s="507"/>
      <c r="M68" s="507"/>
      <c r="N68" s="507"/>
      <c r="O68" s="506"/>
      <c r="P68" s="505"/>
    </row>
    <row r="69" spans="2:17" s="420" customFormat="1" ht="11.25" x14ac:dyDescent="0.2">
      <c r="B69" s="1241"/>
      <c r="C69" s="1293"/>
      <c r="D69" s="500"/>
      <c r="E69" s="501">
        <v>1</v>
      </c>
      <c r="F69" s="502"/>
      <c r="G69" s="503"/>
      <c r="H69" s="504">
        <f t="shared" si="7"/>
        <v>0</v>
      </c>
      <c r="I69" s="505"/>
      <c r="J69" s="506"/>
      <c r="K69" s="507"/>
      <c r="L69" s="507"/>
      <c r="M69" s="507"/>
      <c r="N69" s="507"/>
      <c r="O69" s="506"/>
      <c r="P69" s="505"/>
    </row>
    <row r="70" spans="2:17" s="420" customFormat="1" ht="11.25" x14ac:dyDescent="0.2">
      <c r="B70" s="1241"/>
      <c r="C70" s="1293"/>
      <c r="D70" s="500" t="s">
        <v>581</v>
      </c>
      <c r="E70" s="501"/>
      <c r="F70" s="502"/>
      <c r="G70" s="503"/>
      <c r="H70" s="504">
        <f t="shared" si="7"/>
        <v>0</v>
      </c>
      <c r="I70" s="875">
        <f>SUM(H64:H70)</f>
        <v>0</v>
      </c>
      <c r="J70" s="506">
        <f>I70*$J$5</f>
        <v>0</v>
      </c>
      <c r="K70" s="507">
        <f>SUM(I70:J70)*$K$5</f>
        <v>0</v>
      </c>
      <c r="L70" s="507">
        <f>SUM(I70:K70)*$L$5</f>
        <v>0</v>
      </c>
      <c r="M70" s="507">
        <f>SUM(I70:L70)*$M$5</f>
        <v>0</v>
      </c>
      <c r="N70" s="507">
        <f>SUM(I70:M70)*$N$5</f>
        <v>0</v>
      </c>
      <c r="O70" s="506">
        <f>SUM(I70:N70)</f>
        <v>0</v>
      </c>
      <c r="P70" s="505">
        <f>ROUND(O70,-3)</f>
        <v>0</v>
      </c>
      <c r="Q70" s="420" t="s">
        <v>514</v>
      </c>
    </row>
    <row r="71" spans="2:17" s="420" customFormat="1" ht="11.25" x14ac:dyDescent="0.2">
      <c r="B71" s="1241"/>
      <c r="C71" s="1293"/>
      <c r="D71" s="500"/>
      <c r="E71" s="501"/>
      <c r="F71" s="502"/>
      <c r="G71" s="503"/>
      <c r="H71" s="504"/>
      <c r="I71" s="505"/>
      <c r="J71" s="506"/>
      <c r="K71" s="507"/>
      <c r="L71" s="507"/>
      <c r="M71" s="507"/>
      <c r="N71" s="507"/>
      <c r="O71" s="506"/>
      <c r="P71" s="505"/>
    </row>
    <row r="72" spans="2:17" s="420" customFormat="1" ht="11.25" x14ac:dyDescent="0.2">
      <c r="B72" s="1241"/>
      <c r="C72" s="1293"/>
      <c r="D72" s="500" t="s">
        <v>557</v>
      </c>
      <c r="E72" s="501">
        <v>1</v>
      </c>
      <c r="F72" s="502"/>
      <c r="G72" s="503"/>
      <c r="H72" s="504">
        <f t="shared" ref="H72:H84" si="8">E72*G72</f>
        <v>0</v>
      </c>
      <c r="I72" s="505"/>
      <c r="J72" s="506"/>
      <c r="K72" s="507"/>
      <c r="L72" s="507"/>
      <c r="M72" s="507"/>
      <c r="N72" s="507"/>
      <c r="O72" s="506"/>
      <c r="P72" s="505"/>
    </row>
    <row r="73" spans="2:17" s="420" customFormat="1" ht="11.25" x14ac:dyDescent="0.2">
      <c r="B73" s="1241"/>
      <c r="C73" s="1293"/>
      <c r="D73" s="500"/>
      <c r="E73" s="501">
        <v>1</v>
      </c>
      <c r="F73" s="502"/>
      <c r="G73" s="503"/>
      <c r="H73" s="504">
        <f t="shared" si="8"/>
        <v>0</v>
      </c>
      <c r="I73" s="505"/>
      <c r="J73" s="506"/>
      <c r="K73" s="507"/>
      <c r="L73" s="507"/>
      <c r="M73" s="507"/>
      <c r="N73" s="507"/>
      <c r="O73" s="506"/>
      <c r="P73" s="505"/>
    </row>
    <row r="74" spans="2:17" s="420" customFormat="1" ht="11.25" x14ac:dyDescent="0.2">
      <c r="B74" s="1241"/>
      <c r="C74" s="1293"/>
      <c r="D74" s="500"/>
      <c r="E74" s="501">
        <v>1</v>
      </c>
      <c r="F74" s="502"/>
      <c r="G74" s="503"/>
      <c r="H74" s="504">
        <f t="shared" si="8"/>
        <v>0</v>
      </c>
      <c r="I74" s="505"/>
      <c r="J74" s="506"/>
      <c r="K74" s="507"/>
      <c r="L74" s="507"/>
      <c r="M74" s="507"/>
      <c r="N74" s="507"/>
      <c r="O74" s="506"/>
      <c r="P74" s="505"/>
    </row>
    <row r="75" spans="2:17" s="420" customFormat="1" ht="11.25" x14ac:dyDescent="0.2">
      <c r="B75" s="1241"/>
      <c r="C75" s="1293"/>
      <c r="D75" s="500"/>
      <c r="E75" s="501">
        <v>1</v>
      </c>
      <c r="F75" s="502"/>
      <c r="G75" s="503"/>
      <c r="H75" s="504">
        <f t="shared" si="8"/>
        <v>0</v>
      </c>
      <c r="I75" s="505"/>
      <c r="J75" s="506"/>
      <c r="K75" s="507"/>
      <c r="L75" s="507"/>
      <c r="M75" s="507"/>
      <c r="N75" s="507"/>
      <c r="O75" s="506"/>
      <c r="P75" s="505"/>
    </row>
    <row r="76" spans="2:17" s="420" customFormat="1" ht="11.25" x14ac:dyDescent="0.2">
      <c r="B76" s="1241"/>
      <c r="C76" s="1293"/>
      <c r="D76" s="500"/>
      <c r="E76" s="501">
        <v>1</v>
      </c>
      <c r="F76" s="502"/>
      <c r="G76" s="503"/>
      <c r="H76" s="504">
        <f t="shared" si="8"/>
        <v>0</v>
      </c>
      <c r="I76" s="505"/>
      <c r="J76" s="506"/>
      <c r="K76" s="507"/>
      <c r="L76" s="507"/>
      <c r="M76" s="507"/>
      <c r="N76" s="507"/>
      <c r="O76" s="506"/>
      <c r="P76" s="505"/>
    </row>
    <row r="77" spans="2:17" s="420" customFormat="1" ht="12" thickBot="1" x14ac:dyDescent="0.25">
      <c r="B77" s="1241"/>
      <c r="C77" s="1293"/>
      <c r="D77" s="500" t="s">
        <v>581</v>
      </c>
      <c r="E77" s="501">
        <v>1</v>
      </c>
      <c r="F77" s="502"/>
      <c r="G77" s="503"/>
      <c r="H77" s="504">
        <f t="shared" si="8"/>
        <v>0</v>
      </c>
      <c r="I77" s="905">
        <f>SUM(H72:H77)</f>
        <v>0</v>
      </c>
      <c r="J77" s="506">
        <f>I77*$J$5</f>
        <v>0</v>
      </c>
      <c r="K77" s="507">
        <f>SUM(I77:J77)*$K$5</f>
        <v>0</v>
      </c>
      <c r="L77" s="507">
        <f>SUM(I77:K77)*$L$5</f>
        <v>0</v>
      </c>
      <c r="M77" s="507">
        <f>SUM(I77:L77)*$M$5</f>
        <v>0</v>
      </c>
      <c r="N77" s="507">
        <f>SUM(I77:M77)*$N$5</f>
        <v>0</v>
      </c>
      <c r="O77" s="506">
        <f>SUM(I77:N77)</f>
        <v>0</v>
      </c>
      <c r="P77" s="505">
        <f>ROUND(O77,-3)</f>
        <v>0</v>
      </c>
      <c r="Q77" s="420" t="s">
        <v>514</v>
      </c>
    </row>
    <row r="78" spans="2:17" s="426" customFormat="1" ht="11.25" x14ac:dyDescent="0.2">
      <c r="B78" s="1240" t="str">
        <f>'Detailed Matrix'!E156</f>
        <v>Safety Equipment provision</v>
      </c>
      <c r="C78" s="1292" t="str">
        <f>'Detailed Matrix'!F156</f>
        <v>Provide technical safety equipment like fire detection and alarm systems, increasing the response capacity and users’ feelings of safety, while discouraging potential offenders</v>
      </c>
      <c r="D78" s="492" t="s">
        <v>556</v>
      </c>
      <c r="E78" s="493">
        <v>1</v>
      </c>
      <c r="F78" s="494"/>
      <c r="G78" s="495"/>
      <c r="H78" s="496">
        <f t="shared" si="8"/>
        <v>0</v>
      </c>
      <c r="I78" s="497"/>
      <c r="J78" s="498"/>
      <c r="K78" s="499"/>
      <c r="L78" s="499"/>
      <c r="M78" s="499"/>
      <c r="N78" s="499"/>
      <c r="O78" s="498"/>
      <c r="P78" s="497"/>
    </row>
    <row r="79" spans="2:17" s="426" customFormat="1" ht="11.25" x14ac:dyDescent="0.2">
      <c r="B79" s="1241"/>
      <c r="C79" s="1293"/>
      <c r="D79" s="500"/>
      <c r="E79" s="501">
        <v>1</v>
      </c>
      <c r="F79" s="502"/>
      <c r="G79" s="503"/>
      <c r="H79" s="504">
        <f t="shared" si="8"/>
        <v>0</v>
      </c>
      <c r="I79" s="505"/>
      <c r="J79" s="506"/>
      <c r="K79" s="507"/>
      <c r="L79" s="507"/>
      <c r="M79" s="507"/>
      <c r="N79" s="507"/>
      <c r="O79" s="506"/>
      <c r="P79" s="505"/>
    </row>
    <row r="80" spans="2:17" s="426" customFormat="1" ht="11.25" x14ac:dyDescent="0.2">
      <c r="B80" s="1241"/>
      <c r="C80" s="1293"/>
      <c r="D80" s="500"/>
      <c r="E80" s="501">
        <v>1</v>
      </c>
      <c r="F80" s="502"/>
      <c r="G80" s="503"/>
      <c r="H80" s="504">
        <f t="shared" si="8"/>
        <v>0</v>
      </c>
      <c r="I80" s="505"/>
      <c r="J80" s="506"/>
      <c r="K80" s="507"/>
      <c r="L80" s="507"/>
      <c r="M80" s="507"/>
      <c r="N80" s="507"/>
      <c r="O80" s="506"/>
      <c r="P80" s="505"/>
    </row>
    <row r="81" spans="2:17" s="426" customFormat="1" ht="11.25" x14ac:dyDescent="0.2">
      <c r="B81" s="1241"/>
      <c r="C81" s="1293"/>
      <c r="D81" s="500"/>
      <c r="E81" s="501">
        <v>1</v>
      </c>
      <c r="F81" s="502"/>
      <c r="G81" s="503"/>
      <c r="H81" s="504">
        <f t="shared" si="8"/>
        <v>0</v>
      </c>
      <c r="I81" s="505"/>
      <c r="J81" s="506"/>
      <c r="K81" s="507"/>
      <c r="L81" s="507"/>
      <c r="M81" s="507"/>
      <c r="N81" s="507"/>
      <c r="O81" s="506"/>
      <c r="P81" s="505"/>
    </row>
    <row r="82" spans="2:17" s="426" customFormat="1" ht="11.25" x14ac:dyDescent="0.2">
      <c r="B82" s="1241"/>
      <c r="C82" s="1293"/>
      <c r="D82" s="500"/>
      <c r="E82" s="501">
        <v>1</v>
      </c>
      <c r="F82" s="502"/>
      <c r="G82" s="503"/>
      <c r="H82" s="504">
        <f t="shared" si="8"/>
        <v>0</v>
      </c>
      <c r="I82" s="505"/>
      <c r="J82" s="506"/>
      <c r="K82" s="507"/>
      <c r="L82" s="507"/>
      <c r="M82" s="507"/>
      <c r="N82" s="507"/>
      <c r="O82" s="506"/>
      <c r="P82" s="505"/>
    </row>
    <row r="83" spans="2:17" s="426" customFormat="1" ht="11.25" x14ac:dyDescent="0.2">
      <c r="B83" s="1241"/>
      <c r="C83" s="1293"/>
      <c r="D83" s="500"/>
      <c r="E83" s="501">
        <v>1</v>
      </c>
      <c r="F83" s="502"/>
      <c r="G83" s="503"/>
      <c r="H83" s="504">
        <f t="shared" si="8"/>
        <v>0</v>
      </c>
      <c r="I83" s="505"/>
      <c r="J83" s="506"/>
      <c r="K83" s="507"/>
      <c r="L83" s="507"/>
      <c r="M83" s="507"/>
      <c r="N83" s="507"/>
      <c r="O83" s="506"/>
      <c r="P83" s="505"/>
    </row>
    <row r="84" spans="2:17" s="426" customFormat="1" ht="11.25" x14ac:dyDescent="0.2">
      <c r="B84" s="1241"/>
      <c r="C84" s="1293"/>
      <c r="D84" s="500" t="s">
        <v>581</v>
      </c>
      <c r="E84" s="501"/>
      <c r="F84" s="502"/>
      <c r="G84" s="503"/>
      <c r="H84" s="504">
        <f t="shared" si="8"/>
        <v>0</v>
      </c>
      <c r="I84" s="875">
        <f>SUM(H78:H84)</f>
        <v>0</v>
      </c>
      <c r="J84" s="506">
        <f>I84*$J$5</f>
        <v>0</v>
      </c>
      <c r="K84" s="507">
        <f>SUM(I84:J84)*$K$5</f>
        <v>0</v>
      </c>
      <c r="L84" s="507">
        <f>SUM(I84:K84)*$L$5</f>
        <v>0</v>
      </c>
      <c r="M84" s="507">
        <f>SUM(I84:L84)*$M$5</f>
        <v>0</v>
      </c>
      <c r="N84" s="507">
        <f>SUM(I84:M84)*$N$5</f>
        <v>0</v>
      </c>
      <c r="O84" s="506">
        <f>SUM(I84:N84)</f>
        <v>0</v>
      </c>
      <c r="P84" s="505">
        <f>ROUND(O84,-3)</f>
        <v>0</v>
      </c>
      <c r="Q84" s="426" t="s">
        <v>514</v>
      </c>
    </row>
    <row r="85" spans="2:17" s="426" customFormat="1" ht="11.25" x14ac:dyDescent="0.2">
      <c r="B85" s="1241"/>
      <c r="C85" s="1293"/>
      <c r="D85" s="500"/>
      <c r="E85" s="501"/>
      <c r="F85" s="502"/>
      <c r="G85" s="503"/>
      <c r="H85" s="504"/>
      <c r="I85" s="505"/>
      <c r="J85" s="506"/>
      <c r="K85" s="507"/>
      <c r="L85" s="507"/>
      <c r="M85" s="507"/>
      <c r="N85" s="507"/>
      <c r="O85" s="506"/>
      <c r="P85" s="505"/>
    </row>
    <row r="86" spans="2:17" s="426" customFormat="1" ht="11.25" x14ac:dyDescent="0.2">
      <c r="B86" s="1241"/>
      <c r="C86" s="1293"/>
      <c r="D86" s="500" t="s">
        <v>557</v>
      </c>
      <c r="E86" s="501">
        <v>1</v>
      </c>
      <c r="F86" s="502"/>
      <c r="G86" s="503"/>
      <c r="H86" s="504">
        <f t="shared" ref="H86:H98" si="9">E86*G86</f>
        <v>0</v>
      </c>
      <c r="I86" s="505"/>
      <c r="J86" s="506"/>
      <c r="K86" s="507"/>
      <c r="L86" s="507"/>
      <c r="M86" s="507"/>
      <c r="N86" s="507"/>
      <c r="O86" s="506"/>
      <c r="P86" s="505"/>
    </row>
    <row r="87" spans="2:17" s="426" customFormat="1" ht="11.25" x14ac:dyDescent="0.2">
      <c r="B87" s="1241"/>
      <c r="C87" s="1293"/>
      <c r="D87" s="500"/>
      <c r="E87" s="501">
        <v>1</v>
      </c>
      <c r="F87" s="502"/>
      <c r="G87" s="503"/>
      <c r="H87" s="504">
        <f t="shared" si="9"/>
        <v>0</v>
      </c>
      <c r="I87" s="505"/>
      <c r="J87" s="506"/>
      <c r="K87" s="507"/>
      <c r="L87" s="507"/>
      <c r="M87" s="507"/>
      <c r="N87" s="507"/>
      <c r="O87" s="506"/>
      <c r="P87" s="505"/>
    </row>
    <row r="88" spans="2:17" s="426" customFormat="1" ht="11.25" x14ac:dyDescent="0.2">
      <c r="B88" s="1241"/>
      <c r="C88" s="1293"/>
      <c r="D88" s="500"/>
      <c r="E88" s="501">
        <v>1</v>
      </c>
      <c r="F88" s="502"/>
      <c r="G88" s="503"/>
      <c r="H88" s="504">
        <f t="shared" si="9"/>
        <v>0</v>
      </c>
      <c r="I88" s="505"/>
      <c r="J88" s="506"/>
      <c r="K88" s="507"/>
      <c r="L88" s="507"/>
      <c r="M88" s="507"/>
      <c r="N88" s="507"/>
      <c r="O88" s="506"/>
      <c r="P88" s="505"/>
    </row>
    <row r="89" spans="2:17" s="426" customFormat="1" ht="11.25" x14ac:dyDescent="0.2">
      <c r="B89" s="1241"/>
      <c r="C89" s="1293"/>
      <c r="D89" s="500"/>
      <c r="E89" s="501">
        <v>1</v>
      </c>
      <c r="F89" s="502"/>
      <c r="G89" s="503"/>
      <c r="H89" s="504">
        <f t="shared" si="9"/>
        <v>0</v>
      </c>
      <c r="I89" s="505"/>
      <c r="J89" s="506"/>
      <c r="K89" s="507"/>
      <c r="L89" s="507"/>
      <c r="M89" s="507"/>
      <c r="N89" s="507"/>
      <c r="O89" s="506"/>
      <c r="P89" s="505"/>
    </row>
    <row r="90" spans="2:17" s="426" customFormat="1" ht="11.1" customHeight="1" x14ac:dyDescent="0.2">
      <c r="B90" s="1241"/>
      <c r="C90" s="1293"/>
      <c r="D90" s="508"/>
      <c r="E90" s="501">
        <v>1</v>
      </c>
      <c r="F90" s="502"/>
      <c r="G90" s="503"/>
      <c r="H90" s="509">
        <f t="shared" si="9"/>
        <v>0</v>
      </c>
      <c r="I90" s="512"/>
      <c r="J90" s="513"/>
      <c r="K90" s="514"/>
      <c r="L90" s="514"/>
      <c r="M90" s="514"/>
      <c r="N90" s="514"/>
      <c r="O90" s="515"/>
      <c r="P90" s="512"/>
    </row>
    <row r="91" spans="2:17" s="426" customFormat="1" ht="12" thickBot="1" x14ac:dyDescent="0.25">
      <c r="B91" s="1242"/>
      <c r="C91" s="1294"/>
      <c r="D91" s="516" t="s">
        <v>581</v>
      </c>
      <c r="E91" s="517">
        <v>1</v>
      </c>
      <c r="F91" s="518"/>
      <c r="G91" s="519"/>
      <c r="H91" s="520">
        <f t="shared" si="9"/>
        <v>0</v>
      </c>
      <c r="I91" s="932">
        <f>SUM(H86:H91)</f>
        <v>0</v>
      </c>
      <c r="J91" s="522">
        <f>I91*$J$5</f>
        <v>0</v>
      </c>
      <c r="K91" s="523">
        <f>SUM(I91:J91)*$K$5</f>
        <v>0</v>
      </c>
      <c r="L91" s="523">
        <f>SUM(I91:K91)*$L$5</f>
        <v>0</v>
      </c>
      <c r="M91" s="523">
        <f>SUM(I91:L91)*$M$5</f>
        <v>0</v>
      </c>
      <c r="N91" s="523">
        <f>SUM(I91:M91)*$N$5</f>
        <v>0</v>
      </c>
      <c r="O91" s="522">
        <f>SUM(I91:N91)</f>
        <v>0</v>
      </c>
      <c r="P91" s="521">
        <f>ROUND(O91,-3)</f>
        <v>0</v>
      </c>
      <c r="Q91" s="426" t="s">
        <v>514</v>
      </c>
    </row>
    <row r="92" spans="2:17" s="420" customFormat="1" ht="11.25" customHeight="1" x14ac:dyDescent="0.2">
      <c r="B92" s="1240" t="str">
        <f>'Detailed Matrix'!E157</f>
        <v>Eliminate blind corners, confined spaces and hiding places</v>
      </c>
      <c r="C92" s="1292" t="str">
        <f>'Detailed Matrix'!F157</f>
        <v>Eliminate blind corners, confined spaces and hiding places</v>
      </c>
      <c r="D92" s="492" t="s">
        <v>556</v>
      </c>
      <c r="E92" s="493">
        <v>1</v>
      </c>
      <c r="F92" s="494"/>
      <c r="G92" s="495"/>
      <c r="H92" s="496">
        <f t="shared" si="9"/>
        <v>0</v>
      </c>
      <c r="I92" s="497"/>
      <c r="J92" s="498"/>
      <c r="K92" s="499"/>
      <c r="L92" s="499"/>
      <c r="M92" s="499"/>
      <c r="N92" s="499"/>
      <c r="O92" s="498"/>
      <c r="P92" s="497"/>
    </row>
    <row r="93" spans="2:17" s="420" customFormat="1" ht="11.25" customHeight="1" x14ac:dyDescent="0.2">
      <c r="B93" s="1241"/>
      <c r="C93" s="1293"/>
      <c r="D93" s="508"/>
      <c r="E93" s="501">
        <v>1</v>
      </c>
      <c r="F93" s="502"/>
      <c r="G93" s="503"/>
      <c r="H93" s="509">
        <f t="shared" si="9"/>
        <v>0</v>
      </c>
      <c r="I93" s="512"/>
      <c r="J93" s="513"/>
      <c r="K93" s="514"/>
      <c r="L93" s="514"/>
      <c r="M93" s="514"/>
      <c r="N93" s="514"/>
      <c r="O93" s="515"/>
      <c r="P93" s="512"/>
    </row>
    <row r="94" spans="2:17" s="420" customFormat="1" ht="11.25" customHeight="1" x14ac:dyDescent="0.2">
      <c r="B94" s="1241"/>
      <c r="C94" s="1293"/>
      <c r="D94" s="500"/>
      <c r="E94" s="500">
        <v>1</v>
      </c>
      <c r="F94" s="500"/>
      <c r="G94" s="500"/>
      <c r="H94" s="575">
        <f t="shared" si="9"/>
        <v>0</v>
      </c>
      <c r="I94" s="576"/>
      <c r="J94" s="577"/>
      <c r="K94" s="578"/>
      <c r="L94" s="578"/>
      <c r="M94" s="578"/>
      <c r="N94" s="578"/>
      <c r="O94" s="579"/>
      <c r="P94" s="576"/>
    </row>
    <row r="95" spans="2:17" s="420" customFormat="1" ht="11.25" customHeight="1" x14ac:dyDescent="0.2">
      <c r="B95" s="1241"/>
      <c r="C95" s="1293"/>
      <c r="D95" s="500"/>
      <c r="E95" s="500">
        <v>1</v>
      </c>
      <c r="F95" s="500"/>
      <c r="G95" s="500"/>
      <c r="H95" s="575">
        <f t="shared" si="9"/>
        <v>0</v>
      </c>
      <c r="I95" s="576"/>
      <c r="J95" s="577"/>
      <c r="K95" s="578"/>
      <c r="L95" s="578"/>
      <c r="M95" s="578"/>
      <c r="N95" s="578"/>
      <c r="O95" s="579"/>
      <c r="P95" s="576"/>
    </row>
    <row r="96" spans="2:17" s="420" customFormat="1" ht="11.25" customHeight="1" x14ac:dyDescent="0.2">
      <c r="B96" s="1241"/>
      <c r="C96" s="1293"/>
      <c r="D96" s="500"/>
      <c r="E96" s="500">
        <v>1</v>
      </c>
      <c r="F96" s="500"/>
      <c r="G96" s="500"/>
      <c r="H96" s="575">
        <f t="shared" si="9"/>
        <v>0</v>
      </c>
      <c r="I96" s="576"/>
      <c r="J96" s="577"/>
      <c r="K96" s="578"/>
      <c r="L96" s="578"/>
      <c r="M96" s="578"/>
      <c r="N96" s="578"/>
      <c r="O96" s="579"/>
      <c r="P96" s="576"/>
    </row>
    <row r="97" spans="2:17" s="420" customFormat="1" ht="11.25" customHeight="1" x14ac:dyDescent="0.2">
      <c r="B97" s="1241"/>
      <c r="C97" s="1293"/>
      <c r="D97" s="500"/>
      <c r="E97" s="500">
        <v>1</v>
      </c>
      <c r="F97" s="500"/>
      <c r="G97" s="500"/>
      <c r="H97" s="575">
        <f t="shared" si="9"/>
        <v>0</v>
      </c>
      <c r="I97" s="576"/>
      <c r="J97" s="577"/>
      <c r="K97" s="578"/>
      <c r="L97" s="578"/>
      <c r="M97" s="578"/>
      <c r="N97" s="578"/>
      <c r="O97" s="579"/>
      <c r="P97" s="576"/>
    </row>
    <row r="98" spans="2:17" s="420" customFormat="1" ht="11.25" customHeight="1" x14ac:dyDescent="0.2">
      <c r="B98" s="1241"/>
      <c r="C98" s="1293"/>
      <c r="D98" s="500" t="s">
        <v>581</v>
      </c>
      <c r="E98" s="500"/>
      <c r="F98" s="500"/>
      <c r="G98" s="500"/>
      <c r="H98" s="575">
        <f t="shared" si="9"/>
        <v>0</v>
      </c>
      <c r="I98" s="866">
        <f>SUM(H92:H98)</f>
        <v>0</v>
      </c>
      <c r="J98" s="577">
        <f>I98*$J$5</f>
        <v>0</v>
      </c>
      <c r="K98" s="578">
        <f>SUM(I98:J98)*$K$5</f>
        <v>0</v>
      </c>
      <c r="L98" s="578">
        <f>SUM(I98:K98)*$L$5</f>
        <v>0</v>
      </c>
      <c r="M98" s="578">
        <f>SUM(I98:L98)*$M$5</f>
        <v>0</v>
      </c>
      <c r="N98" s="578">
        <f>SUM(I98:M98)*$N$5</f>
        <v>0</v>
      </c>
      <c r="O98" s="579">
        <f>SUM(I98:N98)</f>
        <v>0</v>
      </c>
      <c r="P98" s="576">
        <f>ROUND(O98,-3)</f>
        <v>0</v>
      </c>
      <c r="Q98" s="420" t="s">
        <v>514</v>
      </c>
    </row>
    <row r="99" spans="2:17" s="420" customFormat="1" ht="11.25" customHeight="1" x14ac:dyDescent="0.2">
      <c r="B99" s="1241"/>
      <c r="C99" s="1293"/>
      <c r="D99" s="500"/>
      <c r="E99" s="500"/>
      <c r="F99" s="500"/>
      <c r="G99" s="500"/>
      <c r="H99" s="575"/>
      <c r="I99" s="576"/>
      <c r="J99" s="577"/>
      <c r="K99" s="578"/>
      <c r="L99" s="578"/>
      <c r="M99" s="578"/>
      <c r="N99" s="578"/>
      <c r="O99" s="579"/>
      <c r="P99" s="576"/>
    </row>
    <row r="100" spans="2:17" s="420" customFormat="1" ht="11.25" customHeight="1" x14ac:dyDescent="0.2">
      <c r="B100" s="1241"/>
      <c r="C100" s="1293"/>
      <c r="D100" s="500" t="s">
        <v>557</v>
      </c>
      <c r="E100" s="500">
        <v>1</v>
      </c>
      <c r="F100" s="500"/>
      <c r="G100" s="500"/>
      <c r="H100" s="575">
        <f t="shared" ref="H100:H112" si="10">E100*G100</f>
        <v>0</v>
      </c>
      <c r="I100" s="576"/>
      <c r="J100" s="577"/>
      <c r="K100" s="578"/>
      <c r="L100" s="578"/>
      <c r="M100" s="578"/>
      <c r="N100" s="578"/>
      <c r="O100" s="579"/>
      <c r="P100" s="576"/>
    </row>
    <row r="101" spans="2:17" s="420" customFormat="1" ht="11.25" customHeight="1" x14ac:dyDescent="0.2">
      <c r="B101" s="1241"/>
      <c r="C101" s="1293"/>
      <c r="D101" s="500"/>
      <c r="E101" s="500">
        <v>1</v>
      </c>
      <c r="F101" s="500"/>
      <c r="G101" s="500"/>
      <c r="H101" s="575">
        <f t="shared" si="10"/>
        <v>0</v>
      </c>
      <c r="I101" s="576"/>
      <c r="J101" s="577"/>
      <c r="K101" s="578"/>
      <c r="L101" s="578"/>
      <c r="M101" s="578"/>
      <c r="N101" s="578"/>
      <c r="O101" s="579"/>
      <c r="P101" s="576"/>
    </row>
    <row r="102" spans="2:17" s="420" customFormat="1" ht="11.25" customHeight="1" x14ac:dyDescent="0.2">
      <c r="B102" s="1241"/>
      <c r="C102" s="1293"/>
      <c r="D102" s="500"/>
      <c r="E102" s="500">
        <v>1</v>
      </c>
      <c r="F102" s="500"/>
      <c r="G102" s="500"/>
      <c r="H102" s="575">
        <f t="shared" si="10"/>
        <v>0</v>
      </c>
      <c r="I102" s="576"/>
      <c r="J102" s="577"/>
      <c r="K102" s="578"/>
      <c r="L102" s="578"/>
      <c r="M102" s="578"/>
      <c r="N102" s="578"/>
      <c r="O102" s="579"/>
      <c r="P102" s="576"/>
    </row>
    <row r="103" spans="2:17" s="420" customFormat="1" ht="11.25" customHeight="1" x14ac:dyDescent="0.2">
      <c r="B103" s="1241"/>
      <c r="C103" s="1293"/>
      <c r="D103" s="500"/>
      <c r="E103" s="500">
        <v>1</v>
      </c>
      <c r="F103" s="500"/>
      <c r="G103" s="500"/>
      <c r="H103" s="575">
        <f t="shared" si="10"/>
        <v>0</v>
      </c>
      <c r="I103" s="576"/>
      <c r="J103" s="577"/>
      <c r="K103" s="578"/>
      <c r="L103" s="578"/>
      <c r="M103" s="578"/>
      <c r="N103" s="578"/>
      <c r="O103" s="579"/>
      <c r="P103" s="576"/>
    </row>
    <row r="104" spans="2:17" s="420" customFormat="1" ht="11.25" customHeight="1" x14ac:dyDescent="0.2">
      <c r="B104" s="1241"/>
      <c r="C104" s="1293"/>
      <c r="D104" s="500"/>
      <c r="E104" s="500">
        <v>1</v>
      </c>
      <c r="F104" s="500"/>
      <c r="G104" s="500"/>
      <c r="H104" s="575">
        <f t="shared" si="10"/>
        <v>0</v>
      </c>
      <c r="I104" s="576"/>
      <c r="J104" s="577"/>
      <c r="K104" s="578"/>
      <c r="L104" s="578"/>
      <c r="M104" s="578"/>
      <c r="N104" s="578"/>
      <c r="O104" s="579"/>
      <c r="P104" s="576"/>
    </row>
    <row r="105" spans="2:17" s="420" customFormat="1" ht="12" thickBot="1" x14ac:dyDescent="0.25">
      <c r="B105" s="1242"/>
      <c r="C105" s="1294"/>
      <c r="D105" s="516" t="s">
        <v>581</v>
      </c>
      <c r="E105" s="517">
        <v>1</v>
      </c>
      <c r="F105" s="518"/>
      <c r="G105" s="519"/>
      <c r="H105" s="520">
        <f t="shared" si="10"/>
        <v>0</v>
      </c>
      <c r="I105" s="932">
        <f>SUM(H100:H105)</f>
        <v>0</v>
      </c>
      <c r="J105" s="522">
        <f>I105*$J$5</f>
        <v>0</v>
      </c>
      <c r="K105" s="523">
        <f>SUM(I105:J105)*$K$5</f>
        <v>0</v>
      </c>
      <c r="L105" s="523">
        <f>SUM(I105:K105)*$L$5</f>
        <v>0</v>
      </c>
      <c r="M105" s="523">
        <f>SUM(I105:L105)*$M$5</f>
        <v>0</v>
      </c>
      <c r="N105" s="523">
        <f>SUM(I105:M105)*$N$5</f>
        <v>0</v>
      </c>
      <c r="O105" s="522">
        <f>SUM(I105:N105)</f>
        <v>0</v>
      </c>
      <c r="P105" s="521">
        <f>ROUND(O105,-3)</f>
        <v>0</v>
      </c>
      <c r="Q105" s="420" t="s">
        <v>514</v>
      </c>
    </row>
    <row r="106" spans="2:17" s="420" customFormat="1" ht="11.25" x14ac:dyDescent="0.2">
      <c r="B106" s="1240" t="str">
        <f>'Detailed Matrix'!E158</f>
        <v>Pedestrian safety</v>
      </c>
      <c r="C106" s="1292" t="str">
        <f>'Detailed Matrix'!F158</f>
        <v>Limit volume and speed of traffic within the building site by incorporating safe pedestrian, non-motorized transport, and delimited recreational facilities/play areas away from access roads</v>
      </c>
      <c r="D106" s="492" t="s">
        <v>556</v>
      </c>
      <c r="E106" s="493">
        <v>1</v>
      </c>
      <c r="F106" s="494"/>
      <c r="G106" s="495"/>
      <c r="H106" s="496">
        <f t="shared" si="10"/>
        <v>0</v>
      </c>
      <c r="I106" s="497"/>
      <c r="J106" s="498"/>
      <c r="K106" s="499"/>
      <c r="L106" s="499"/>
      <c r="M106" s="499"/>
      <c r="N106" s="499"/>
      <c r="O106" s="498"/>
      <c r="P106" s="497"/>
    </row>
    <row r="107" spans="2:17" s="420" customFormat="1" ht="11.25" x14ac:dyDescent="0.2">
      <c r="B107" s="1241"/>
      <c r="C107" s="1293"/>
      <c r="D107" s="508"/>
      <c r="E107" s="501">
        <v>1</v>
      </c>
      <c r="F107" s="502"/>
      <c r="G107" s="503"/>
      <c r="H107" s="509">
        <f t="shared" si="10"/>
        <v>0</v>
      </c>
      <c r="I107" s="512"/>
      <c r="J107" s="513"/>
      <c r="K107" s="514"/>
      <c r="L107" s="514"/>
      <c r="M107" s="514"/>
      <c r="N107" s="514"/>
      <c r="O107" s="515"/>
      <c r="P107" s="512"/>
    </row>
    <row r="108" spans="2:17" s="420" customFormat="1" ht="11.25" x14ac:dyDescent="0.2">
      <c r="B108" s="1241"/>
      <c r="C108" s="1293"/>
      <c r="D108" s="500"/>
      <c r="E108" s="500">
        <v>1</v>
      </c>
      <c r="F108" s="500"/>
      <c r="G108" s="500"/>
      <c r="H108" s="575">
        <f t="shared" si="10"/>
        <v>0</v>
      </c>
      <c r="I108" s="576"/>
      <c r="J108" s="577"/>
      <c r="K108" s="578"/>
      <c r="L108" s="578"/>
      <c r="M108" s="578"/>
      <c r="N108" s="578"/>
      <c r="O108" s="579"/>
      <c r="P108" s="576"/>
    </row>
    <row r="109" spans="2:17" s="420" customFormat="1" ht="11.25" x14ac:dyDescent="0.2">
      <c r="B109" s="1241"/>
      <c r="C109" s="1293"/>
      <c r="D109" s="500"/>
      <c r="E109" s="500">
        <v>1</v>
      </c>
      <c r="F109" s="500"/>
      <c r="G109" s="500"/>
      <c r="H109" s="575">
        <f t="shared" si="10"/>
        <v>0</v>
      </c>
      <c r="I109" s="576"/>
      <c r="J109" s="577"/>
      <c r="K109" s="578"/>
      <c r="L109" s="578"/>
      <c r="M109" s="578"/>
      <c r="N109" s="578"/>
      <c r="O109" s="579"/>
      <c r="P109" s="576"/>
    </row>
    <row r="110" spans="2:17" s="420" customFormat="1" ht="11.25" x14ac:dyDescent="0.2">
      <c r="B110" s="1241"/>
      <c r="C110" s="1293"/>
      <c r="D110" s="500"/>
      <c r="E110" s="500">
        <v>1</v>
      </c>
      <c r="F110" s="500"/>
      <c r="G110" s="500"/>
      <c r="H110" s="575">
        <f t="shared" si="10"/>
        <v>0</v>
      </c>
      <c r="I110" s="576"/>
      <c r="J110" s="577"/>
      <c r="K110" s="578"/>
      <c r="L110" s="578"/>
      <c r="M110" s="578"/>
      <c r="N110" s="578"/>
      <c r="O110" s="579"/>
      <c r="P110" s="576"/>
    </row>
    <row r="111" spans="2:17" s="420" customFormat="1" ht="11.25" x14ac:dyDescent="0.2">
      <c r="B111" s="1241"/>
      <c r="C111" s="1293"/>
      <c r="D111" s="500"/>
      <c r="E111" s="500">
        <v>1</v>
      </c>
      <c r="F111" s="500"/>
      <c r="G111" s="500"/>
      <c r="H111" s="575">
        <f t="shared" si="10"/>
        <v>0</v>
      </c>
      <c r="I111" s="576"/>
      <c r="J111" s="577"/>
      <c r="K111" s="578"/>
      <c r="L111" s="578"/>
      <c r="M111" s="578"/>
      <c r="N111" s="578"/>
      <c r="O111" s="579"/>
      <c r="P111" s="576"/>
    </row>
    <row r="112" spans="2:17" s="420" customFormat="1" ht="11.25" x14ac:dyDescent="0.2">
      <c r="B112" s="1241"/>
      <c r="C112" s="1293"/>
      <c r="D112" s="500" t="s">
        <v>581</v>
      </c>
      <c r="E112" s="500"/>
      <c r="F112" s="500"/>
      <c r="G112" s="500"/>
      <c r="H112" s="575">
        <f t="shared" si="10"/>
        <v>0</v>
      </c>
      <c r="I112" s="866">
        <f>SUM(H106:H112)</f>
        <v>0</v>
      </c>
      <c r="J112" s="577">
        <f>I112*$J$5</f>
        <v>0</v>
      </c>
      <c r="K112" s="578">
        <f>SUM(I112:J112)*$K$5</f>
        <v>0</v>
      </c>
      <c r="L112" s="578">
        <f>SUM(I112:K112)*$L$5</f>
        <v>0</v>
      </c>
      <c r="M112" s="578">
        <f>SUM(I112:L112)*$M$5</f>
        <v>0</v>
      </c>
      <c r="N112" s="578">
        <f>SUM(I112:M112)*$N$5</f>
        <v>0</v>
      </c>
      <c r="O112" s="579">
        <f>SUM(I112:N112)</f>
        <v>0</v>
      </c>
      <c r="P112" s="576">
        <f>ROUND(O112,-3)</f>
        <v>0</v>
      </c>
      <c r="Q112" s="420" t="s">
        <v>514</v>
      </c>
    </row>
    <row r="113" spans="2:17" s="420" customFormat="1" ht="11.25" x14ac:dyDescent="0.2">
      <c r="B113" s="1241"/>
      <c r="C113" s="1293"/>
      <c r="D113" s="500"/>
      <c r="E113" s="500"/>
      <c r="F113" s="500"/>
      <c r="G113" s="500"/>
      <c r="H113" s="575"/>
      <c r="I113" s="576"/>
      <c r="J113" s="577"/>
      <c r="K113" s="578"/>
      <c r="L113" s="578"/>
      <c r="M113" s="578"/>
      <c r="N113" s="578"/>
      <c r="O113" s="579"/>
      <c r="P113" s="576"/>
    </row>
    <row r="114" spans="2:17" s="420" customFormat="1" ht="11.25" x14ac:dyDescent="0.2">
      <c r="B114" s="1241"/>
      <c r="C114" s="1293"/>
      <c r="D114" s="500" t="s">
        <v>557</v>
      </c>
      <c r="E114" s="500">
        <v>1</v>
      </c>
      <c r="F114" s="500"/>
      <c r="G114" s="500"/>
      <c r="H114" s="575">
        <f t="shared" ref="H114:H126" si="11">E114*G114</f>
        <v>0</v>
      </c>
      <c r="I114" s="576"/>
      <c r="J114" s="577"/>
      <c r="K114" s="578"/>
      <c r="L114" s="578"/>
      <c r="M114" s="578"/>
      <c r="N114" s="578"/>
      <c r="O114" s="579"/>
      <c r="P114" s="576"/>
    </row>
    <row r="115" spans="2:17" s="420" customFormat="1" ht="11.25" x14ac:dyDescent="0.2">
      <c r="B115" s="1241"/>
      <c r="C115" s="1293"/>
      <c r="D115" s="500"/>
      <c r="E115" s="500">
        <v>1</v>
      </c>
      <c r="F115" s="500"/>
      <c r="G115" s="500"/>
      <c r="H115" s="575">
        <f t="shared" si="11"/>
        <v>0</v>
      </c>
      <c r="I115" s="576"/>
      <c r="J115" s="577"/>
      <c r="K115" s="578"/>
      <c r="L115" s="578"/>
      <c r="M115" s="578"/>
      <c r="N115" s="578"/>
      <c r="O115" s="579"/>
      <c r="P115" s="576"/>
    </row>
    <row r="116" spans="2:17" s="420" customFormat="1" ht="11.25" x14ac:dyDescent="0.2">
      <c r="B116" s="1241"/>
      <c r="C116" s="1293"/>
      <c r="D116" s="500"/>
      <c r="E116" s="500">
        <v>1</v>
      </c>
      <c r="F116" s="500"/>
      <c r="G116" s="500"/>
      <c r="H116" s="575">
        <f t="shared" si="11"/>
        <v>0</v>
      </c>
      <c r="I116" s="576"/>
      <c r="J116" s="577"/>
      <c r="K116" s="578"/>
      <c r="L116" s="578"/>
      <c r="M116" s="578"/>
      <c r="N116" s="578"/>
      <c r="O116" s="579"/>
      <c r="P116" s="576"/>
    </row>
    <row r="117" spans="2:17" s="420" customFormat="1" ht="11.25" x14ac:dyDescent="0.2">
      <c r="B117" s="1241"/>
      <c r="C117" s="1293"/>
      <c r="D117" s="500"/>
      <c r="E117" s="500">
        <v>1</v>
      </c>
      <c r="F117" s="500"/>
      <c r="G117" s="500"/>
      <c r="H117" s="575">
        <f t="shared" si="11"/>
        <v>0</v>
      </c>
      <c r="I117" s="576"/>
      <c r="J117" s="577"/>
      <c r="K117" s="578"/>
      <c r="L117" s="578"/>
      <c r="M117" s="578"/>
      <c r="N117" s="578"/>
      <c r="O117" s="579"/>
      <c r="P117" s="576"/>
    </row>
    <row r="118" spans="2:17" s="420" customFormat="1" ht="11.25" x14ac:dyDescent="0.2">
      <c r="B118" s="1241"/>
      <c r="C118" s="1293"/>
      <c r="D118" s="500"/>
      <c r="E118" s="500">
        <v>1</v>
      </c>
      <c r="F118" s="500"/>
      <c r="G118" s="500"/>
      <c r="H118" s="575">
        <f t="shared" si="11"/>
        <v>0</v>
      </c>
      <c r="I118" s="576"/>
      <c r="J118" s="577"/>
      <c r="K118" s="578"/>
      <c r="L118" s="578"/>
      <c r="M118" s="578"/>
      <c r="N118" s="578"/>
      <c r="O118" s="579"/>
      <c r="P118" s="576"/>
    </row>
    <row r="119" spans="2:17" s="420" customFormat="1" ht="11.25" customHeight="1" thickBot="1" x14ac:dyDescent="0.25">
      <c r="B119" s="1241"/>
      <c r="C119" s="1293"/>
      <c r="D119" s="516" t="s">
        <v>581</v>
      </c>
      <c r="E119" s="517">
        <v>1</v>
      </c>
      <c r="F119" s="518"/>
      <c r="G119" s="519"/>
      <c r="H119" s="520">
        <f t="shared" si="11"/>
        <v>0</v>
      </c>
      <c r="I119" s="932">
        <f>SUM(H114:H119)</f>
        <v>0</v>
      </c>
      <c r="J119" s="522">
        <f>I119*$J$5</f>
        <v>0</v>
      </c>
      <c r="K119" s="523">
        <f>SUM(I119:J119)*$K$5</f>
        <v>0</v>
      </c>
      <c r="L119" s="523">
        <f>SUM(I119:K119)*$L$5</f>
        <v>0</v>
      </c>
      <c r="M119" s="523">
        <f>SUM(I119:L119)*$M$5</f>
        <v>0</v>
      </c>
      <c r="N119" s="523">
        <f>SUM(I119:M119)*$N$5</f>
        <v>0</v>
      </c>
      <c r="O119" s="522">
        <f>SUM(I119:N119)</f>
        <v>0</v>
      </c>
      <c r="P119" s="521">
        <f>ROUND(O119,-3)</f>
        <v>0</v>
      </c>
      <c r="Q119" s="420" t="s">
        <v>514</v>
      </c>
    </row>
    <row r="120" spans="2:17" s="420" customFormat="1" ht="11.25" x14ac:dyDescent="0.2">
      <c r="B120" s="1263" t="str">
        <f>'Detailed Matrix'!E159</f>
        <v>Pest Management Measures</v>
      </c>
      <c r="C120" s="1289" t="str">
        <f>'Detailed Matrix'!F159</f>
        <v>Use Integrated Pest Management (IPM) concepts and requirements into facility design and construction for both interior, landscape and grass pest</v>
      </c>
      <c r="D120" s="390" t="s">
        <v>556</v>
      </c>
      <c r="E120" s="391">
        <v>1</v>
      </c>
      <c r="F120" s="392"/>
      <c r="G120" s="393"/>
      <c r="H120" s="394">
        <f t="shared" si="11"/>
        <v>0</v>
      </c>
      <c r="I120" s="395"/>
      <c r="J120" s="396"/>
      <c r="K120" s="397"/>
      <c r="L120" s="397"/>
      <c r="M120" s="397"/>
      <c r="N120" s="397"/>
      <c r="O120" s="396"/>
      <c r="P120" s="395"/>
    </row>
    <row r="121" spans="2:17" s="420" customFormat="1" ht="11.25" x14ac:dyDescent="0.2">
      <c r="B121" s="1264"/>
      <c r="C121" s="1290"/>
      <c r="D121" s="768"/>
      <c r="E121" s="399">
        <v>1</v>
      </c>
      <c r="F121" s="400"/>
      <c r="G121" s="401"/>
      <c r="H121" s="722">
        <f t="shared" si="11"/>
        <v>0</v>
      </c>
      <c r="I121" s="723"/>
      <c r="J121" s="724"/>
      <c r="K121" s="725"/>
      <c r="L121" s="725"/>
      <c r="M121" s="725"/>
      <c r="N121" s="725"/>
      <c r="O121" s="724"/>
      <c r="P121" s="723"/>
    </row>
    <row r="122" spans="2:17" s="420" customFormat="1" ht="11.25" x14ac:dyDescent="0.2">
      <c r="B122" s="1264"/>
      <c r="C122" s="1290"/>
      <c r="D122" s="768"/>
      <c r="E122" s="399">
        <v>1</v>
      </c>
      <c r="F122" s="400"/>
      <c r="G122" s="401"/>
      <c r="H122" s="722">
        <f t="shared" si="11"/>
        <v>0</v>
      </c>
      <c r="I122" s="723"/>
      <c r="J122" s="724"/>
      <c r="K122" s="725"/>
      <c r="L122" s="725"/>
      <c r="M122" s="725"/>
      <c r="N122" s="725"/>
      <c r="O122" s="724"/>
      <c r="P122" s="723"/>
    </row>
    <row r="123" spans="2:17" s="420" customFormat="1" ht="11.25" x14ac:dyDescent="0.2">
      <c r="B123" s="1264"/>
      <c r="C123" s="1290"/>
      <c r="D123" s="768"/>
      <c r="E123" s="399">
        <v>1</v>
      </c>
      <c r="F123" s="400"/>
      <c r="G123" s="401"/>
      <c r="H123" s="722">
        <f t="shared" si="11"/>
        <v>0</v>
      </c>
      <c r="I123" s="723"/>
      <c r="J123" s="724"/>
      <c r="K123" s="725"/>
      <c r="L123" s="725"/>
      <c r="M123" s="725"/>
      <c r="N123" s="725"/>
      <c r="O123" s="724"/>
      <c r="P123" s="723"/>
    </row>
    <row r="124" spans="2:17" s="420" customFormat="1" ht="11.25" x14ac:dyDescent="0.2">
      <c r="B124" s="1264"/>
      <c r="C124" s="1290"/>
      <c r="D124" s="768"/>
      <c r="E124" s="399">
        <v>1</v>
      </c>
      <c r="F124" s="400"/>
      <c r="G124" s="401"/>
      <c r="H124" s="722">
        <f t="shared" si="11"/>
        <v>0</v>
      </c>
      <c r="I124" s="723"/>
      <c r="J124" s="724"/>
      <c r="K124" s="725"/>
      <c r="L124" s="725"/>
      <c r="M124" s="725"/>
      <c r="N124" s="725"/>
      <c r="O124" s="724"/>
      <c r="P124" s="723"/>
    </row>
    <row r="125" spans="2:17" s="420" customFormat="1" ht="11.25" x14ac:dyDescent="0.2">
      <c r="B125" s="1264"/>
      <c r="C125" s="1290"/>
      <c r="D125" s="768"/>
      <c r="E125" s="399">
        <v>1</v>
      </c>
      <c r="F125" s="400"/>
      <c r="G125" s="401"/>
      <c r="H125" s="722">
        <f t="shared" si="11"/>
        <v>0</v>
      </c>
      <c r="I125" s="723"/>
      <c r="J125" s="724"/>
      <c r="K125" s="725"/>
      <c r="L125" s="725"/>
      <c r="M125" s="725"/>
      <c r="N125" s="725"/>
      <c r="O125" s="724"/>
      <c r="P125" s="723"/>
    </row>
    <row r="126" spans="2:17" s="420" customFormat="1" ht="11.25" x14ac:dyDescent="0.2">
      <c r="B126" s="1264"/>
      <c r="C126" s="1290"/>
      <c r="D126" s="768"/>
      <c r="E126" s="399"/>
      <c r="F126" s="400"/>
      <c r="G126" s="401"/>
      <c r="H126" s="722">
        <f t="shared" si="11"/>
        <v>0</v>
      </c>
      <c r="I126" s="723">
        <f>SUM(H120:H126)</f>
        <v>0</v>
      </c>
      <c r="J126" s="724">
        <f>I126*$J$5</f>
        <v>0</v>
      </c>
      <c r="K126" s="725">
        <f>SUM(I126:J126)*$K$5</f>
        <v>0</v>
      </c>
      <c r="L126" s="725">
        <f>SUM(I126:K126)*$L$5</f>
        <v>0</v>
      </c>
      <c r="M126" s="725">
        <f>SUM(I126:L126)*$M$5</f>
        <v>0</v>
      </c>
      <c r="N126" s="725">
        <f>SUM(I126:M126)*$N$5</f>
        <v>0</v>
      </c>
      <c r="O126" s="724">
        <f>SUM(I126:N126)</f>
        <v>0</v>
      </c>
      <c r="P126" s="723">
        <f>ROUND(O126,-3)</f>
        <v>0</v>
      </c>
      <c r="Q126" s="420" t="s">
        <v>600</v>
      </c>
    </row>
    <row r="127" spans="2:17" s="420" customFormat="1" ht="11.25" x14ac:dyDescent="0.2">
      <c r="B127" s="1264"/>
      <c r="C127" s="1290"/>
      <c r="D127" s="768"/>
      <c r="E127" s="399"/>
      <c r="F127" s="400"/>
      <c r="G127" s="401"/>
      <c r="H127" s="722"/>
      <c r="I127" s="723"/>
      <c r="J127" s="724"/>
      <c r="K127" s="725"/>
      <c r="L127" s="725"/>
      <c r="M127" s="725"/>
      <c r="N127" s="725"/>
      <c r="O127" s="724"/>
      <c r="P127" s="723"/>
    </row>
    <row r="128" spans="2:17" s="420" customFormat="1" ht="11.25" x14ac:dyDescent="0.2">
      <c r="B128" s="1264"/>
      <c r="C128" s="1290"/>
      <c r="D128" s="768" t="s">
        <v>557</v>
      </c>
      <c r="E128" s="399">
        <v>1</v>
      </c>
      <c r="F128" s="400"/>
      <c r="G128" s="401"/>
      <c r="H128" s="722">
        <f t="shared" ref="H128:H133" si="12">E128*G128</f>
        <v>0</v>
      </c>
      <c r="I128" s="723"/>
      <c r="J128" s="724"/>
      <c r="K128" s="725"/>
      <c r="L128" s="725"/>
      <c r="M128" s="725"/>
      <c r="N128" s="725"/>
      <c r="O128" s="724"/>
      <c r="P128" s="723"/>
    </row>
    <row r="129" spans="2:17" s="420" customFormat="1" ht="11.25" x14ac:dyDescent="0.2">
      <c r="B129" s="1264"/>
      <c r="C129" s="1290"/>
      <c r="D129" s="768"/>
      <c r="E129" s="399">
        <v>1</v>
      </c>
      <c r="F129" s="400"/>
      <c r="G129" s="401"/>
      <c r="H129" s="722">
        <f t="shared" si="12"/>
        <v>0</v>
      </c>
      <c r="I129" s="723"/>
      <c r="J129" s="724"/>
      <c r="K129" s="725"/>
      <c r="L129" s="725"/>
      <c r="M129" s="725"/>
      <c r="N129" s="725"/>
      <c r="O129" s="724"/>
      <c r="P129" s="723"/>
    </row>
    <row r="130" spans="2:17" s="420" customFormat="1" ht="11.25" x14ac:dyDescent="0.2">
      <c r="B130" s="1264"/>
      <c r="C130" s="1290"/>
      <c r="D130" s="768"/>
      <c r="E130" s="399">
        <v>1</v>
      </c>
      <c r="F130" s="400"/>
      <c r="G130" s="401"/>
      <c r="H130" s="722">
        <f t="shared" si="12"/>
        <v>0</v>
      </c>
      <c r="I130" s="723"/>
      <c r="J130" s="724"/>
      <c r="K130" s="725"/>
      <c r="L130" s="725"/>
      <c r="M130" s="725"/>
      <c r="N130" s="725"/>
      <c r="O130" s="724"/>
      <c r="P130" s="723"/>
    </row>
    <row r="131" spans="2:17" s="420" customFormat="1" ht="11.25" x14ac:dyDescent="0.2">
      <c r="B131" s="1264"/>
      <c r="C131" s="1290"/>
      <c r="D131" s="768"/>
      <c r="E131" s="399">
        <v>1</v>
      </c>
      <c r="F131" s="400"/>
      <c r="G131" s="401"/>
      <c r="H131" s="722">
        <f t="shared" si="12"/>
        <v>0</v>
      </c>
      <c r="I131" s="723"/>
      <c r="J131" s="724"/>
      <c r="K131" s="725"/>
      <c r="L131" s="725"/>
      <c r="M131" s="725"/>
      <c r="N131" s="725"/>
      <c r="O131" s="724"/>
      <c r="P131" s="723"/>
    </row>
    <row r="132" spans="2:17" s="420" customFormat="1" ht="11.25" x14ac:dyDescent="0.2">
      <c r="B132" s="1264"/>
      <c r="C132" s="1290"/>
      <c r="D132" s="768"/>
      <c r="E132" s="399">
        <v>1</v>
      </c>
      <c r="F132" s="400"/>
      <c r="G132" s="401"/>
      <c r="H132" s="722">
        <f t="shared" si="12"/>
        <v>0</v>
      </c>
      <c r="I132" s="723"/>
      <c r="J132" s="724"/>
      <c r="K132" s="725"/>
      <c r="L132" s="725"/>
      <c r="M132" s="725"/>
      <c r="N132" s="725"/>
      <c r="O132" s="724"/>
      <c r="P132" s="723"/>
    </row>
    <row r="133" spans="2:17" s="420" customFormat="1" ht="11.25" x14ac:dyDescent="0.2">
      <c r="B133" s="1264"/>
      <c r="C133" s="1290"/>
      <c r="D133" s="768"/>
      <c r="E133" s="399">
        <v>1</v>
      </c>
      <c r="F133" s="400"/>
      <c r="G133" s="401"/>
      <c r="H133" s="722">
        <f t="shared" si="12"/>
        <v>0</v>
      </c>
      <c r="I133" s="723">
        <f>SUM(H128:H133)</f>
        <v>0</v>
      </c>
      <c r="J133" s="724">
        <f>I133*$J$5</f>
        <v>0</v>
      </c>
      <c r="K133" s="725">
        <f>SUM(I133:J133)*$K$5</f>
        <v>0</v>
      </c>
      <c r="L133" s="725">
        <f>SUM(I133:K133)*$L$5</f>
        <v>0</v>
      </c>
      <c r="M133" s="725">
        <f>SUM(I133:L133)*$M$5</f>
        <v>0</v>
      </c>
      <c r="N133" s="725">
        <f>SUM(I133:M133)*$N$5</f>
        <v>0</v>
      </c>
      <c r="O133" s="724">
        <f>SUM(I133:N133)</f>
        <v>0</v>
      </c>
      <c r="P133" s="723">
        <f>ROUND(O133,-3)</f>
        <v>0</v>
      </c>
      <c r="Q133" s="420" t="s">
        <v>600</v>
      </c>
    </row>
    <row r="134" spans="2:17" s="420" customFormat="1" ht="12" thickBot="1" x14ac:dyDescent="0.25">
      <c r="B134" s="1264"/>
      <c r="C134" s="1290"/>
      <c r="D134" s="768"/>
      <c r="E134" s="399"/>
      <c r="F134" s="400"/>
      <c r="G134" s="401"/>
      <c r="H134" s="722"/>
      <c r="I134" s="723"/>
      <c r="J134" s="724"/>
      <c r="K134" s="725"/>
      <c r="L134" s="725"/>
      <c r="M134" s="725"/>
      <c r="N134" s="725"/>
      <c r="O134" s="724"/>
      <c r="P134" s="723"/>
    </row>
    <row r="135" spans="2:17" s="420" customFormat="1" ht="11.25" customHeight="1" x14ac:dyDescent="0.2">
      <c r="B135" s="1263" t="str">
        <f>'Detailed Matrix'!E160</f>
        <v>Upgrade the physical security using classified building parts RC (Resistance Class)</v>
      </c>
      <c r="C135" s="1289" t="str">
        <f>'Detailed Matrix'!F160</f>
        <v>Upgrade the physical security using classified building parts RC (Resistance Class)</v>
      </c>
      <c r="D135" s="390" t="s">
        <v>556</v>
      </c>
      <c r="E135" s="391">
        <v>1</v>
      </c>
      <c r="F135" s="392"/>
      <c r="G135" s="393"/>
      <c r="H135" s="394">
        <f t="shared" ref="H135:H141" si="13">E135*G135</f>
        <v>0</v>
      </c>
      <c r="I135" s="395"/>
      <c r="J135" s="396"/>
      <c r="K135" s="397"/>
      <c r="L135" s="397"/>
      <c r="M135" s="397"/>
      <c r="N135" s="397"/>
      <c r="O135" s="396"/>
      <c r="P135" s="395"/>
    </row>
    <row r="136" spans="2:17" s="420" customFormat="1" ht="11.25" customHeight="1" x14ac:dyDescent="0.2">
      <c r="B136" s="1264"/>
      <c r="C136" s="1290"/>
      <c r="D136" s="768"/>
      <c r="E136" s="399">
        <v>1</v>
      </c>
      <c r="F136" s="400"/>
      <c r="G136" s="401"/>
      <c r="H136" s="722">
        <f t="shared" si="13"/>
        <v>0</v>
      </c>
      <c r="I136" s="723"/>
      <c r="J136" s="724"/>
      <c r="K136" s="725"/>
      <c r="L136" s="725"/>
      <c r="M136" s="725"/>
      <c r="N136" s="725"/>
      <c r="O136" s="724"/>
      <c r="P136" s="723"/>
    </row>
    <row r="137" spans="2:17" s="420" customFormat="1" ht="11.25" customHeight="1" x14ac:dyDescent="0.2">
      <c r="B137" s="1264"/>
      <c r="C137" s="1290"/>
      <c r="D137" s="768"/>
      <c r="E137" s="399">
        <v>1</v>
      </c>
      <c r="F137" s="400"/>
      <c r="G137" s="401"/>
      <c r="H137" s="722">
        <f t="shared" si="13"/>
        <v>0</v>
      </c>
      <c r="I137" s="723"/>
      <c r="J137" s="724"/>
      <c r="K137" s="725"/>
      <c r="L137" s="725"/>
      <c r="M137" s="725"/>
      <c r="N137" s="725"/>
      <c r="O137" s="724"/>
      <c r="P137" s="723"/>
    </row>
    <row r="138" spans="2:17" s="420" customFormat="1" ht="11.25" customHeight="1" x14ac:dyDescent="0.2">
      <c r="B138" s="1264"/>
      <c r="C138" s="1290"/>
      <c r="D138" s="768"/>
      <c r="E138" s="399">
        <v>1</v>
      </c>
      <c r="F138" s="400"/>
      <c r="G138" s="401"/>
      <c r="H138" s="722">
        <f t="shared" si="13"/>
        <v>0</v>
      </c>
      <c r="I138" s="723"/>
      <c r="J138" s="724"/>
      <c r="K138" s="725"/>
      <c r="L138" s="725"/>
      <c r="M138" s="725"/>
      <c r="N138" s="725"/>
      <c r="O138" s="724"/>
      <c r="P138" s="723"/>
    </row>
    <row r="139" spans="2:17" s="420" customFormat="1" ht="11.25" customHeight="1" x14ac:dyDescent="0.2">
      <c r="B139" s="1264"/>
      <c r="C139" s="1290"/>
      <c r="D139" s="768"/>
      <c r="E139" s="399">
        <v>1</v>
      </c>
      <c r="F139" s="400"/>
      <c r="G139" s="401"/>
      <c r="H139" s="722">
        <f t="shared" si="13"/>
        <v>0</v>
      </c>
      <c r="I139" s="723"/>
      <c r="J139" s="724"/>
      <c r="K139" s="725"/>
      <c r="L139" s="725"/>
      <c r="M139" s="725"/>
      <c r="N139" s="725"/>
      <c r="O139" s="724"/>
      <c r="P139" s="723"/>
    </row>
    <row r="140" spans="2:17" s="420" customFormat="1" ht="11.25" customHeight="1" x14ac:dyDescent="0.2">
      <c r="B140" s="1264"/>
      <c r="C140" s="1290"/>
      <c r="D140" s="768"/>
      <c r="E140" s="399">
        <v>1</v>
      </c>
      <c r="F140" s="400"/>
      <c r="G140" s="401"/>
      <c r="H140" s="722">
        <f t="shared" si="13"/>
        <v>0</v>
      </c>
      <c r="I140" s="723"/>
      <c r="J140" s="724"/>
      <c r="K140" s="725"/>
      <c r="L140" s="725"/>
      <c r="M140" s="725"/>
      <c r="N140" s="725"/>
      <c r="O140" s="724"/>
      <c r="P140" s="723"/>
    </row>
    <row r="141" spans="2:17" s="420" customFormat="1" ht="11.25" customHeight="1" x14ac:dyDescent="0.2">
      <c r="B141" s="1264"/>
      <c r="C141" s="1290"/>
      <c r="D141" s="768"/>
      <c r="E141" s="399"/>
      <c r="F141" s="400"/>
      <c r="G141" s="401"/>
      <c r="H141" s="722">
        <f t="shared" si="13"/>
        <v>0</v>
      </c>
      <c r="I141" s="723">
        <f>SUM(H135:H141)</f>
        <v>0</v>
      </c>
      <c r="J141" s="724">
        <f>I141*$J$5</f>
        <v>0</v>
      </c>
      <c r="K141" s="725">
        <f>SUM(I141:J141)*$K$5</f>
        <v>0</v>
      </c>
      <c r="L141" s="725">
        <f>SUM(I141:K141)*$L$5</f>
        <v>0</v>
      </c>
      <c r="M141" s="725">
        <f>SUM(I141:L141)*$M$5</f>
        <v>0</v>
      </c>
      <c r="N141" s="725">
        <f>SUM(I141:M141)*$N$5</f>
        <v>0</v>
      </c>
      <c r="O141" s="724">
        <f>SUM(I141:N141)</f>
        <v>0</v>
      </c>
      <c r="P141" s="723">
        <f>ROUND(O141,-3)</f>
        <v>0</v>
      </c>
      <c r="Q141" s="420" t="s">
        <v>600</v>
      </c>
    </row>
    <row r="142" spans="2:17" s="420" customFormat="1" ht="11.25" customHeight="1" x14ac:dyDescent="0.2">
      <c r="B142" s="1264"/>
      <c r="C142" s="1290"/>
      <c r="D142" s="768"/>
      <c r="E142" s="399"/>
      <c r="F142" s="400"/>
      <c r="G142" s="401"/>
      <c r="H142" s="722"/>
      <c r="I142" s="723"/>
      <c r="J142" s="724"/>
      <c r="K142" s="725"/>
      <c r="L142" s="725"/>
      <c r="M142" s="725"/>
      <c r="N142" s="725"/>
      <c r="O142" s="724"/>
      <c r="P142" s="723"/>
    </row>
    <row r="143" spans="2:17" s="420" customFormat="1" ht="11.25" customHeight="1" x14ac:dyDescent="0.2">
      <c r="B143" s="1264"/>
      <c r="C143" s="1290"/>
      <c r="D143" s="768" t="s">
        <v>557</v>
      </c>
      <c r="E143" s="399">
        <v>1</v>
      </c>
      <c r="F143" s="400"/>
      <c r="G143" s="401"/>
      <c r="H143" s="722">
        <f t="shared" ref="H143:H155" si="14">E143*G143</f>
        <v>0</v>
      </c>
      <c r="I143" s="723"/>
      <c r="J143" s="724"/>
      <c r="K143" s="725"/>
      <c r="L143" s="725"/>
      <c r="M143" s="725"/>
      <c r="N143" s="725"/>
      <c r="O143" s="724"/>
      <c r="P143" s="723"/>
    </row>
    <row r="144" spans="2:17" s="420" customFormat="1" ht="11.25" customHeight="1" x14ac:dyDescent="0.2">
      <c r="B144" s="1264"/>
      <c r="C144" s="1290"/>
      <c r="D144" s="768"/>
      <c r="E144" s="399">
        <v>1</v>
      </c>
      <c r="F144" s="400"/>
      <c r="G144" s="401"/>
      <c r="H144" s="722">
        <f t="shared" si="14"/>
        <v>0</v>
      </c>
      <c r="I144" s="723"/>
      <c r="J144" s="724"/>
      <c r="K144" s="725"/>
      <c r="L144" s="725"/>
      <c r="M144" s="725"/>
      <c r="N144" s="725"/>
      <c r="O144" s="724"/>
      <c r="P144" s="723"/>
    </row>
    <row r="145" spans="2:17" s="420" customFormat="1" ht="11.25" customHeight="1" x14ac:dyDescent="0.2">
      <c r="B145" s="1264"/>
      <c r="C145" s="1290"/>
      <c r="D145" s="768"/>
      <c r="E145" s="399">
        <v>1</v>
      </c>
      <c r="F145" s="400"/>
      <c r="G145" s="401"/>
      <c r="H145" s="722">
        <f t="shared" si="14"/>
        <v>0</v>
      </c>
      <c r="I145" s="723"/>
      <c r="J145" s="724"/>
      <c r="K145" s="725"/>
      <c r="L145" s="725"/>
      <c r="M145" s="725"/>
      <c r="N145" s="725"/>
      <c r="O145" s="724"/>
      <c r="P145" s="723"/>
    </row>
    <row r="146" spans="2:17" s="420" customFormat="1" ht="11.25" customHeight="1" x14ac:dyDescent="0.2">
      <c r="B146" s="1264"/>
      <c r="C146" s="1290"/>
      <c r="D146" s="768"/>
      <c r="E146" s="399">
        <v>1</v>
      </c>
      <c r="F146" s="400"/>
      <c r="G146" s="401"/>
      <c r="H146" s="722">
        <f t="shared" si="14"/>
        <v>0</v>
      </c>
      <c r="I146" s="723"/>
      <c r="J146" s="724"/>
      <c r="K146" s="725"/>
      <c r="L146" s="725"/>
      <c r="M146" s="725"/>
      <c r="N146" s="725"/>
      <c r="O146" s="724"/>
      <c r="P146" s="723"/>
    </row>
    <row r="147" spans="2:17" s="420" customFormat="1" ht="11.25" customHeight="1" x14ac:dyDescent="0.2">
      <c r="B147" s="1264"/>
      <c r="C147" s="1290"/>
      <c r="D147" s="768"/>
      <c r="E147" s="399">
        <v>1</v>
      </c>
      <c r="F147" s="400"/>
      <c r="G147" s="401"/>
      <c r="H147" s="722">
        <f t="shared" si="14"/>
        <v>0</v>
      </c>
      <c r="I147" s="723"/>
      <c r="J147" s="724"/>
      <c r="K147" s="725"/>
      <c r="L147" s="725"/>
      <c r="M147" s="725"/>
      <c r="N147" s="725"/>
      <c r="O147" s="724"/>
      <c r="P147" s="723"/>
    </row>
    <row r="148" spans="2:17" s="420" customFormat="1" ht="11.25" customHeight="1" thickBot="1" x14ac:dyDescent="0.25">
      <c r="B148" s="1264"/>
      <c r="C148" s="1290"/>
      <c r="D148" s="398"/>
      <c r="E148" s="399">
        <v>1</v>
      </c>
      <c r="F148" s="400"/>
      <c r="G148" s="401"/>
      <c r="H148" s="402">
        <f t="shared" si="14"/>
        <v>0</v>
      </c>
      <c r="I148" s="403">
        <f>SUM(H143:H148)</f>
        <v>0</v>
      </c>
      <c r="J148" s="404">
        <f>I148*$J$5</f>
        <v>0</v>
      </c>
      <c r="K148" s="405">
        <f>SUM(I148:J148)*$K$5</f>
        <v>0</v>
      </c>
      <c r="L148" s="405">
        <f>SUM(I148:K148)*$L$5</f>
        <v>0</v>
      </c>
      <c r="M148" s="405">
        <f>SUM(I148:L148)*$M$5</f>
        <v>0</v>
      </c>
      <c r="N148" s="405">
        <f>SUM(I148:M148)*$N$5</f>
        <v>0</v>
      </c>
      <c r="O148" s="406">
        <f>SUM(I148:N148)</f>
        <v>0</v>
      </c>
      <c r="P148" s="403">
        <f>ROUND(O148,-3)</f>
        <v>0</v>
      </c>
      <c r="Q148" s="420" t="s">
        <v>600</v>
      </c>
    </row>
    <row r="149" spans="2:17" s="420" customFormat="1" ht="11.25" customHeight="1" x14ac:dyDescent="0.2">
      <c r="B149" s="1263" t="str">
        <f>'Detailed Matrix'!E161</f>
        <v>Continuous commissioning into personal safety</v>
      </c>
      <c r="C149" s="1289" t="str">
        <f>'Detailed Matrix'!F161</f>
        <v>Incorporate continuous commissioning into the building maintenance program and safety &amp; security plan, to ensure that possible optimization gets in focus for the benefit of the staff, customers and economic bottom-line.</v>
      </c>
      <c r="D149" s="390" t="s">
        <v>556</v>
      </c>
      <c r="E149" s="391">
        <v>1</v>
      </c>
      <c r="F149" s="392"/>
      <c r="G149" s="393"/>
      <c r="H149" s="394">
        <f t="shared" si="14"/>
        <v>0</v>
      </c>
      <c r="I149" s="395"/>
      <c r="J149" s="396"/>
      <c r="K149" s="397"/>
      <c r="L149" s="397"/>
      <c r="M149" s="397"/>
      <c r="N149" s="397"/>
      <c r="O149" s="396"/>
      <c r="P149" s="395"/>
    </row>
    <row r="150" spans="2:17" s="420" customFormat="1" ht="11.25" customHeight="1" x14ac:dyDescent="0.2">
      <c r="B150" s="1264"/>
      <c r="C150" s="1290"/>
      <c r="D150" s="768"/>
      <c r="E150" s="399">
        <v>1</v>
      </c>
      <c r="F150" s="400"/>
      <c r="G150" s="401"/>
      <c r="H150" s="722">
        <f t="shared" si="14"/>
        <v>0</v>
      </c>
      <c r="I150" s="723"/>
      <c r="J150" s="724"/>
      <c r="K150" s="725"/>
      <c r="L150" s="725"/>
      <c r="M150" s="725"/>
      <c r="N150" s="725"/>
      <c r="O150" s="724"/>
      <c r="P150" s="723"/>
    </row>
    <row r="151" spans="2:17" s="420" customFormat="1" ht="11.25" customHeight="1" x14ac:dyDescent="0.2">
      <c r="B151" s="1264"/>
      <c r="C151" s="1290"/>
      <c r="D151" s="768"/>
      <c r="E151" s="399">
        <v>1</v>
      </c>
      <c r="F151" s="400"/>
      <c r="G151" s="401"/>
      <c r="H151" s="722">
        <f t="shared" si="14"/>
        <v>0</v>
      </c>
      <c r="I151" s="723"/>
      <c r="J151" s="724"/>
      <c r="K151" s="725"/>
      <c r="L151" s="725"/>
      <c r="M151" s="725"/>
      <c r="N151" s="725"/>
      <c r="O151" s="724"/>
      <c r="P151" s="723"/>
    </row>
    <row r="152" spans="2:17" s="420" customFormat="1" ht="11.25" customHeight="1" x14ac:dyDescent="0.2">
      <c r="B152" s="1264"/>
      <c r="C152" s="1290"/>
      <c r="D152" s="768"/>
      <c r="E152" s="399">
        <v>1</v>
      </c>
      <c r="F152" s="400"/>
      <c r="G152" s="401"/>
      <c r="H152" s="722">
        <f t="shared" si="14"/>
        <v>0</v>
      </c>
      <c r="I152" s="723"/>
      <c r="J152" s="724"/>
      <c r="K152" s="725"/>
      <c r="L152" s="725"/>
      <c r="M152" s="725"/>
      <c r="N152" s="725"/>
      <c r="O152" s="724"/>
      <c r="P152" s="723"/>
    </row>
    <row r="153" spans="2:17" s="420" customFormat="1" ht="11.25" customHeight="1" x14ac:dyDescent="0.2">
      <c r="B153" s="1264"/>
      <c r="C153" s="1290"/>
      <c r="D153" s="768"/>
      <c r="E153" s="399">
        <v>1</v>
      </c>
      <c r="F153" s="400"/>
      <c r="G153" s="401"/>
      <c r="H153" s="722">
        <f t="shared" si="14"/>
        <v>0</v>
      </c>
      <c r="I153" s="723"/>
      <c r="J153" s="724"/>
      <c r="K153" s="725"/>
      <c r="L153" s="725"/>
      <c r="M153" s="725"/>
      <c r="N153" s="725"/>
      <c r="O153" s="724"/>
      <c r="P153" s="723"/>
    </row>
    <row r="154" spans="2:17" s="420" customFormat="1" ht="11.25" customHeight="1" x14ac:dyDescent="0.2">
      <c r="B154" s="1264"/>
      <c r="C154" s="1290"/>
      <c r="D154" s="768"/>
      <c r="E154" s="399">
        <v>1</v>
      </c>
      <c r="F154" s="400"/>
      <c r="G154" s="401"/>
      <c r="H154" s="722">
        <f t="shared" si="14"/>
        <v>0</v>
      </c>
      <c r="I154" s="723"/>
      <c r="J154" s="724"/>
      <c r="K154" s="725"/>
      <c r="L154" s="725"/>
      <c r="M154" s="725"/>
      <c r="N154" s="725"/>
      <c r="O154" s="724"/>
      <c r="P154" s="723"/>
    </row>
    <row r="155" spans="2:17" s="420" customFormat="1" ht="11.25" customHeight="1" x14ac:dyDescent="0.2">
      <c r="B155" s="1264"/>
      <c r="C155" s="1290"/>
      <c r="D155" s="768" t="s">
        <v>621</v>
      </c>
      <c r="E155" s="399"/>
      <c r="F155" s="400"/>
      <c r="G155" s="401"/>
      <c r="H155" s="722">
        <f t="shared" si="14"/>
        <v>0</v>
      </c>
      <c r="I155" s="723">
        <f>SUM(H149:H155)</f>
        <v>0</v>
      </c>
      <c r="J155" s="724">
        <f>I155*$J$5</f>
        <v>0</v>
      </c>
      <c r="K155" s="725">
        <f>SUM(I155:J155)*$K$5</f>
        <v>0</v>
      </c>
      <c r="L155" s="725">
        <f>SUM(I155:K155)*$L$5</f>
        <v>0</v>
      </c>
      <c r="M155" s="725">
        <f>SUM(I155:L155)*$M$5</f>
        <v>0</v>
      </c>
      <c r="N155" s="725">
        <f>SUM(I155:M155)*$N$5</f>
        <v>0</v>
      </c>
      <c r="O155" s="724">
        <f>SUM(I155:N155)</f>
        <v>0</v>
      </c>
      <c r="P155" s="723">
        <f>ROUND(O155,-3)</f>
        <v>0</v>
      </c>
      <c r="Q155" s="420" t="s">
        <v>600</v>
      </c>
    </row>
    <row r="156" spans="2:17" s="420" customFormat="1" ht="11.25" customHeight="1" x14ac:dyDescent="0.2">
      <c r="B156" s="1264"/>
      <c r="C156" s="1290"/>
      <c r="D156" s="768"/>
      <c r="E156" s="399"/>
      <c r="F156" s="400"/>
      <c r="G156" s="401"/>
      <c r="H156" s="722"/>
      <c r="I156" s="723"/>
      <c r="J156" s="724"/>
      <c r="K156" s="725"/>
      <c r="L156" s="725"/>
      <c r="M156" s="725"/>
      <c r="N156" s="725"/>
      <c r="O156" s="724"/>
      <c r="P156" s="723"/>
    </row>
    <row r="157" spans="2:17" s="420" customFormat="1" ht="11.25" customHeight="1" x14ac:dyDescent="0.2">
      <c r="B157" s="1264"/>
      <c r="C157" s="1290"/>
      <c r="D157" s="768" t="s">
        <v>557</v>
      </c>
      <c r="E157" s="399">
        <v>1</v>
      </c>
      <c r="F157" s="400"/>
      <c r="G157" s="401"/>
      <c r="H157" s="722">
        <f t="shared" ref="H157:H169" si="15">E157*G157</f>
        <v>0</v>
      </c>
      <c r="I157" s="723"/>
      <c r="J157" s="724"/>
      <c r="K157" s="725"/>
      <c r="L157" s="725"/>
      <c r="M157" s="725"/>
      <c r="N157" s="725"/>
      <c r="O157" s="724"/>
      <c r="P157" s="723"/>
    </row>
    <row r="158" spans="2:17" s="420" customFormat="1" ht="11.25" customHeight="1" x14ac:dyDescent="0.2">
      <c r="B158" s="1264"/>
      <c r="C158" s="1290"/>
      <c r="D158" s="768"/>
      <c r="E158" s="399">
        <v>1</v>
      </c>
      <c r="F158" s="400"/>
      <c r="G158" s="401"/>
      <c r="H158" s="722">
        <f t="shared" si="15"/>
        <v>0</v>
      </c>
      <c r="I158" s="723"/>
      <c r="J158" s="724"/>
      <c r="K158" s="725"/>
      <c r="L158" s="725"/>
      <c r="M158" s="725"/>
      <c r="N158" s="725"/>
      <c r="O158" s="724"/>
      <c r="P158" s="723"/>
    </row>
    <row r="159" spans="2:17" s="420" customFormat="1" ht="11.25" customHeight="1" x14ac:dyDescent="0.2">
      <c r="B159" s="1264"/>
      <c r="C159" s="1290"/>
      <c r="D159" s="768"/>
      <c r="E159" s="399">
        <v>1</v>
      </c>
      <c r="F159" s="400"/>
      <c r="G159" s="401"/>
      <c r="H159" s="722">
        <f t="shared" si="15"/>
        <v>0</v>
      </c>
      <c r="I159" s="723"/>
      <c r="J159" s="724"/>
      <c r="K159" s="725"/>
      <c r="L159" s="725"/>
      <c r="M159" s="725"/>
      <c r="N159" s="725"/>
      <c r="O159" s="724"/>
      <c r="P159" s="723"/>
    </row>
    <row r="160" spans="2:17" s="420" customFormat="1" ht="11.25" customHeight="1" x14ac:dyDescent="0.2">
      <c r="B160" s="1264"/>
      <c r="C160" s="1290"/>
      <c r="D160" s="768"/>
      <c r="E160" s="399">
        <v>1</v>
      </c>
      <c r="F160" s="400"/>
      <c r="G160" s="401"/>
      <c r="H160" s="722">
        <f t="shared" si="15"/>
        <v>0</v>
      </c>
      <c r="I160" s="723"/>
      <c r="J160" s="724"/>
      <c r="K160" s="725"/>
      <c r="L160" s="725"/>
      <c r="M160" s="725"/>
      <c r="N160" s="725"/>
      <c r="O160" s="724"/>
      <c r="P160" s="723"/>
    </row>
    <row r="161" spans="2:17" s="420" customFormat="1" ht="11.25" customHeight="1" x14ac:dyDescent="0.2">
      <c r="B161" s="1264"/>
      <c r="C161" s="1290"/>
      <c r="D161" s="768"/>
      <c r="E161" s="399">
        <v>1</v>
      </c>
      <c r="F161" s="400"/>
      <c r="G161" s="401"/>
      <c r="H161" s="722">
        <f t="shared" si="15"/>
        <v>0</v>
      </c>
      <c r="I161" s="723"/>
      <c r="J161" s="724"/>
      <c r="K161" s="725"/>
      <c r="L161" s="725"/>
      <c r="M161" s="725"/>
      <c r="N161" s="725"/>
      <c r="O161" s="724"/>
      <c r="P161" s="723"/>
    </row>
    <row r="162" spans="2:17" s="420" customFormat="1" ht="11.25" customHeight="1" thickBot="1" x14ac:dyDescent="0.25">
      <c r="B162" s="1264"/>
      <c r="C162" s="1290"/>
      <c r="D162" s="768" t="s">
        <v>621</v>
      </c>
      <c r="E162" s="399">
        <v>1</v>
      </c>
      <c r="F162" s="400"/>
      <c r="G162" s="401"/>
      <c r="H162" s="402">
        <f t="shared" si="15"/>
        <v>0</v>
      </c>
      <c r="I162" s="403">
        <f>SUM(H157:H162)</f>
        <v>0</v>
      </c>
      <c r="J162" s="404">
        <f>I162*$J$5</f>
        <v>0</v>
      </c>
      <c r="K162" s="405">
        <f>SUM(I162:J162)*$K$5</f>
        <v>0</v>
      </c>
      <c r="L162" s="405">
        <f>SUM(I162:K162)*$L$5</f>
        <v>0</v>
      </c>
      <c r="M162" s="405">
        <f>SUM(I162:L162)*$M$5</f>
        <v>0</v>
      </c>
      <c r="N162" s="405">
        <f>SUM(I162:M162)*$N$5</f>
        <v>0</v>
      </c>
      <c r="O162" s="406">
        <f>SUM(I162:N162)</f>
        <v>0</v>
      </c>
      <c r="P162" s="403">
        <f>ROUND(O162,-3)</f>
        <v>0</v>
      </c>
      <c r="Q162" s="420" t="s">
        <v>600</v>
      </c>
    </row>
    <row r="163" spans="2:17" s="420" customFormat="1" ht="11.25" x14ac:dyDescent="0.2">
      <c r="B163" s="1263" t="str">
        <f>'Detailed Matrix'!E162</f>
        <v>Chemical Inventories</v>
      </c>
      <c r="C163" s="1289" t="str">
        <f>'Detailed Matrix'!F162</f>
        <v>Monitor chemical inventories of products, systems and materials used in the operation and maintenance, to identify opportunities to substitute them with green products</v>
      </c>
      <c r="D163" s="390" t="s">
        <v>556</v>
      </c>
      <c r="E163" s="391">
        <v>1</v>
      </c>
      <c r="F163" s="392"/>
      <c r="G163" s="393"/>
      <c r="H163" s="394">
        <f t="shared" si="15"/>
        <v>0</v>
      </c>
      <c r="I163" s="395"/>
      <c r="J163" s="396"/>
      <c r="K163" s="397"/>
      <c r="L163" s="397"/>
      <c r="M163" s="397"/>
      <c r="N163" s="397"/>
      <c r="O163" s="396"/>
      <c r="P163" s="395"/>
    </row>
    <row r="164" spans="2:17" s="420" customFormat="1" ht="11.25" x14ac:dyDescent="0.2">
      <c r="B164" s="1264"/>
      <c r="C164" s="1290"/>
      <c r="D164" s="768"/>
      <c r="E164" s="399">
        <v>1</v>
      </c>
      <c r="F164" s="400"/>
      <c r="G164" s="401"/>
      <c r="H164" s="722">
        <f t="shared" si="15"/>
        <v>0</v>
      </c>
      <c r="I164" s="723"/>
      <c r="J164" s="724"/>
      <c r="K164" s="725"/>
      <c r="L164" s="725"/>
      <c r="M164" s="725"/>
      <c r="N164" s="725"/>
      <c r="O164" s="724"/>
      <c r="P164" s="723"/>
    </row>
    <row r="165" spans="2:17" s="420" customFormat="1" ht="11.25" x14ac:dyDescent="0.2">
      <c r="B165" s="1264"/>
      <c r="C165" s="1290"/>
      <c r="D165" s="768"/>
      <c r="E165" s="399">
        <v>1</v>
      </c>
      <c r="F165" s="400"/>
      <c r="G165" s="401"/>
      <c r="H165" s="722">
        <f t="shared" si="15"/>
        <v>0</v>
      </c>
      <c r="I165" s="723"/>
      <c r="J165" s="724"/>
      <c r="K165" s="725"/>
      <c r="L165" s="725"/>
      <c r="M165" s="725"/>
      <c r="N165" s="725"/>
      <c r="O165" s="724"/>
      <c r="P165" s="723"/>
    </row>
    <row r="166" spans="2:17" s="420" customFormat="1" ht="11.25" x14ac:dyDescent="0.2">
      <c r="B166" s="1264"/>
      <c r="C166" s="1290"/>
      <c r="D166" s="768"/>
      <c r="E166" s="399">
        <v>1</v>
      </c>
      <c r="F166" s="400"/>
      <c r="G166" s="401"/>
      <c r="H166" s="722">
        <f t="shared" si="15"/>
        <v>0</v>
      </c>
      <c r="I166" s="723"/>
      <c r="J166" s="724"/>
      <c r="K166" s="725"/>
      <c r="L166" s="725"/>
      <c r="M166" s="725"/>
      <c r="N166" s="725"/>
      <c r="O166" s="724"/>
      <c r="P166" s="723"/>
    </row>
    <row r="167" spans="2:17" s="420" customFormat="1" ht="11.25" x14ac:dyDescent="0.2">
      <c r="B167" s="1264"/>
      <c r="C167" s="1290"/>
      <c r="D167" s="768"/>
      <c r="E167" s="399">
        <v>1</v>
      </c>
      <c r="F167" s="400"/>
      <c r="G167" s="401"/>
      <c r="H167" s="722">
        <f t="shared" si="15"/>
        <v>0</v>
      </c>
      <c r="I167" s="723"/>
      <c r="J167" s="724"/>
      <c r="K167" s="725"/>
      <c r="L167" s="725"/>
      <c r="M167" s="725"/>
      <c r="N167" s="725"/>
      <c r="O167" s="724"/>
      <c r="P167" s="723"/>
    </row>
    <row r="168" spans="2:17" s="420" customFormat="1" ht="11.25" x14ac:dyDescent="0.2">
      <c r="B168" s="1264"/>
      <c r="C168" s="1290"/>
      <c r="D168" s="768"/>
      <c r="E168" s="399">
        <v>1</v>
      </c>
      <c r="F168" s="400"/>
      <c r="G168" s="401"/>
      <c r="H168" s="722">
        <f t="shared" si="15"/>
        <v>0</v>
      </c>
      <c r="I168" s="723"/>
      <c r="J168" s="724"/>
      <c r="K168" s="725"/>
      <c r="L168" s="725"/>
      <c r="M168" s="725"/>
      <c r="N168" s="725"/>
      <c r="O168" s="724"/>
      <c r="P168" s="723"/>
    </row>
    <row r="169" spans="2:17" s="420" customFormat="1" ht="11.25" x14ac:dyDescent="0.2">
      <c r="B169" s="1264"/>
      <c r="C169" s="1290"/>
      <c r="D169" s="768"/>
      <c r="E169" s="399"/>
      <c r="F169" s="400"/>
      <c r="G169" s="401"/>
      <c r="H169" s="722">
        <f t="shared" si="15"/>
        <v>0</v>
      </c>
      <c r="I169" s="723">
        <f>SUM(H163:H169)</f>
        <v>0</v>
      </c>
      <c r="J169" s="724">
        <f>I169*$J$5</f>
        <v>0</v>
      </c>
      <c r="K169" s="725">
        <f>SUM(I169:J169)*$K$5</f>
        <v>0</v>
      </c>
      <c r="L169" s="725">
        <f>SUM(I169:K169)*$L$5</f>
        <v>0</v>
      </c>
      <c r="M169" s="725">
        <f>SUM(I169:L169)*$M$5</f>
        <v>0</v>
      </c>
      <c r="N169" s="725">
        <f>SUM(I169:M169)*$N$5</f>
        <v>0</v>
      </c>
      <c r="O169" s="724">
        <f>SUM(I169:N169)</f>
        <v>0</v>
      </c>
      <c r="P169" s="723">
        <f>ROUND(O169,-3)</f>
        <v>0</v>
      </c>
      <c r="Q169" s="420" t="s">
        <v>600</v>
      </c>
    </row>
    <row r="170" spans="2:17" s="420" customFormat="1" ht="11.25" x14ac:dyDescent="0.2">
      <c r="B170" s="1264"/>
      <c r="C170" s="1290"/>
      <c r="D170" s="768"/>
      <c r="E170" s="399"/>
      <c r="F170" s="400"/>
      <c r="G170" s="401"/>
      <c r="H170" s="722"/>
      <c r="I170" s="723"/>
      <c r="J170" s="724"/>
      <c r="K170" s="725"/>
      <c r="L170" s="725"/>
      <c r="M170" s="725"/>
      <c r="N170" s="725"/>
      <c r="O170" s="724"/>
      <c r="P170" s="723"/>
    </row>
    <row r="171" spans="2:17" s="420" customFormat="1" ht="11.25" x14ac:dyDescent="0.2">
      <c r="B171" s="1264"/>
      <c r="C171" s="1290"/>
      <c r="D171" s="768" t="s">
        <v>557</v>
      </c>
      <c r="E171" s="399">
        <v>1</v>
      </c>
      <c r="F171" s="400"/>
      <c r="G171" s="401"/>
      <c r="H171" s="722">
        <f t="shared" ref="H171:H183" si="16">E171*G171</f>
        <v>0</v>
      </c>
      <c r="I171" s="723"/>
      <c r="J171" s="724"/>
      <c r="K171" s="725"/>
      <c r="L171" s="725"/>
      <c r="M171" s="725"/>
      <c r="N171" s="725"/>
      <c r="O171" s="724"/>
      <c r="P171" s="723"/>
    </row>
    <row r="172" spans="2:17" s="420" customFormat="1" ht="11.25" x14ac:dyDescent="0.2">
      <c r="B172" s="1264"/>
      <c r="C172" s="1290"/>
      <c r="D172" s="768"/>
      <c r="E172" s="399">
        <v>1</v>
      </c>
      <c r="F172" s="400"/>
      <c r="G172" s="401"/>
      <c r="H172" s="722">
        <f t="shared" si="16"/>
        <v>0</v>
      </c>
      <c r="I172" s="723"/>
      <c r="J172" s="724"/>
      <c r="K172" s="725"/>
      <c r="L172" s="725"/>
      <c r="M172" s="725"/>
      <c r="N172" s="725"/>
      <c r="O172" s="724"/>
      <c r="P172" s="723"/>
    </row>
    <row r="173" spans="2:17" s="420" customFormat="1" ht="11.25" x14ac:dyDescent="0.2">
      <c r="B173" s="1264"/>
      <c r="C173" s="1290"/>
      <c r="D173" s="768"/>
      <c r="E173" s="399">
        <v>1</v>
      </c>
      <c r="F173" s="400"/>
      <c r="G173" s="401"/>
      <c r="H173" s="722">
        <f t="shared" si="16"/>
        <v>0</v>
      </c>
      <c r="I173" s="723"/>
      <c r="J173" s="724"/>
      <c r="K173" s="725"/>
      <c r="L173" s="725"/>
      <c r="M173" s="725"/>
      <c r="N173" s="725"/>
      <c r="O173" s="724"/>
      <c r="P173" s="723"/>
    </row>
    <row r="174" spans="2:17" s="420" customFormat="1" ht="11.25" x14ac:dyDescent="0.2">
      <c r="B174" s="1264"/>
      <c r="C174" s="1290"/>
      <c r="D174" s="768"/>
      <c r="E174" s="399">
        <v>1</v>
      </c>
      <c r="F174" s="400"/>
      <c r="G174" s="401"/>
      <c r="H174" s="722">
        <f t="shared" si="16"/>
        <v>0</v>
      </c>
      <c r="I174" s="723"/>
      <c r="J174" s="724"/>
      <c r="K174" s="725"/>
      <c r="L174" s="725"/>
      <c r="M174" s="725"/>
      <c r="N174" s="725"/>
      <c r="O174" s="724"/>
      <c r="P174" s="723"/>
    </row>
    <row r="175" spans="2:17" s="420" customFormat="1" ht="11.25" x14ac:dyDescent="0.2">
      <c r="B175" s="1264"/>
      <c r="C175" s="1290"/>
      <c r="D175" s="768"/>
      <c r="E175" s="399">
        <v>1</v>
      </c>
      <c r="F175" s="400"/>
      <c r="G175" s="401"/>
      <c r="H175" s="722">
        <f t="shared" si="16"/>
        <v>0</v>
      </c>
      <c r="I175" s="723"/>
      <c r="J175" s="724"/>
      <c r="K175" s="725"/>
      <c r="L175" s="725"/>
      <c r="M175" s="725"/>
      <c r="N175" s="725"/>
      <c r="O175" s="724"/>
      <c r="P175" s="723"/>
    </row>
    <row r="176" spans="2:17" s="420" customFormat="1" ht="12" thickBot="1" x14ac:dyDescent="0.25">
      <c r="B176" s="1264"/>
      <c r="C176" s="1290"/>
      <c r="D176" s="768"/>
      <c r="E176" s="399">
        <v>1</v>
      </c>
      <c r="F176" s="400"/>
      <c r="G176" s="401"/>
      <c r="H176" s="722">
        <f t="shared" si="16"/>
        <v>0</v>
      </c>
      <c r="I176" s="723">
        <f>SUM(H171:H176)</f>
        <v>0</v>
      </c>
      <c r="J176" s="724">
        <f>I176*$J$5</f>
        <v>0</v>
      </c>
      <c r="K176" s="725">
        <f>SUM(I176:J176)*$K$5</f>
        <v>0</v>
      </c>
      <c r="L176" s="725">
        <f>SUM(I176:K176)*$L$5</f>
        <v>0</v>
      </c>
      <c r="M176" s="725">
        <f>SUM(I176:L176)*$M$5</f>
        <v>0</v>
      </c>
      <c r="N176" s="725">
        <f>SUM(I176:M176)*$N$5</f>
        <v>0</v>
      </c>
      <c r="O176" s="724">
        <f>SUM(I176:N176)</f>
        <v>0</v>
      </c>
      <c r="P176" s="723">
        <f>ROUND(O176,-3)</f>
        <v>0</v>
      </c>
      <c r="Q176" s="420" t="s">
        <v>600</v>
      </c>
    </row>
    <row r="177" spans="2:17" s="420" customFormat="1" ht="11.25" x14ac:dyDescent="0.2">
      <c r="B177" s="1263" t="str">
        <f>'Detailed Matrix'!E163</f>
        <v>Protecting building via landscaping</v>
      </c>
      <c r="C177" s="1289" t="str">
        <f>'Detailed Matrix'!F163</f>
        <v>Protect the building with landscape art (e.g. barriers with artful perforations) and/or incorporate secondary building structures (e.g. in a building annex), where active security screenings can take place preventing potential attackers from entering the primary building.</v>
      </c>
      <c r="D177" s="390" t="s">
        <v>556</v>
      </c>
      <c r="E177" s="391">
        <v>1</v>
      </c>
      <c r="F177" s="392"/>
      <c r="G177" s="393"/>
      <c r="H177" s="394">
        <f t="shared" si="16"/>
        <v>0</v>
      </c>
      <c r="I177" s="395"/>
      <c r="J177" s="396"/>
      <c r="K177" s="397"/>
      <c r="L177" s="397"/>
      <c r="M177" s="397"/>
      <c r="N177" s="397"/>
      <c r="O177" s="396"/>
      <c r="P177" s="395"/>
    </row>
    <row r="178" spans="2:17" s="420" customFormat="1" ht="11.25" x14ac:dyDescent="0.2">
      <c r="B178" s="1264"/>
      <c r="C178" s="1290"/>
      <c r="D178" s="768"/>
      <c r="E178" s="399">
        <v>1</v>
      </c>
      <c r="F178" s="400"/>
      <c r="G178" s="401"/>
      <c r="H178" s="722">
        <f t="shared" si="16"/>
        <v>0</v>
      </c>
      <c r="I178" s="723"/>
      <c r="J178" s="724"/>
      <c r="K178" s="725"/>
      <c r="L178" s="725"/>
      <c r="M178" s="725"/>
      <c r="N178" s="725"/>
      <c r="O178" s="724"/>
      <c r="P178" s="723"/>
    </row>
    <row r="179" spans="2:17" s="420" customFormat="1" ht="11.25" x14ac:dyDescent="0.2">
      <c r="B179" s="1264"/>
      <c r="C179" s="1290"/>
      <c r="D179" s="768"/>
      <c r="E179" s="399">
        <v>1</v>
      </c>
      <c r="F179" s="400"/>
      <c r="G179" s="401"/>
      <c r="H179" s="722">
        <f t="shared" si="16"/>
        <v>0</v>
      </c>
      <c r="I179" s="723"/>
      <c r="J179" s="724"/>
      <c r="K179" s="725"/>
      <c r="L179" s="725"/>
      <c r="M179" s="725"/>
      <c r="N179" s="725"/>
      <c r="O179" s="724"/>
      <c r="P179" s="723"/>
    </row>
    <row r="180" spans="2:17" s="420" customFormat="1" ht="11.25" x14ac:dyDescent="0.2">
      <c r="B180" s="1264"/>
      <c r="C180" s="1290"/>
      <c r="D180" s="768"/>
      <c r="E180" s="399">
        <v>1</v>
      </c>
      <c r="F180" s="400"/>
      <c r="G180" s="401"/>
      <c r="H180" s="722">
        <f t="shared" si="16"/>
        <v>0</v>
      </c>
      <c r="I180" s="723"/>
      <c r="J180" s="724"/>
      <c r="K180" s="725"/>
      <c r="L180" s="725"/>
      <c r="M180" s="725"/>
      <c r="N180" s="725"/>
      <c r="O180" s="724"/>
      <c r="P180" s="723"/>
    </row>
    <row r="181" spans="2:17" s="420" customFormat="1" ht="11.25" x14ac:dyDescent="0.2">
      <c r="B181" s="1264"/>
      <c r="C181" s="1290"/>
      <c r="D181" s="768"/>
      <c r="E181" s="399">
        <v>1</v>
      </c>
      <c r="F181" s="400"/>
      <c r="G181" s="401"/>
      <c r="H181" s="722">
        <f t="shared" si="16"/>
        <v>0</v>
      </c>
      <c r="I181" s="723"/>
      <c r="J181" s="724"/>
      <c r="K181" s="725"/>
      <c r="L181" s="725"/>
      <c r="M181" s="725"/>
      <c r="N181" s="725"/>
      <c r="O181" s="724"/>
      <c r="P181" s="723"/>
    </row>
    <row r="182" spans="2:17" s="420" customFormat="1" ht="11.25" x14ac:dyDescent="0.2">
      <c r="B182" s="1264"/>
      <c r="C182" s="1290"/>
      <c r="D182" s="768"/>
      <c r="E182" s="399">
        <v>1</v>
      </c>
      <c r="F182" s="400"/>
      <c r="G182" s="401"/>
      <c r="H182" s="722">
        <f t="shared" si="16"/>
        <v>0</v>
      </c>
      <c r="I182" s="723"/>
      <c r="J182" s="724"/>
      <c r="K182" s="725"/>
      <c r="L182" s="725"/>
      <c r="M182" s="725"/>
      <c r="N182" s="725"/>
      <c r="O182" s="724"/>
      <c r="P182" s="723"/>
    </row>
    <row r="183" spans="2:17" s="420" customFormat="1" ht="11.25" x14ac:dyDescent="0.2">
      <c r="B183" s="1264"/>
      <c r="C183" s="1290"/>
      <c r="D183" s="768"/>
      <c r="E183" s="399"/>
      <c r="F183" s="400"/>
      <c r="G183" s="401"/>
      <c r="H183" s="722">
        <f t="shared" si="16"/>
        <v>0</v>
      </c>
      <c r="I183" s="723">
        <f>SUM(H177:H183)</f>
        <v>0</v>
      </c>
      <c r="J183" s="724">
        <f>I183*$J$5</f>
        <v>0</v>
      </c>
      <c r="K183" s="725">
        <f>SUM(I183:J183)*$K$5</f>
        <v>0</v>
      </c>
      <c r="L183" s="725">
        <f>SUM(I183:K183)*$L$5</f>
        <v>0</v>
      </c>
      <c r="M183" s="725">
        <f>SUM(I183:L183)*$M$5</f>
        <v>0</v>
      </c>
      <c r="N183" s="725">
        <f>SUM(I183:M183)*$N$5</f>
        <v>0</v>
      </c>
      <c r="O183" s="724">
        <f>SUM(I183:N183)</f>
        <v>0</v>
      </c>
      <c r="P183" s="723">
        <f>ROUND(O183,-3)</f>
        <v>0</v>
      </c>
      <c r="Q183" s="420" t="s">
        <v>600</v>
      </c>
    </row>
    <row r="184" spans="2:17" s="420" customFormat="1" ht="11.25" x14ac:dyDescent="0.2">
      <c r="B184" s="1264"/>
      <c r="C184" s="1290"/>
      <c r="D184" s="768"/>
      <c r="E184" s="399"/>
      <c r="F184" s="400"/>
      <c r="G184" s="401"/>
      <c r="H184" s="722"/>
      <c r="I184" s="723"/>
      <c r="J184" s="724"/>
      <c r="K184" s="725"/>
      <c r="L184" s="725"/>
      <c r="M184" s="725"/>
      <c r="N184" s="725"/>
      <c r="O184" s="724"/>
      <c r="P184" s="723"/>
    </row>
    <row r="185" spans="2:17" s="420" customFormat="1" ht="11.25" x14ac:dyDescent="0.2">
      <c r="B185" s="1264"/>
      <c r="C185" s="1290"/>
      <c r="D185" s="768" t="s">
        <v>557</v>
      </c>
      <c r="E185" s="399">
        <v>1</v>
      </c>
      <c r="F185" s="400"/>
      <c r="G185" s="401"/>
      <c r="H185" s="722">
        <f t="shared" ref="H185:H190" si="17">E185*G185</f>
        <v>0</v>
      </c>
      <c r="I185" s="723"/>
      <c r="J185" s="724"/>
      <c r="K185" s="725"/>
      <c r="L185" s="725"/>
      <c r="M185" s="725"/>
      <c r="N185" s="725"/>
      <c r="O185" s="724"/>
      <c r="P185" s="723"/>
    </row>
    <row r="186" spans="2:17" s="420" customFormat="1" ht="11.25" x14ac:dyDescent="0.2">
      <c r="B186" s="1264"/>
      <c r="C186" s="1290"/>
      <c r="D186" s="768"/>
      <c r="E186" s="399">
        <v>1</v>
      </c>
      <c r="F186" s="400"/>
      <c r="G186" s="401"/>
      <c r="H186" s="722">
        <f t="shared" si="17"/>
        <v>0</v>
      </c>
      <c r="I186" s="723"/>
      <c r="J186" s="724"/>
      <c r="K186" s="725"/>
      <c r="L186" s="725"/>
      <c r="M186" s="725"/>
      <c r="N186" s="725"/>
      <c r="O186" s="724"/>
      <c r="P186" s="723"/>
    </row>
    <row r="187" spans="2:17" s="420" customFormat="1" ht="11.25" x14ac:dyDescent="0.2">
      <c r="B187" s="1264"/>
      <c r="C187" s="1290"/>
      <c r="D187" s="768"/>
      <c r="E187" s="399">
        <v>1</v>
      </c>
      <c r="F187" s="400"/>
      <c r="G187" s="401"/>
      <c r="H187" s="722">
        <f t="shared" si="17"/>
        <v>0</v>
      </c>
      <c r="I187" s="723"/>
      <c r="J187" s="724"/>
      <c r="K187" s="725"/>
      <c r="L187" s="725"/>
      <c r="M187" s="725"/>
      <c r="N187" s="725"/>
      <c r="O187" s="724"/>
      <c r="P187" s="723"/>
    </row>
    <row r="188" spans="2:17" s="420" customFormat="1" ht="11.25" x14ac:dyDescent="0.2">
      <c r="B188" s="1264"/>
      <c r="C188" s="1290"/>
      <c r="D188" s="768"/>
      <c r="E188" s="399">
        <v>1</v>
      </c>
      <c r="F188" s="400"/>
      <c r="G188" s="401"/>
      <c r="H188" s="722">
        <f t="shared" si="17"/>
        <v>0</v>
      </c>
      <c r="I188" s="723"/>
      <c r="J188" s="724"/>
      <c r="K188" s="725"/>
      <c r="L188" s="725"/>
      <c r="M188" s="725"/>
      <c r="N188" s="725"/>
      <c r="O188" s="724"/>
      <c r="P188" s="723"/>
    </row>
    <row r="189" spans="2:17" s="420" customFormat="1" ht="11.25" x14ac:dyDescent="0.2">
      <c r="B189" s="1264"/>
      <c r="C189" s="1290"/>
      <c r="D189" s="768"/>
      <c r="E189" s="399">
        <v>1</v>
      </c>
      <c r="F189" s="400"/>
      <c r="G189" s="401"/>
      <c r="H189" s="722">
        <f t="shared" si="17"/>
        <v>0</v>
      </c>
      <c r="I189" s="723"/>
      <c r="J189" s="724"/>
      <c r="K189" s="725"/>
      <c r="L189" s="725"/>
      <c r="M189" s="725"/>
      <c r="N189" s="725"/>
      <c r="O189" s="724"/>
      <c r="P189" s="723"/>
    </row>
    <row r="190" spans="2:17" s="420" customFormat="1" ht="11.25" x14ac:dyDescent="0.2">
      <c r="B190" s="1264"/>
      <c r="C190" s="1290"/>
      <c r="D190" s="768"/>
      <c r="E190" s="399">
        <v>1</v>
      </c>
      <c r="F190" s="400"/>
      <c r="G190" s="401"/>
      <c r="H190" s="722">
        <f t="shared" si="17"/>
        <v>0</v>
      </c>
      <c r="I190" s="723">
        <f>SUM(H185:H190)</f>
        <v>0</v>
      </c>
      <c r="J190" s="724">
        <f>I190*$J$5</f>
        <v>0</v>
      </c>
      <c r="K190" s="725">
        <f>SUM(I190:J190)*$K$5</f>
        <v>0</v>
      </c>
      <c r="L190" s="725">
        <f>SUM(I190:K190)*$L$5</f>
        <v>0</v>
      </c>
      <c r="M190" s="725">
        <f>SUM(I190:L190)*$M$5</f>
        <v>0</v>
      </c>
      <c r="N190" s="725">
        <f>SUM(I190:M190)*$N$5</f>
        <v>0</v>
      </c>
      <c r="O190" s="724">
        <f>SUM(I190:N190)</f>
        <v>0</v>
      </c>
      <c r="P190" s="723">
        <f>ROUND(O190,-3)</f>
        <v>0</v>
      </c>
      <c r="Q190" s="420" t="s">
        <v>600</v>
      </c>
    </row>
    <row r="191" spans="2:17" s="420" customFormat="1" ht="12" thickBot="1" x14ac:dyDescent="0.25">
      <c r="B191" s="1265"/>
      <c r="C191" s="1291"/>
      <c r="D191" s="407"/>
      <c r="E191" s="408"/>
      <c r="F191" s="409"/>
      <c r="G191" s="410"/>
      <c r="H191" s="411"/>
      <c r="I191" s="412"/>
      <c r="J191" s="413"/>
      <c r="K191" s="414"/>
      <c r="L191" s="414"/>
      <c r="M191" s="414"/>
      <c r="N191" s="414"/>
      <c r="O191" s="413"/>
      <c r="P191" s="412"/>
    </row>
  </sheetData>
  <mergeCells count="27">
    <mergeCell ref="B36:B49"/>
    <mergeCell ref="C36:C49"/>
    <mergeCell ref="B50:B63"/>
    <mergeCell ref="C6:C20"/>
    <mergeCell ref="B2:P3"/>
    <mergeCell ref="B6:B20"/>
    <mergeCell ref="B21:B35"/>
    <mergeCell ref="C21:C35"/>
    <mergeCell ref="C50:C63"/>
    <mergeCell ref="B64:B77"/>
    <mergeCell ref="C64:C77"/>
    <mergeCell ref="B78:B91"/>
    <mergeCell ref="C78:C91"/>
    <mergeCell ref="B92:B105"/>
    <mergeCell ref="C92:C105"/>
    <mergeCell ref="B106:B119"/>
    <mergeCell ref="C106:C119"/>
    <mergeCell ref="B120:B134"/>
    <mergeCell ref="C120:C134"/>
    <mergeCell ref="B177:B191"/>
    <mergeCell ref="C177:C191"/>
    <mergeCell ref="B135:B148"/>
    <mergeCell ref="C135:C148"/>
    <mergeCell ref="B149:B162"/>
    <mergeCell ref="C149:C162"/>
    <mergeCell ref="B163:B176"/>
    <mergeCell ref="C163:C17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7A1A1-287A-4B5D-90FA-1FE21990C429}">
  <sheetPr>
    <tabColor theme="5" tint="0.59999389629810485"/>
  </sheetPr>
  <dimension ref="B2:Q141"/>
  <sheetViews>
    <sheetView topLeftCell="E12" zoomScale="130" zoomScaleNormal="130" workbookViewId="0">
      <selection activeCell="G138" sqref="G138"/>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Lighting</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1.25" x14ac:dyDescent="0.2">
      <c r="B6" s="1240" t="str">
        <f>'Detailed Matrix'!E123</f>
        <v>Daylight Access</v>
      </c>
      <c r="C6" s="1292" t="str">
        <f>'Detailed Matrix'!F123</f>
        <v>Stage 01 - Optimised design with daylight accessof %sDA&gt;50%</v>
      </c>
      <c r="D6" s="492"/>
      <c r="E6" s="493"/>
      <c r="F6" s="494"/>
      <c r="G6" s="495"/>
      <c r="H6" s="496"/>
      <c r="I6" s="497"/>
      <c r="J6" s="498"/>
      <c r="K6" s="499"/>
      <c r="L6" s="499"/>
      <c r="M6" s="499"/>
      <c r="N6" s="499"/>
      <c r="O6" s="498"/>
      <c r="P6" s="497"/>
    </row>
    <row r="7" spans="2:17" s="420" customFormat="1" ht="11.25" x14ac:dyDescent="0.2">
      <c r="B7" s="1241"/>
      <c r="C7" s="1293"/>
      <c r="D7" s="500" t="s">
        <v>556</v>
      </c>
      <c r="E7" s="501">
        <v>1</v>
      </c>
      <c r="F7" s="502"/>
      <c r="G7" s="503"/>
      <c r="H7" s="509">
        <f t="shared" ref="H7:H12" si="0">E7*G7</f>
        <v>0</v>
      </c>
      <c r="I7" s="512"/>
      <c r="J7" s="513"/>
      <c r="K7" s="514"/>
      <c r="L7" s="514"/>
      <c r="M7" s="514"/>
      <c r="N7" s="514"/>
      <c r="O7" s="515"/>
      <c r="P7" s="512"/>
    </row>
    <row r="8" spans="2:17" s="420" customFormat="1" ht="11.25" x14ac:dyDescent="0.2">
      <c r="B8" s="1241"/>
      <c r="C8" s="1293"/>
      <c r="D8" s="500"/>
      <c r="E8" s="501">
        <v>1</v>
      </c>
      <c r="F8" s="502"/>
      <c r="G8" s="503"/>
      <c r="H8" s="575">
        <f t="shared" si="0"/>
        <v>0</v>
      </c>
      <c r="I8" s="576"/>
      <c r="J8" s="577"/>
      <c r="K8" s="578"/>
      <c r="L8" s="578"/>
      <c r="M8" s="578"/>
      <c r="N8" s="578"/>
      <c r="O8" s="579"/>
      <c r="P8" s="576"/>
    </row>
    <row r="9" spans="2:17" s="420" customFormat="1" ht="11.25" x14ac:dyDescent="0.2">
      <c r="B9" s="1241"/>
      <c r="C9" s="1293"/>
      <c r="D9" s="500"/>
      <c r="E9" s="501">
        <v>1</v>
      </c>
      <c r="F9" s="502"/>
      <c r="G9" s="503"/>
      <c r="H9" s="575">
        <f t="shared" si="0"/>
        <v>0</v>
      </c>
      <c r="I9" s="576"/>
      <c r="J9" s="577"/>
      <c r="K9" s="578"/>
      <c r="L9" s="578"/>
      <c r="M9" s="578"/>
      <c r="N9" s="578"/>
      <c r="O9" s="579"/>
      <c r="P9" s="576"/>
    </row>
    <row r="10" spans="2:17" s="420" customFormat="1" ht="11.25" x14ac:dyDescent="0.2">
      <c r="B10" s="1241"/>
      <c r="C10" s="1293"/>
      <c r="D10" s="500"/>
      <c r="E10" s="501">
        <v>1</v>
      </c>
      <c r="F10" s="502"/>
      <c r="G10" s="503"/>
      <c r="H10" s="575">
        <f t="shared" si="0"/>
        <v>0</v>
      </c>
      <c r="I10" s="576"/>
      <c r="J10" s="577"/>
      <c r="K10" s="578"/>
      <c r="L10" s="578"/>
      <c r="M10" s="578"/>
      <c r="N10" s="578"/>
      <c r="O10" s="579"/>
      <c r="P10" s="576"/>
    </row>
    <row r="11" spans="2:17" s="420" customFormat="1" ht="11.25" x14ac:dyDescent="0.2">
      <c r="B11" s="1241"/>
      <c r="C11" s="1293"/>
      <c r="D11" s="500"/>
      <c r="E11" s="501">
        <v>1</v>
      </c>
      <c r="F11" s="502"/>
      <c r="G11" s="503"/>
      <c r="H11" s="575">
        <f t="shared" si="0"/>
        <v>0</v>
      </c>
      <c r="I11" s="576"/>
      <c r="J11" s="577"/>
      <c r="K11" s="578"/>
      <c r="L11" s="578"/>
      <c r="M11" s="578"/>
      <c r="N11" s="578"/>
      <c r="O11" s="579"/>
      <c r="P11" s="576"/>
    </row>
    <row r="12" spans="2:17" s="420" customFormat="1" ht="11.25" x14ac:dyDescent="0.2">
      <c r="B12" s="1241"/>
      <c r="C12" s="1293"/>
      <c r="D12" s="500"/>
      <c r="E12" s="501">
        <v>1</v>
      </c>
      <c r="F12" s="502"/>
      <c r="G12" s="503"/>
      <c r="H12" s="575">
        <f t="shared" si="0"/>
        <v>0</v>
      </c>
      <c r="I12" s="576"/>
      <c r="J12" s="577"/>
      <c r="K12" s="578"/>
      <c r="L12" s="578"/>
      <c r="M12" s="578"/>
      <c r="N12" s="578"/>
      <c r="O12" s="579"/>
      <c r="P12" s="576"/>
    </row>
    <row r="13" spans="2:17" s="420" customFormat="1" ht="11.25" x14ac:dyDescent="0.2">
      <c r="B13" s="1241"/>
      <c r="C13" s="1293"/>
      <c r="D13" s="500" t="s">
        <v>581</v>
      </c>
      <c r="E13" s="501"/>
      <c r="F13" s="502"/>
      <c r="G13" s="503"/>
      <c r="H13" s="575">
        <f t="shared" ref="H13" si="1">E13*G13</f>
        <v>0</v>
      </c>
      <c r="I13" s="866">
        <f>SUM(H7:H13)</f>
        <v>0</v>
      </c>
      <c r="J13" s="577">
        <f>I13*$J$5</f>
        <v>0</v>
      </c>
      <c r="K13" s="578">
        <f>SUM(I13:J13)*$K$5</f>
        <v>0</v>
      </c>
      <c r="L13" s="578">
        <f>SUM(I13:K13)*$L$5</f>
        <v>0</v>
      </c>
      <c r="M13" s="578">
        <f>SUM(I13:L13)*$M$5</f>
        <v>0</v>
      </c>
      <c r="N13" s="578">
        <f>SUM(I13:M13)*$N$5</f>
        <v>0</v>
      </c>
      <c r="O13" s="579">
        <f>SUM(I13:N13)</f>
        <v>0</v>
      </c>
      <c r="P13" s="576" t="s">
        <v>524</v>
      </c>
      <c r="Q13" s="420" t="s">
        <v>514</v>
      </c>
    </row>
    <row r="14" spans="2:17" s="420" customFormat="1" ht="11.25" x14ac:dyDescent="0.2">
      <c r="B14" s="1241"/>
      <c r="C14" s="1293"/>
      <c r="D14" s="500"/>
      <c r="E14" s="501"/>
      <c r="F14" s="502"/>
      <c r="G14" s="503"/>
      <c r="H14" s="575"/>
      <c r="I14" s="576"/>
      <c r="J14" s="577"/>
      <c r="K14" s="578"/>
      <c r="L14" s="578"/>
      <c r="M14" s="578"/>
      <c r="N14" s="578"/>
      <c r="O14" s="579"/>
      <c r="P14" s="576"/>
    </row>
    <row r="15" spans="2:17" s="420" customFormat="1" ht="11.25" x14ac:dyDescent="0.2">
      <c r="B15" s="1241"/>
      <c r="C15" s="1293"/>
      <c r="D15" s="500" t="s">
        <v>557</v>
      </c>
      <c r="E15" s="501">
        <v>1</v>
      </c>
      <c r="F15" s="502"/>
      <c r="G15" s="503"/>
      <c r="H15" s="575">
        <f>E15*G15</f>
        <v>0</v>
      </c>
      <c r="I15" s="576"/>
      <c r="J15" s="577"/>
      <c r="K15" s="578"/>
      <c r="L15" s="578"/>
      <c r="M15" s="578"/>
      <c r="N15" s="578"/>
      <c r="O15" s="579"/>
      <c r="P15" s="576"/>
    </row>
    <row r="16" spans="2:17" s="420" customFormat="1" ht="11.25" x14ac:dyDescent="0.2">
      <c r="B16" s="1241"/>
      <c r="C16" s="1293"/>
      <c r="D16" s="500"/>
      <c r="E16" s="501">
        <v>1</v>
      </c>
      <c r="F16" s="502"/>
      <c r="G16" s="503"/>
      <c r="H16" s="575">
        <f>E16*G16</f>
        <v>0</v>
      </c>
      <c r="I16" s="576"/>
      <c r="J16" s="577"/>
      <c r="K16" s="578"/>
      <c r="L16" s="578"/>
      <c r="M16" s="578"/>
      <c r="N16" s="578"/>
      <c r="O16" s="579"/>
      <c r="P16" s="576"/>
    </row>
    <row r="17" spans="2:17" s="420" customFormat="1" ht="11.25" x14ac:dyDescent="0.2">
      <c r="B17" s="1241"/>
      <c r="C17" s="1293"/>
      <c r="D17" s="500"/>
      <c r="E17" s="501">
        <v>1</v>
      </c>
      <c r="F17" s="502"/>
      <c r="G17" s="503"/>
      <c r="H17" s="575">
        <f>E17*G17</f>
        <v>0</v>
      </c>
      <c r="I17" s="576"/>
      <c r="J17" s="577"/>
      <c r="K17" s="578"/>
      <c r="L17" s="578"/>
      <c r="M17" s="578"/>
      <c r="N17" s="578"/>
      <c r="O17" s="579"/>
      <c r="P17" s="576"/>
    </row>
    <row r="18" spans="2:17" s="420" customFormat="1" ht="11.25" x14ac:dyDescent="0.2">
      <c r="B18" s="1241"/>
      <c r="C18" s="1293"/>
      <c r="D18" s="500"/>
      <c r="E18" s="501">
        <v>1</v>
      </c>
      <c r="F18" s="502"/>
      <c r="G18" s="503"/>
      <c r="H18" s="575">
        <f>E18*G18</f>
        <v>0</v>
      </c>
      <c r="I18" s="576"/>
      <c r="J18" s="577"/>
      <c r="K18" s="578"/>
      <c r="L18" s="578"/>
      <c r="M18" s="578"/>
      <c r="N18" s="578"/>
      <c r="O18" s="579"/>
      <c r="P18" s="576"/>
    </row>
    <row r="19" spans="2:17" s="420" customFormat="1" ht="11.25" x14ac:dyDescent="0.2">
      <c r="B19" s="1241"/>
      <c r="C19" s="1293"/>
      <c r="D19" s="500"/>
      <c r="E19" s="501">
        <v>1</v>
      </c>
      <c r="F19" s="502"/>
      <c r="G19" s="503"/>
      <c r="H19" s="575">
        <f>E19*G19</f>
        <v>0</v>
      </c>
      <c r="I19" s="576"/>
      <c r="J19" s="577"/>
      <c r="K19" s="578"/>
      <c r="L19" s="578"/>
      <c r="M19" s="578"/>
      <c r="N19" s="578"/>
      <c r="O19" s="579"/>
      <c r="P19" s="576"/>
    </row>
    <row r="20" spans="2:17" s="420" customFormat="1" ht="11.25" x14ac:dyDescent="0.2">
      <c r="B20" s="1241"/>
      <c r="C20" s="1293"/>
      <c r="D20" s="500" t="s">
        <v>581</v>
      </c>
      <c r="E20" s="501">
        <v>1</v>
      </c>
      <c r="F20" s="502"/>
      <c r="G20" s="503"/>
      <c r="H20" s="575">
        <f t="shared" ref="H20" si="2">E20*G20</f>
        <v>0</v>
      </c>
      <c r="I20" s="906">
        <f>SUM(H14:H20)</f>
        <v>0</v>
      </c>
      <c r="J20" s="577">
        <f>I20*$J$5</f>
        <v>0</v>
      </c>
      <c r="K20" s="578">
        <f>SUM(I20:J20)*$K$5</f>
        <v>0</v>
      </c>
      <c r="L20" s="578">
        <f>SUM(I20:K20)*$L$5</f>
        <v>0</v>
      </c>
      <c r="M20" s="578">
        <f>SUM(I20:L20)*$M$5</f>
        <v>0</v>
      </c>
      <c r="N20" s="578">
        <f>SUM(I20:M20)*$N$5</f>
        <v>0</v>
      </c>
      <c r="O20" s="579">
        <f>SUM(I20:N20)</f>
        <v>0</v>
      </c>
      <c r="P20" s="576" t="s">
        <v>524</v>
      </c>
      <c r="Q20" s="420" t="s">
        <v>514</v>
      </c>
    </row>
    <row r="21" spans="2:17" s="420" customFormat="1" ht="12" thickBot="1" x14ac:dyDescent="0.25">
      <c r="B21" s="1242"/>
      <c r="C21" s="1294"/>
      <c r="D21" s="516"/>
      <c r="E21" s="517"/>
      <c r="F21" s="518"/>
      <c r="G21" s="519"/>
      <c r="H21" s="520"/>
      <c r="I21" s="521"/>
      <c r="J21" s="522"/>
      <c r="K21" s="523"/>
      <c r="L21" s="523"/>
      <c r="M21" s="523"/>
      <c r="N21" s="523"/>
      <c r="O21" s="522"/>
      <c r="P21" s="521"/>
    </row>
    <row r="22" spans="2:17" s="426" customFormat="1" ht="11.25" x14ac:dyDescent="0.2">
      <c r="B22" s="1240" t="str">
        <f>'Detailed Matrix'!E124</f>
        <v>Daylight Access</v>
      </c>
      <c r="C22" s="1292" t="str">
        <f>'Detailed Matrix'!F124</f>
        <v>Stage 02 - Optimise size and position of windows and external shading for maximum daylight and minimum overheating</v>
      </c>
      <c r="D22" s="500" t="s">
        <v>556</v>
      </c>
      <c r="E22" s="493"/>
      <c r="F22" s="494"/>
      <c r="G22" s="495"/>
      <c r="H22" s="496"/>
      <c r="I22" s="497"/>
      <c r="J22" s="498"/>
      <c r="K22" s="499"/>
      <c r="L22" s="499"/>
      <c r="M22" s="499"/>
      <c r="N22" s="499"/>
      <c r="O22" s="498"/>
      <c r="P22" s="497"/>
    </row>
    <row r="23" spans="2:17" s="426" customFormat="1" ht="11.25" x14ac:dyDescent="0.2">
      <c r="B23" s="1241"/>
      <c r="C23" s="1293"/>
      <c r="D23" s="500" t="s">
        <v>581</v>
      </c>
      <c r="E23" s="501">
        <v>1</v>
      </c>
      <c r="F23" s="502"/>
      <c r="G23" s="503"/>
      <c r="H23" s="509">
        <f t="shared" ref="H23:H28" si="3">E23*G23</f>
        <v>0</v>
      </c>
      <c r="I23" s="512"/>
      <c r="J23" s="513"/>
      <c r="K23" s="514"/>
      <c r="L23" s="514"/>
      <c r="M23" s="514"/>
      <c r="N23" s="514"/>
      <c r="O23" s="515"/>
      <c r="P23" s="512"/>
      <c r="Q23" s="426" t="s">
        <v>514</v>
      </c>
    </row>
    <row r="24" spans="2:17" s="426" customFormat="1" ht="11.25" x14ac:dyDescent="0.2">
      <c r="B24" s="1241"/>
      <c r="C24" s="1293"/>
      <c r="D24" s="500"/>
      <c r="E24" s="501">
        <v>1</v>
      </c>
      <c r="F24" s="502"/>
      <c r="G24" s="503"/>
      <c r="H24" s="575">
        <f t="shared" si="3"/>
        <v>0</v>
      </c>
      <c r="I24" s="576"/>
      <c r="J24" s="577"/>
      <c r="K24" s="578"/>
      <c r="L24" s="578"/>
      <c r="M24" s="578"/>
      <c r="N24" s="578"/>
      <c r="O24" s="579"/>
      <c r="P24" s="576"/>
    </row>
    <row r="25" spans="2:17" s="426" customFormat="1" ht="11.25" x14ac:dyDescent="0.2">
      <c r="B25" s="1241"/>
      <c r="C25" s="1293"/>
      <c r="D25" s="500"/>
      <c r="E25" s="501">
        <v>1</v>
      </c>
      <c r="F25" s="502"/>
      <c r="G25" s="503"/>
      <c r="H25" s="575">
        <f t="shared" si="3"/>
        <v>0</v>
      </c>
      <c r="I25" s="576"/>
      <c r="J25" s="577"/>
      <c r="K25" s="578"/>
      <c r="L25" s="578"/>
      <c r="M25" s="578"/>
      <c r="N25" s="578"/>
      <c r="O25" s="579"/>
      <c r="P25" s="576"/>
    </row>
    <row r="26" spans="2:17" s="426" customFormat="1" ht="11.25" x14ac:dyDescent="0.2">
      <c r="B26" s="1241"/>
      <c r="C26" s="1293"/>
      <c r="D26" s="500"/>
      <c r="E26" s="501">
        <v>1</v>
      </c>
      <c r="F26" s="502"/>
      <c r="G26" s="503"/>
      <c r="H26" s="575">
        <f t="shared" si="3"/>
        <v>0</v>
      </c>
      <c r="I26" s="576"/>
      <c r="J26" s="577"/>
      <c r="K26" s="578"/>
      <c r="L26" s="578"/>
      <c r="M26" s="578"/>
      <c r="N26" s="578"/>
      <c r="O26" s="579"/>
      <c r="P26" s="576"/>
    </row>
    <row r="27" spans="2:17" s="426" customFormat="1" ht="11.25" x14ac:dyDescent="0.2">
      <c r="B27" s="1241"/>
      <c r="C27" s="1293"/>
      <c r="D27" s="500" t="s">
        <v>610</v>
      </c>
      <c r="E27" s="501">
        <v>-1</v>
      </c>
      <c r="F27" s="502"/>
      <c r="G27" s="503">
        <f>I13</f>
        <v>0</v>
      </c>
      <c r="H27" s="575">
        <f t="shared" si="3"/>
        <v>0</v>
      </c>
      <c r="I27" s="576"/>
      <c r="J27" s="577"/>
      <c r="K27" s="578"/>
      <c r="L27" s="578"/>
      <c r="M27" s="578"/>
      <c r="N27" s="578"/>
      <c r="O27" s="579"/>
      <c r="P27" s="576"/>
    </row>
    <row r="28" spans="2:17" s="426" customFormat="1" ht="11.25" x14ac:dyDescent="0.2">
      <c r="B28" s="1241"/>
      <c r="C28" s="1293"/>
      <c r="D28" s="500"/>
      <c r="E28" s="501">
        <v>1</v>
      </c>
      <c r="F28" s="502"/>
      <c r="G28" s="503"/>
      <c r="H28" s="575">
        <f t="shared" si="3"/>
        <v>0</v>
      </c>
      <c r="I28" s="576"/>
      <c r="J28" s="577"/>
      <c r="K28" s="578"/>
      <c r="L28" s="578"/>
      <c r="M28" s="578"/>
      <c r="N28" s="578"/>
      <c r="O28" s="579"/>
      <c r="P28" s="576"/>
    </row>
    <row r="29" spans="2:17" s="426" customFormat="1" ht="11.25" x14ac:dyDescent="0.2">
      <c r="B29" s="1241"/>
      <c r="C29" s="1293"/>
      <c r="D29" s="500"/>
      <c r="E29" s="501"/>
      <c r="F29" s="502"/>
      <c r="G29" s="503"/>
      <c r="H29" s="575">
        <f>E29*G29</f>
        <v>0</v>
      </c>
      <c r="I29" s="576">
        <f>SUM(H22:H29)</f>
        <v>0</v>
      </c>
      <c r="J29" s="577">
        <f>I29*$J$5</f>
        <v>0</v>
      </c>
      <c r="K29" s="578">
        <f>SUM(I29:J29)*$K$5</f>
        <v>0</v>
      </c>
      <c r="L29" s="578">
        <f>SUM(I29:K29)*$L$5</f>
        <v>0</v>
      </c>
      <c r="M29" s="578">
        <f>SUM(I29:L29)*$M$5</f>
        <v>0</v>
      </c>
      <c r="N29" s="578">
        <f>SUM(I29:M29)*$N$5</f>
        <v>0</v>
      </c>
      <c r="O29" s="579">
        <f>SUM(I29:N29)</f>
        <v>0</v>
      </c>
      <c r="P29" s="576" t="s">
        <v>524</v>
      </c>
    </row>
    <row r="30" spans="2:17" s="426" customFormat="1" ht="11.25" x14ac:dyDescent="0.2">
      <c r="B30" s="1241"/>
      <c r="C30" s="1293"/>
      <c r="D30" s="500"/>
      <c r="E30" s="501"/>
      <c r="F30" s="502"/>
      <c r="G30" s="503"/>
      <c r="H30" s="575"/>
      <c r="I30" s="576"/>
      <c r="J30" s="577"/>
      <c r="K30" s="578"/>
      <c r="L30" s="578"/>
      <c r="M30" s="578"/>
      <c r="N30" s="578"/>
      <c r="O30" s="579"/>
      <c r="P30" s="576"/>
    </row>
    <row r="31" spans="2:17" s="426" customFormat="1" ht="11.25" x14ac:dyDescent="0.2">
      <c r="B31" s="1241"/>
      <c r="C31" s="1293"/>
      <c r="D31" s="500" t="s">
        <v>557</v>
      </c>
      <c r="E31" s="501"/>
      <c r="F31" s="502"/>
      <c r="G31" s="503"/>
      <c r="H31" s="575"/>
      <c r="I31" s="576"/>
      <c r="J31" s="577"/>
      <c r="K31" s="578"/>
      <c r="L31" s="578"/>
      <c r="M31" s="578"/>
      <c r="N31" s="578"/>
      <c r="O31" s="579"/>
      <c r="P31" s="576"/>
    </row>
    <row r="32" spans="2:17" s="426" customFormat="1" ht="11.25" x14ac:dyDescent="0.2">
      <c r="B32" s="1241"/>
      <c r="C32" s="1293"/>
      <c r="D32" s="500" t="s">
        <v>581</v>
      </c>
      <c r="E32" s="501">
        <v>1</v>
      </c>
      <c r="F32" s="502"/>
      <c r="G32" s="503"/>
      <c r="H32" s="575">
        <f t="shared" ref="H32:H36" si="4">E32*G32</f>
        <v>0</v>
      </c>
      <c r="I32" s="576"/>
      <c r="J32" s="577"/>
      <c r="K32" s="578"/>
      <c r="L32" s="578"/>
      <c r="M32" s="578"/>
      <c r="N32" s="578"/>
      <c r="O32" s="579"/>
      <c r="P32" s="576"/>
    </row>
    <row r="33" spans="2:17" s="426" customFormat="1" ht="11.25" x14ac:dyDescent="0.2">
      <c r="B33" s="1241"/>
      <c r="C33" s="1293"/>
      <c r="D33" s="500"/>
      <c r="E33" s="501">
        <v>1</v>
      </c>
      <c r="F33" s="502"/>
      <c r="G33" s="503"/>
      <c r="H33" s="575">
        <f t="shared" si="4"/>
        <v>0</v>
      </c>
      <c r="I33" s="576"/>
      <c r="J33" s="577"/>
      <c r="K33" s="578"/>
      <c r="L33" s="578"/>
      <c r="M33" s="578"/>
      <c r="N33" s="578"/>
      <c r="O33" s="579"/>
      <c r="P33" s="576"/>
    </row>
    <row r="34" spans="2:17" s="426" customFormat="1" ht="11.25" x14ac:dyDescent="0.2">
      <c r="B34" s="1241"/>
      <c r="C34" s="1293"/>
      <c r="D34" s="500"/>
      <c r="E34" s="501">
        <v>1</v>
      </c>
      <c r="F34" s="502"/>
      <c r="G34" s="503"/>
      <c r="H34" s="575">
        <f t="shared" si="4"/>
        <v>0</v>
      </c>
      <c r="I34" s="576"/>
      <c r="J34" s="577"/>
      <c r="K34" s="578"/>
      <c r="L34" s="578"/>
      <c r="M34" s="578"/>
      <c r="N34" s="578"/>
      <c r="O34" s="579"/>
      <c r="P34" s="576"/>
    </row>
    <row r="35" spans="2:17" s="426" customFormat="1" ht="11.25" x14ac:dyDescent="0.2">
      <c r="B35" s="1241"/>
      <c r="C35" s="1293"/>
      <c r="D35" s="500"/>
      <c r="E35" s="501">
        <v>1</v>
      </c>
      <c r="F35" s="502"/>
      <c r="G35" s="503"/>
      <c r="H35" s="575">
        <f t="shared" si="4"/>
        <v>0</v>
      </c>
      <c r="I35" s="576"/>
      <c r="J35" s="577"/>
      <c r="K35" s="578"/>
      <c r="L35" s="578"/>
      <c r="M35" s="578"/>
      <c r="N35" s="578"/>
      <c r="O35" s="579"/>
      <c r="P35" s="576"/>
    </row>
    <row r="36" spans="2:17" s="426" customFormat="1" ht="11.25" x14ac:dyDescent="0.2">
      <c r="B36" s="1241"/>
      <c r="C36" s="1293"/>
      <c r="D36" s="500" t="s">
        <v>610</v>
      </c>
      <c r="E36" s="501">
        <v>-1</v>
      </c>
      <c r="F36" s="502" t="s">
        <v>576</v>
      </c>
      <c r="G36" s="503">
        <f>I20</f>
        <v>0</v>
      </c>
      <c r="H36" s="575">
        <f t="shared" si="4"/>
        <v>0</v>
      </c>
      <c r="I36" s="576">
        <f>SUM(H31:H36)</f>
        <v>0</v>
      </c>
      <c r="J36" s="577">
        <f>I36*$J$5</f>
        <v>0</v>
      </c>
      <c r="K36" s="578">
        <f>SUM(I36:J36)*$K$5</f>
        <v>0</v>
      </c>
      <c r="L36" s="578">
        <f>SUM(I36:K36)*$L$5</f>
        <v>0</v>
      </c>
      <c r="M36" s="578">
        <f>SUM(I36:L36)*$M$5</f>
        <v>0</v>
      </c>
      <c r="N36" s="578">
        <f>SUM(I36:M36)*$N$5</f>
        <v>0</v>
      </c>
      <c r="O36" s="579">
        <f>SUM(I36:N36)</f>
        <v>0</v>
      </c>
      <c r="P36" s="576" t="s">
        <v>524</v>
      </c>
    </row>
    <row r="37" spans="2:17" s="426" customFormat="1" ht="12" thickBot="1" x14ac:dyDescent="0.25">
      <c r="B37" s="1242"/>
      <c r="C37" s="1294"/>
      <c r="D37" s="516"/>
      <c r="E37" s="517"/>
      <c r="F37" s="518"/>
      <c r="G37" s="519"/>
      <c r="H37" s="520"/>
      <c r="I37" s="521"/>
      <c r="J37" s="522"/>
      <c r="K37" s="523"/>
      <c r="L37" s="523"/>
      <c r="M37" s="523"/>
      <c r="N37" s="523"/>
      <c r="O37" s="522"/>
      <c r="P37" s="521"/>
    </row>
    <row r="38" spans="2:17" s="420" customFormat="1" ht="11.25" x14ac:dyDescent="0.2">
      <c r="B38" s="1286" t="str">
        <f>'Detailed Matrix'!E125</f>
        <v>Glare Control</v>
      </c>
      <c r="C38" s="1298" t="str">
        <f>'Detailed Matrix'!F125</f>
        <v>Stage 01 - Personal control over sunlight &amp; glare (internal blinds)</v>
      </c>
      <c r="D38" s="427"/>
      <c r="E38" s="428"/>
      <c r="F38" s="429"/>
      <c r="G38" s="430"/>
      <c r="H38" s="431"/>
      <c r="I38" s="432"/>
      <c r="J38" s="433"/>
      <c r="K38" s="434"/>
      <c r="L38" s="434"/>
      <c r="M38" s="434"/>
      <c r="N38" s="434"/>
      <c r="O38" s="433"/>
      <c r="P38" s="432"/>
    </row>
    <row r="39" spans="2:17" s="420" customFormat="1" ht="11.25" x14ac:dyDescent="0.2">
      <c r="B39" s="1287"/>
      <c r="C39" s="1299"/>
      <c r="D39" s="907"/>
      <c r="E39" s="907"/>
      <c r="F39" s="907"/>
      <c r="G39" s="907"/>
      <c r="H39" s="596"/>
      <c r="I39" s="597"/>
      <c r="J39" s="598"/>
      <c r="K39" s="599"/>
      <c r="L39" s="599"/>
      <c r="M39" s="599"/>
      <c r="N39" s="599"/>
      <c r="O39" s="600"/>
      <c r="P39" s="597"/>
      <c r="Q39" s="420" t="s">
        <v>600</v>
      </c>
    </row>
    <row r="40" spans="2:17" s="420" customFormat="1" ht="11.25" x14ac:dyDescent="0.2">
      <c r="B40" s="1287"/>
      <c r="C40" s="1299"/>
      <c r="D40" s="907" t="s">
        <v>556</v>
      </c>
      <c r="E40" s="907">
        <v>1</v>
      </c>
      <c r="F40" s="907"/>
      <c r="G40" s="907"/>
      <c r="H40" s="596">
        <f t="shared" ref="H40:H45" si="5">E40*G40</f>
        <v>0</v>
      </c>
      <c r="I40" s="597"/>
      <c r="J40" s="598"/>
      <c r="K40" s="599"/>
      <c r="L40" s="599"/>
      <c r="M40" s="599"/>
      <c r="N40" s="599"/>
      <c r="O40" s="600"/>
      <c r="P40" s="597"/>
    </row>
    <row r="41" spans="2:17" s="420" customFormat="1" ht="11.25" x14ac:dyDescent="0.2">
      <c r="B41" s="1287"/>
      <c r="C41" s="1299"/>
      <c r="D41" s="907"/>
      <c r="E41" s="907">
        <v>1</v>
      </c>
      <c r="F41" s="907"/>
      <c r="G41" s="907"/>
      <c r="H41" s="596">
        <f t="shared" si="5"/>
        <v>0</v>
      </c>
      <c r="I41" s="597"/>
      <c r="J41" s="598"/>
      <c r="K41" s="599"/>
      <c r="L41" s="599"/>
      <c r="M41" s="599"/>
      <c r="N41" s="599"/>
      <c r="O41" s="600"/>
      <c r="P41" s="597"/>
    </row>
    <row r="42" spans="2:17" s="420" customFormat="1" ht="11.25" x14ac:dyDescent="0.2">
      <c r="B42" s="1287"/>
      <c r="C42" s="1299"/>
      <c r="D42" s="907"/>
      <c r="E42" s="907">
        <v>1</v>
      </c>
      <c r="F42" s="907"/>
      <c r="G42" s="907"/>
      <c r="H42" s="596">
        <f t="shared" si="5"/>
        <v>0</v>
      </c>
      <c r="I42" s="597"/>
      <c r="J42" s="598"/>
      <c r="K42" s="599"/>
      <c r="L42" s="599"/>
      <c r="M42" s="599"/>
      <c r="N42" s="599"/>
      <c r="O42" s="600"/>
      <c r="P42" s="597"/>
    </row>
    <row r="43" spans="2:17" s="420" customFormat="1" ht="11.25" x14ac:dyDescent="0.2">
      <c r="B43" s="1287"/>
      <c r="C43" s="1299"/>
      <c r="D43" s="907"/>
      <c r="E43" s="907">
        <v>1</v>
      </c>
      <c r="F43" s="907"/>
      <c r="G43" s="907"/>
      <c r="H43" s="596">
        <f t="shared" si="5"/>
        <v>0</v>
      </c>
      <c r="I43" s="597"/>
      <c r="J43" s="598"/>
      <c r="K43" s="599"/>
      <c r="L43" s="599"/>
      <c r="M43" s="599"/>
      <c r="N43" s="599"/>
      <c r="O43" s="600"/>
      <c r="P43" s="597"/>
    </row>
    <row r="44" spans="2:17" s="420" customFormat="1" ht="11.25" x14ac:dyDescent="0.2">
      <c r="B44" s="1287"/>
      <c r="C44" s="1299"/>
      <c r="D44" s="907"/>
      <c r="E44" s="907">
        <v>1</v>
      </c>
      <c r="F44" s="907"/>
      <c r="G44" s="907"/>
      <c r="H44" s="596">
        <f t="shared" si="5"/>
        <v>0</v>
      </c>
      <c r="I44" s="597"/>
      <c r="J44" s="598"/>
      <c r="K44" s="599"/>
      <c r="L44" s="599"/>
      <c r="M44" s="599"/>
      <c r="N44" s="599"/>
      <c r="O44" s="600"/>
      <c r="P44" s="597"/>
    </row>
    <row r="45" spans="2:17" s="420" customFormat="1" ht="11.25" x14ac:dyDescent="0.2">
      <c r="B45" s="1287"/>
      <c r="C45" s="1299"/>
      <c r="D45" s="907"/>
      <c r="E45" s="907">
        <v>1</v>
      </c>
      <c r="F45" s="907"/>
      <c r="G45" s="907"/>
      <c r="H45" s="596">
        <f t="shared" si="5"/>
        <v>0</v>
      </c>
      <c r="I45" s="597"/>
      <c r="J45" s="598"/>
      <c r="K45" s="599"/>
      <c r="L45" s="599"/>
      <c r="M45" s="599"/>
      <c r="N45" s="599"/>
      <c r="O45" s="600"/>
      <c r="P45" s="597"/>
    </row>
    <row r="46" spans="2:17" s="420" customFormat="1" ht="11.25" x14ac:dyDescent="0.2">
      <c r="B46" s="1287"/>
      <c r="C46" s="1299"/>
      <c r="D46" s="907" t="s">
        <v>622</v>
      </c>
      <c r="E46" s="907"/>
      <c r="F46" s="907"/>
      <c r="G46" s="907"/>
      <c r="H46" s="596">
        <f t="shared" ref="H46" si="6">E46*G46</f>
        <v>0</v>
      </c>
      <c r="I46" s="597">
        <f>SUM(H40:H46)</f>
        <v>0</v>
      </c>
      <c r="J46" s="598">
        <f>I46*$J$5</f>
        <v>0</v>
      </c>
      <c r="K46" s="599">
        <f>SUM(I46:J46)*$K$5</f>
        <v>0</v>
      </c>
      <c r="L46" s="599">
        <f>SUM(I46:K46)*$L$5</f>
        <v>0</v>
      </c>
      <c r="M46" s="599">
        <f>SUM(I46:L46)*$M$5</f>
        <v>0</v>
      </c>
      <c r="N46" s="599">
        <f>SUM(I46:M46)*$N$5</f>
        <v>0</v>
      </c>
      <c r="O46" s="600">
        <f>SUM(I46:N46)</f>
        <v>0</v>
      </c>
      <c r="P46" s="597" t="s">
        <v>524</v>
      </c>
    </row>
    <row r="47" spans="2:17" s="420" customFormat="1" ht="11.25" x14ac:dyDescent="0.2">
      <c r="B47" s="1287"/>
      <c r="C47" s="1299"/>
      <c r="D47" s="907"/>
      <c r="E47" s="907"/>
      <c r="F47" s="907"/>
      <c r="G47" s="907"/>
      <c r="H47" s="596"/>
      <c r="I47" s="597"/>
      <c r="J47" s="598"/>
      <c r="K47" s="599"/>
      <c r="L47" s="599"/>
      <c r="M47" s="599"/>
      <c r="N47" s="599"/>
      <c r="O47" s="600"/>
      <c r="P47" s="597"/>
    </row>
    <row r="48" spans="2:17" s="420" customFormat="1" ht="11.25" x14ac:dyDescent="0.2">
      <c r="B48" s="1287"/>
      <c r="C48" s="1299"/>
      <c r="D48" s="907" t="s">
        <v>557</v>
      </c>
      <c r="E48" s="907">
        <v>1</v>
      </c>
      <c r="F48" s="907"/>
      <c r="G48" s="907"/>
      <c r="H48" s="596">
        <f>E48*G48</f>
        <v>0</v>
      </c>
      <c r="I48" s="597"/>
      <c r="J48" s="598"/>
      <c r="K48" s="599"/>
      <c r="L48" s="599"/>
      <c r="M48" s="599"/>
      <c r="N48" s="599"/>
      <c r="O48" s="600"/>
      <c r="P48" s="597"/>
    </row>
    <row r="49" spans="2:17" s="420" customFormat="1" ht="11.25" x14ac:dyDescent="0.2">
      <c r="B49" s="1287"/>
      <c r="C49" s="1299"/>
      <c r="D49" s="907"/>
      <c r="E49" s="907">
        <v>1</v>
      </c>
      <c r="F49" s="907"/>
      <c r="G49" s="907"/>
      <c r="H49" s="596">
        <f>E49*G49</f>
        <v>0</v>
      </c>
      <c r="I49" s="597"/>
      <c r="J49" s="598"/>
      <c r="K49" s="599"/>
      <c r="L49" s="599"/>
      <c r="M49" s="599"/>
      <c r="N49" s="599"/>
      <c r="O49" s="600"/>
      <c r="P49" s="597"/>
    </row>
    <row r="50" spans="2:17" s="420" customFormat="1" ht="11.25" x14ac:dyDescent="0.2">
      <c r="B50" s="1287"/>
      <c r="C50" s="1299"/>
      <c r="D50" s="907"/>
      <c r="E50" s="907">
        <v>1</v>
      </c>
      <c r="F50" s="907"/>
      <c r="G50" s="907"/>
      <c r="H50" s="596">
        <f>E50*G50</f>
        <v>0</v>
      </c>
      <c r="I50" s="597"/>
      <c r="J50" s="598"/>
      <c r="K50" s="599"/>
      <c r="L50" s="599"/>
      <c r="M50" s="599"/>
      <c r="N50" s="599"/>
      <c r="O50" s="600"/>
      <c r="P50" s="597"/>
    </row>
    <row r="51" spans="2:17" s="420" customFormat="1" ht="11.25" x14ac:dyDescent="0.2">
      <c r="B51" s="1287"/>
      <c r="C51" s="1299"/>
      <c r="D51" s="907"/>
      <c r="E51" s="907">
        <v>1</v>
      </c>
      <c r="F51" s="907"/>
      <c r="G51" s="907"/>
      <c r="H51" s="596">
        <f>E51*G51</f>
        <v>0</v>
      </c>
      <c r="I51" s="597"/>
      <c r="J51" s="598"/>
      <c r="K51" s="599"/>
      <c r="L51" s="599"/>
      <c r="M51" s="599"/>
      <c r="N51" s="599"/>
      <c r="O51" s="600"/>
      <c r="P51" s="597"/>
    </row>
    <row r="52" spans="2:17" s="420" customFormat="1" ht="11.25" x14ac:dyDescent="0.2">
      <c r="B52" s="1287"/>
      <c r="C52" s="1299"/>
      <c r="D52" s="907"/>
      <c r="E52" s="907">
        <v>1</v>
      </c>
      <c r="F52" s="907"/>
      <c r="G52" s="907"/>
      <c r="H52" s="596">
        <f>E52*G52</f>
        <v>0</v>
      </c>
      <c r="I52" s="597"/>
      <c r="J52" s="598"/>
      <c r="K52" s="599"/>
      <c r="L52" s="599"/>
      <c r="M52" s="599"/>
      <c r="N52" s="599"/>
      <c r="O52" s="600"/>
      <c r="P52" s="597"/>
    </row>
    <row r="53" spans="2:17" s="420" customFormat="1" ht="11.25" x14ac:dyDescent="0.2">
      <c r="B53" s="1287"/>
      <c r="C53" s="1299"/>
      <c r="D53" s="907" t="s">
        <v>622</v>
      </c>
      <c r="E53" s="907">
        <v>1</v>
      </c>
      <c r="F53" s="907"/>
      <c r="G53" s="907"/>
      <c r="H53" s="596">
        <f t="shared" ref="H53" si="7">E53*G53</f>
        <v>0</v>
      </c>
      <c r="I53" s="597">
        <f>SUM(H47:H53)</f>
        <v>0</v>
      </c>
      <c r="J53" s="598">
        <f>I53*$J$5</f>
        <v>0</v>
      </c>
      <c r="K53" s="599">
        <f>SUM(I53:J53)*$K$5</f>
        <v>0</v>
      </c>
      <c r="L53" s="599">
        <f>SUM(I53:K53)*$L$5</f>
        <v>0</v>
      </c>
      <c r="M53" s="599">
        <f>SUM(I53:L53)*$M$5</f>
        <v>0</v>
      </c>
      <c r="N53" s="599">
        <f>SUM(I53:M53)*$N$5</f>
        <v>0</v>
      </c>
      <c r="O53" s="600">
        <f>SUM(I53:N53)</f>
        <v>0</v>
      </c>
      <c r="P53" s="597" t="s">
        <v>524</v>
      </c>
    </row>
    <row r="54" spans="2:17" s="420" customFormat="1" ht="12" thickBot="1" x14ac:dyDescent="0.25">
      <c r="B54" s="1287"/>
      <c r="C54" s="1299"/>
      <c r="D54" s="907"/>
      <c r="E54" s="907"/>
      <c r="F54" s="907"/>
      <c r="G54" s="907"/>
      <c r="H54" s="596"/>
      <c r="I54" s="597"/>
      <c r="J54" s="598"/>
      <c r="K54" s="599"/>
      <c r="L54" s="599"/>
      <c r="M54" s="599"/>
      <c r="N54" s="599"/>
      <c r="O54" s="600"/>
      <c r="P54" s="597"/>
    </row>
    <row r="55" spans="2:17" s="426" customFormat="1" ht="11.25" x14ac:dyDescent="0.2">
      <c r="B55" s="1240" t="str">
        <f>'Detailed Matrix'!E126</f>
        <v>Glare Control</v>
      </c>
      <c r="C55" s="1292" t="str">
        <f>'Detailed Matrix'!F126</f>
        <v>Stage 02 - External shading designed to reduce sunlight glare, ASE&lt;10%</v>
      </c>
      <c r="D55" s="492" t="s">
        <v>623</v>
      </c>
      <c r="E55" s="493"/>
      <c r="F55" s="494"/>
      <c r="G55" s="495"/>
      <c r="H55" s="496"/>
      <c r="I55" s="497"/>
      <c r="J55" s="498"/>
      <c r="K55" s="499"/>
      <c r="L55" s="499"/>
      <c r="M55" s="499"/>
      <c r="N55" s="499"/>
      <c r="O55" s="498"/>
      <c r="P55" s="497"/>
    </row>
    <row r="56" spans="2:17" s="426" customFormat="1" ht="11.25" x14ac:dyDescent="0.2">
      <c r="B56" s="1241"/>
      <c r="C56" s="1293"/>
      <c r="D56" s="508" t="s">
        <v>556</v>
      </c>
      <c r="E56" s="501"/>
      <c r="F56" s="502"/>
      <c r="G56" s="503"/>
      <c r="H56" s="509"/>
      <c r="I56" s="512"/>
      <c r="J56" s="513"/>
      <c r="K56" s="514"/>
      <c r="L56" s="514"/>
      <c r="M56" s="514"/>
      <c r="N56" s="514"/>
      <c r="O56" s="515"/>
      <c r="P56" s="512"/>
      <c r="Q56" s="426" t="s">
        <v>514</v>
      </c>
    </row>
    <row r="57" spans="2:17" s="426" customFormat="1" ht="11.25" x14ac:dyDescent="0.2">
      <c r="B57" s="1241"/>
      <c r="C57" s="1293"/>
      <c r="D57" s="508"/>
      <c r="E57" s="501">
        <v>1</v>
      </c>
      <c r="F57" s="502"/>
      <c r="G57" s="503"/>
      <c r="H57" s="575">
        <f t="shared" ref="H57:H62" si="8">E57*G57</f>
        <v>0</v>
      </c>
      <c r="I57" s="576"/>
      <c r="J57" s="577"/>
      <c r="K57" s="578"/>
      <c r="L57" s="578"/>
      <c r="M57" s="578"/>
      <c r="N57" s="578"/>
      <c r="O57" s="579"/>
      <c r="P57" s="576"/>
    </row>
    <row r="58" spans="2:17" s="426" customFormat="1" ht="11.25" x14ac:dyDescent="0.2">
      <c r="B58" s="1241"/>
      <c r="C58" s="1293"/>
      <c r="D58" s="508"/>
      <c r="E58" s="501">
        <v>1</v>
      </c>
      <c r="F58" s="502"/>
      <c r="G58" s="503"/>
      <c r="H58" s="575">
        <f t="shared" si="8"/>
        <v>0</v>
      </c>
      <c r="I58" s="576"/>
      <c r="J58" s="577"/>
      <c r="K58" s="578"/>
      <c r="L58" s="578"/>
      <c r="M58" s="578"/>
      <c r="N58" s="578"/>
      <c r="O58" s="579"/>
      <c r="P58" s="576"/>
    </row>
    <row r="59" spans="2:17" s="426" customFormat="1" ht="11.25" x14ac:dyDescent="0.2">
      <c r="B59" s="1241"/>
      <c r="C59" s="1293"/>
      <c r="D59" s="508"/>
      <c r="E59" s="501">
        <v>1</v>
      </c>
      <c r="F59" s="502"/>
      <c r="G59" s="503"/>
      <c r="H59" s="575">
        <f t="shared" si="8"/>
        <v>0</v>
      </c>
      <c r="I59" s="576"/>
      <c r="J59" s="577"/>
      <c r="K59" s="578"/>
      <c r="L59" s="578"/>
      <c r="M59" s="578"/>
      <c r="N59" s="578"/>
      <c r="O59" s="579"/>
      <c r="P59" s="576"/>
    </row>
    <row r="60" spans="2:17" s="426" customFormat="1" ht="11.25" x14ac:dyDescent="0.2">
      <c r="B60" s="1241"/>
      <c r="C60" s="1293"/>
      <c r="D60" s="508"/>
      <c r="E60" s="501">
        <v>1</v>
      </c>
      <c r="F60" s="502"/>
      <c r="G60" s="503"/>
      <c r="H60" s="575">
        <f t="shared" si="8"/>
        <v>0</v>
      </c>
      <c r="I60" s="576"/>
      <c r="J60" s="577"/>
      <c r="K60" s="578"/>
      <c r="L60" s="578"/>
      <c r="M60" s="578"/>
      <c r="N60" s="578"/>
      <c r="O60" s="579"/>
      <c r="P60" s="576"/>
    </row>
    <row r="61" spans="2:17" s="426" customFormat="1" ht="11.25" x14ac:dyDescent="0.2">
      <c r="B61" s="1241"/>
      <c r="C61" s="1293"/>
      <c r="D61" s="508" t="s">
        <v>610</v>
      </c>
      <c r="E61" s="501">
        <v>-1</v>
      </c>
      <c r="F61" s="502"/>
      <c r="G61" s="503">
        <f>I46</f>
        <v>0</v>
      </c>
      <c r="H61" s="575">
        <f t="shared" si="8"/>
        <v>0</v>
      </c>
      <c r="I61" s="576"/>
      <c r="J61" s="577"/>
      <c r="K61" s="578"/>
      <c r="L61" s="578"/>
      <c r="M61" s="578"/>
      <c r="N61" s="578"/>
      <c r="O61" s="579"/>
      <c r="P61" s="576"/>
    </row>
    <row r="62" spans="2:17" s="426" customFormat="1" ht="11.25" x14ac:dyDescent="0.2">
      <c r="B62" s="1241"/>
      <c r="C62" s="1293"/>
      <c r="D62" s="508"/>
      <c r="E62" s="501">
        <v>1</v>
      </c>
      <c r="F62" s="502"/>
      <c r="G62" s="503"/>
      <c r="H62" s="575">
        <f t="shared" si="8"/>
        <v>0</v>
      </c>
      <c r="I62" s="576"/>
      <c r="J62" s="577"/>
      <c r="K62" s="578"/>
      <c r="L62" s="578"/>
      <c r="M62" s="578"/>
      <c r="N62" s="578"/>
      <c r="O62" s="579"/>
      <c r="P62" s="576"/>
    </row>
    <row r="63" spans="2:17" s="426" customFormat="1" ht="11.25" x14ac:dyDescent="0.2">
      <c r="B63" s="1241"/>
      <c r="C63" s="1293"/>
      <c r="D63" s="508"/>
      <c r="E63" s="501"/>
      <c r="F63" s="502"/>
      <c r="G63" s="503"/>
      <c r="H63" s="575">
        <f>E63*G63</f>
        <v>0</v>
      </c>
      <c r="I63" s="576">
        <f>SUM(H56:H63)</f>
        <v>0</v>
      </c>
      <c r="J63" s="577">
        <f>I63*$J$5</f>
        <v>0</v>
      </c>
      <c r="K63" s="578">
        <f>SUM(I63:J63)*$K$5</f>
        <v>0</v>
      </c>
      <c r="L63" s="578">
        <f>SUM(I63:K63)*$L$5</f>
        <v>0</v>
      </c>
      <c r="M63" s="578">
        <f>SUM(I63:L63)*$M$5</f>
        <v>0</v>
      </c>
      <c r="N63" s="578">
        <f>SUM(I63:M63)*$N$5</f>
        <v>0</v>
      </c>
      <c r="O63" s="579">
        <f>SUM(I63:N63)</f>
        <v>0</v>
      </c>
      <c r="P63" s="576" t="s">
        <v>624</v>
      </c>
    </row>
    <row r="64" spans="2:17" s="426" customFormat="1" ht="11.25" x14ac:dyDescent="0.2">
      <c r="B64" s="1241"/>
      <c r="C64" s="1293"/>
      <c r="D64" s="508"/>
      <c r="E64" s="501"/>
      <c r="F64" s="502"/>
      <c r="G64" s="503"/>
      <c r="H64" s="575"/>
      <c r="I64" s="576"/>
      <c r="J64" s="577"/>
      <c r="K64" s="578"/>
      <c r="L64" s="578"/>
      <c r="M64" s="578"/>
      <c r="N64" s="578"/>
      <c r="O64" s="579"/>
      <c r="P64" s="576"/>
    </row>
    <row r="65" spans="2:17" s="426" customFormat="1" ht="11.25" x14ac:dyDescent="0.2">
      <c r="B65" s="1241"/>
      <c r="C65" s="1293"/>
      <c r="D65" s="508" t="s">
        <v>557</v>
      </c>
      <c r="E65" s="501"/>
      <c r="F65" s="502"/>
      <c r="G65" s="503"/>
      <c r="H65" s="575"/>
      <c r="I65" s="576"/>
      <c r="J65" s="577"/>
      <c r="K65" s="578"/>
      <c r="L65" s="578"/>
      <c r="M65" s="578"/>
      <c r="N65" s="578"/>
      <c r="O65" s="579"/>
      <c r="P65" s="576"/>
    </row>
    <row r="66" spans="2:17" s="426" customFormat="1" ht="11.25" x14ac:dyDescent="0.2">
      <c r="B66" s="1241"/>
      <c r="C66" s="1293"/>
      <c r="D66" s="508"/>
      <c r="E66" s="501">
        <v>1</v>
      </c>
      <c r="F66" s="502"/>
      <c r="G66" s="503"/>
      <c r="H66" s="575">
        <f t="shared" ref="H66:H70" si="9">E66*G66</f>
        <v>0</v>
      </c>
      <c r="I66" s="576"/>
      <c r="J66" s="577"/>
      <c r="K66" s="578"/>
      <c r="L66" s="578"/>
      <c r="M66" s="578"/>
      <c r="N66" s="578"/>
      <c r="O66" s="579"/>
      <c r="P66" s="576"/>
    </row>
    <row r="67" spans="2:17" s="426" customFormat="1" ht="11.25" x14ac:dyDescent="0.2">
      <c r="B67" s="1241"/>
      <c r="C67" s="1293"/>
      <c r="D67" s="508"/>
      <c r="E67" s="501">
        <v>1</v>
      </c>
      <c r="F67" s="502"/>
      <c r="G67" s="503"/>
      <c r="H67" s="575">
        <f t="shared" si="9"/>
        <v>0</v>
      </c>
      <c r="I67" s="576"/>
      <c r="J67" s="577"/>
      <c r="K67" s="578"/>
      <c r="L67" s="578"/>
      <c r="M67" s="578"/>
      <c r="N67" s="578"/>
      <c r="O67" s="579"/>
      <c r="P67" s="576"/>
    </row>
    <row r="68" spans="2:17" s="426" customFormat="1" ht="11.25" x14ac:dyDescent="0.2">
      <c r="B68" s="1241"/>
      <c r="C68" s="1293"/>
      <c r="D68" s="508"/>
      <c r="E68" s="501">
        <v>1</v>
      </c>
      <c r="F68" s="502"/>
      <c r="G68" s="503"/>
      <c r="H68" s="575">
        <f t="shared" si="9"/>
        <v>0</v>
      </c>
      <c r="I68" s="576"/>
      <c r="J68" s="577"/>
      <c r="K68" s="578"/>
      <c r="L68" s="578"/>
      <c r="M68" s="578"/>
      <c r="N68" s="578"/>
      <c r="O68" s="579"/>
      <c r="P68" s="576"/>
    </row>
    <row r="69" spans="2:17" s="426" customFormat="1" ht="11.25" x14ac:dyDescent="0.2">
      <c r="B69" s="1241"/>
      <c r="C69" s="1293"/>
      <c r="D69" s="508"/>
      <c r="E69" s="501">
        <v>1</v>
      </c>
      <c r="F69" s="502"/>
      <c r="G69" s="503"/>
      <c r="H69" s="575">
        <f t="shared" si="9"/>
        <v>0</v>
      </c>
      <c r="I69" s="576"/>
      <c r="J69" s="577"/>
      <c r="K69" s="578"/>
      <c r="L69" s="578"/>
      <c r="M69" s="578"/>
      <c r="N69" s="578"/>
      <c r="O69" s="579"/>
      <c r="P69" s="576"/>
    </row>
    <row r="70" spans="2:17" s="426" customFormat="1" ht="11.25" x14ac:dyDescent="0.2">
      <c r="B70" s="1241"/>
      <c r="C70" s="1293"/>
      <c r="D70" s="508" t="s">
        <v>610</v>
      </c>
      <c r="E70" s="501">
        <v>-1</v>
      </c>
      <c r="F70" s="502" t="s">
        <v>576</v>
      </c>
      <c r="G70" s="503">
        <f>I53</f>
        <v>0</v>
      </c>
      <c r="H70" s="575">
        <f t="shared" si="9"/>
        <v>0</v>
      </c>
      <c r="I70" s="576">
        <f>SUM(H65:H70)</f>
        <v>0</v>
      </c>
      <c r="J70" s="577">
        <f>I70*$J$5</f>
        <v>0</v>
      </c>
      <c r="K70" s="578">
        <f>SUM(I70:J70)*$K$5</f>
        <v>0</v>
      </c>
      <c r="L70" s="578">
        <f>SUM(I70:K70)*$L$5</f>
        <v>0</v>
      </c>
      <c r="M70" s="578">
        <f>SUM(I70:L70)*$M$5</f>
        <v>0</v>
      </c>
      <c r="N70" s="578">
        <f>SUM(I70:M70)*$N$5</f>
        <v>0</v>
      </c>
      <c r="O70" s="579">
        <f>SUM(I70:N70)</f>
        <v>0</v>
      </c>
      <c r="P70" s="576" t="s">
        <v>624</v>
      </c>
    </row>
    <row r="71" spans="2:17" s="426" customFormat="1" ht="12" thickBot="1" x14ac:dyDescent="0.25">
      <c r="B71" s="1241"/>
      <c r="C71" s="1293"/>
      <c r="D71" s="508"/>
      <c r="E71" s="501"/>
      <c r="F71" s="502"/>
      <c r="G71" s="503"/>
      <c r="H71" s="575"/>
      <c r="I71" s="576"/>
      <c r="J71" s="577"/>
      <c r="K71" s="578"/>
      <c r="L71" s="578"/>
      <c r="M71" s="578"/>
      <c r="N71" s="578"/>
      <c r="O71" s="579"/>
      <c r="P71" s="576"/>
    </row>
    <row r="72" spans="2:17" s="420" customFormat="1" ht="11.25" x14ac:dyDescent="0.2">
      <c r="B72" s="1240" t="str">
        <f>'Detailed Matrix'!E127</f>
        <v>Lighting Controls</v>
      </c>
      <c r="C72" s="1292" t="str">
        <f>'Detailed Matrix'!F127</f>
        <v>Stage 0 1  - Personal control over artificial lighting</v>
      </c>
      <c r="D72" s="492"/>
      <c r="E72" s="493"/>
      <c r="F72" s="494"/>
      <c r="G72" s="495"/>
      <c r="H72" s="496"/>
      <c r="I72" s="497"/>
      <c r="J72" s="498"/>
      <c r="K72" s="499"/>
      <c r="L72" s="499"/>
      <c r="M72" s="499"/>
      <c r="N72" s="499"/>
      <c r="O72" s="498"/>
      <c r="P72" s="497"/>
    </row>
    <row r="73" spans="2:17" s="420" customFormat="1" ht="11.25" x14ac:dyDescent="0.2">
      <c r="B73" s="1241"/>
      <c r="C73" s="1293"/>
      <c r="D73" s="508"/>
      <c r="E73" s="501"/>
      <c r="F73" s="502"/>
      <c r="G73" s="503"/>
      <c r="H73" s="509"/>
      <c r="I73" s="512"/>
      <c r="J73" s="513"/>
      <c r="K73" s="514"/>
      <c r="L73" s="514"/>
      <c r="M73" s="514"/>
      <c r="N73" s="514"/>
      <c r="O73" s="515"/>
      <c r="P73" s="512"/>
      <c r="Q73" s="420" t="s">
        <v>514</v>
      </c>
    </row>
    <row r="74" spans="2:17" s="420" customFormat="1" ht="11.25" x14ac:dyDescent="0.2">
      <c r="B74" s="1241"/>
      <c r="C74" s="1293"/>
      <c r="D74" s="508" t="s">
        <v>556</v>
      </c>
      <c r="E74" s="501">
        <v>1</v>
      </c>
      <c r="F74" s="502"/>
      <c r="G74" s="503"/>
      <c r="H74" s="575">
        <f t="shared" ref="H74:H79" si="10">E74*G74</f>
        <v>0</v>
      </c>
      <c r="I74" s="576"/>
      <c r="J74" s="577"/>
      <c r="K74" s="578"/>
      <c r="L74" s="578"/>
      <c r="M74" s="578"/>
      <c r="N74" s="578"/>
      <c r="O74" s="579"/>
      <c r="P74" s="576"/>
    </row>
    <row r="75" spans="2:17" s="420" customFormat="1" ht="11.25" x14ac:dyDescent="0.2">
      <c r="B75" s="1241"/>
      <c r="C75" s="1293"/>
      <c r="D75" s="508"/>
      <c r="E75" s="501">
        <v>1</v>
      </c>
      <c r="F75" s="502"/>
      <c r="G75" s="503"/>
      <c r="H75" s="575">
        <f t="shared" si="10"/>
        <v>0</v>
      </c>
      <c r="I75" s="576"/>
      <c r="J75" s="577"/>
      <c r="K75" s="578"/>
      <c r="L75" s="578"/>
      <c r="M75" s="578"/>
      <c r="N75" s="578"/>
      <c r="O75" s="579"/>
      <c r="P75" s="576"/>
    </row>
    <row r="76" spans="2:17" s="420" customFormat="1" ht="11.25" x14ac:dyDescent="0.2">
      <c r="B76" s="1241"/>
      <c r="C76" s="1293"/>
      <c r="D76" s="508"/>
      <c r="E76" s="501">
        <v>1</v>
      </c>
      <c r="F76" s="502"/>
      <c r="G76" s="503"/>
      <c r="H76" s="575">
        <f t="shared" si="10"/>
        <v>0</v>
      </c>
      <c r="I76" s="576"/>
      <c r="J76" s="577"/>
      <c r="K76" s="578"/>
      <c r="L76" s="578"/>
      <c r="M76" s="578"/>
      <c r="N76" s="578"/>
      <c r="O76" s="579"/>
      <c r="P76" s="576"/>
    </row>
    <row r="77" spans="2:17" s="420" customFormat="1" ht="11.25" x14ac:dyDescent="0.2">
      <c r="B77" s="1241"/>
      <c r="C77" s="1293"/>
      <c r="D77" s="508"/>
      <c r="E77" s="501">
        <v>1</v>
      </c>
      <c r="F77" s="502"/>
      <c r="G77" s="503"/>
      <c r="H77" s="575">
        <f t="shared" si="10"/>
        <v>0</v>
      </c>
      <c r="I77" s="576"/>
      <c r="J77" s="577"/>
      <c r="K77" s="578"/>
      <c r="L77" s="578"/>
      <c r="M77" s="578"/>
      <c r="N77" s="578"/>
      <c r="O77" s="579"/>
      <c r="P77" s="576"/>
    </row>
    <row r="78" spans="2:17" s="420" customFormat="1" ht="11.25" x14ac:dyDescent="0.2">
      <c r="B78" s="1241"/>
      <c r="C78" s="1293"/>
      <c r="D78" s="508"/>
      <c r="E78" s="501">
        <v>1</v>
      </c>
      <c r="F78" s="502"/>
      <c r="G78" s="503"/>
      <c r="H78" s="575">
        <f t="shared" si="10"/>
        <v>0</v>
      </c>
      <c r="I78" s="576"/>
      <c r="J78" s="577"/>
      <c r="K78" s="578"/>
      <c r="L78" s="578"/>
      <c r="M78" s="578"/>
      <c r="N78" s="578"/>
      <c r="O78" s="579"/>
      <c r="P78" s="576"/>
    </row>
    <row r="79" spans="2:17" s="420" customFormat="1" ht="11.25" x14ac:dyDescent="0.2">
      <c r="B79" s="1241"/>
      <c r="C79" s="1293"/>
      <c r="D79" s="508"/>
      <c r="E79" s="501">
        <v>1</v>
      </c>
      <c r="F79" s="502"/>
      <c r="G79" s="503"/>
      <c r="H79" s="575">
        <f t="shared" si="10"/>
        <v>0</v>
      </c>
      <c r="I79" s="576"/>
      <c r="J79" s="577"/>
      <c r="K79" s="578"/>
      <c r="L79" s="578"/>
      <c r="M79" s="578"/>
      <c r="N79" s="578"/>
      <c r="O79" s="579"/>
      <c r="P79" s="576"/>
    </row>
    <row r="80" spans="2:17" s="420" customFormat="1" ht="11.25" x14ac:dyDescent="0.2">
      <c r="B80" s="1241"/>
      <c r="C80" s="1293"/>
      <c r="D80" s="508" t="s">
        <v>581</v>
      </c>
      <c r="E80" s="501"/>
      <c r="F80" s="502"/>
      <c r="G80" s="503"/>
      <c r="H80" s="575">
        <f t="shared" ref="H80" si="11">E80*G80</f>
        <v>0</v>
      </c>
      <c r="I80" s="866">
        <f>SUM(H74:H80)</f>
        <v>0</v>
      </c>
      <c r="J80" s="577">
        <f>I80*$J$5</f>
        <v>0</v>
      </c>
      <c r="K80" s="578">
        <f>SUM(I80:J80)*$K$5</f>
        <v>0</v>
      </c>
      <c r="L80" s="578">
        <f>SUM(I80:K80)*$L$5</f>
        <v>0</v>
      </c>
      <c r="M80" s="578">
        <f>SUM(I80:L80)*$M$5</f>
        <v>0</v>
      </c>
      <c r="N80" s="578">
        <f>SUM(I80:M80)*$N$5</f>
        <v>0</v>
      </c>
      <c r="O80" s="579">
        <f>SUM(I80:N80)</f>
        <v>0</v>
      </c>
      <c r="P80" s="576" t="s">
        <v>524</v>
      </c>
    </row>
    <row r="81" spans="2:17" s="420" customFormat="1" ht="11.25" x14ac:dyDescent="0.2">
      <c r="B81" s="1241"/>
      <c r="C81" s="1293"/>
      <c r="D81" s="508"/>
      <c r="E81" s="501"/>
      <c r="F81" s="502"/>
      <c r="G81" s="503"/>
      <c r="H81" s="575"/>
      <c r="I81" s="576"/>
      <c r="J81" s="577"/>
      <c r="K81" s="578"/>
      <c r="L81" s="578"/>
      <c r="M81" s="578"/>
      <c r="N81" s="578"/>
      <c r="O81" s="579"/>
      <c r="P81" s="576"/>
    </row>
    <row r="82" spans="2:17" s="420" customFormat="1" ht="11.25" x14ac:dyDescent="0.2">
      <c r="B82" s="1241"/>
      <c r="C82" s="1293"/>
      <c r="D82" s="508" t="s">
        <v>557</v>
      </c>
      <c r="E82" s="501">
        <v>1</v>
      </c>
      <c r="F82" s="502"/>
      <c r="G82" s="503"/>
      <c r="H82" s="575">
        <f>E82*G82</f>
        <v>0</v>
      </c>
      <c r="I82" s="576"/>
      <c r="J82" s="577"/>
      <c r="K82" s="578"/>
      <c r="L82" s="578"/>
      <c r="M82" s="578"/>
      <c r="N82" s="578"/>
      <c r="O82" s="579"/>
      <c r="P82" s="576"/>
    </row>
    <row r="83" spans="2:17" s="420" customFormat="1" ht="11.25" x14ac:dyDescent="0.2">
      <c r="B83" s="1241"/>
      <c r="C83" s="1293"/>
      <c r="D83" s="508"/>
      <c r="E83" s="501">
        <v>1</v>
      </c>
      <c r="F83" s="502"/>
      <c r="G83" s="503"/>
      <c r="H83" s="575">
        <f>E83*G83</f>
        <v>0</v>
      </c>
      <c r="I83" s="576"/>
      <c r="J83" s="577"/>
      <c r="K83" s="578"/>
      <c r="L83" s="578"/>
      <c r="M83" s="578"/>
      <c r="N83" s="578"/>
      <c r="O83" s="579"/>
      <c r="P83" s="576"/>
    </row>
    <row r="84" spans="2:17" s="420" customFormat="1" ht="11.25" x14ac:dyDescent="0.2">
      <c r="B84" s="1241"/>
      <c r="C84" s="1293"/>
      <c r="D84" s="508"/>
      <c r="E84" s="501">
        <v>1</v>
      </c>
      <c r="F84" s="502"/>
      <c r="G84" s="503"/>
      <c r="H84" s="575">
        <f>E84*G84</f>
        <v>0</v>
      </c>
      <c r="I84" s="576"/>
      <c r="J84" s="577"/>
      <c r="K84" s="578"/>
      <c r="L84" s="578"/>
      <c r="M84" s="578"/>
      <c r="N84" s="578"/>
      <c r="O84" s="579"/>
      <c r="P84" s="576"/>
    </row>
    <row r="85" spans="2:17" s="420" customFormat="1" ht="11.25" x14ac:dyDescent="0.2">
      <c r="B85" s="1241"/>
      <c r="C85" s="1293"/>
      <c r="D85" s="508"/>
      <c r="E85" s="501">
        <v>1</v>
      </c>
      <c r="F85" s="502"/>
      <c r="G85" s="503"/>
      <c r="H85" s="575">
        <f>E85*G85</f>
        <v>0</v>
      </c>
      <c r="I85" s="576"/>
      <c r="J85" s="577"/>
      <c r="K85" s="578"/>
      <c r="L85" s="578"/>
      <c r="M85" s="578"/>
      <c r="N85" s="578"/>
      <c r="O85" s="579"/>
      <c r="P85" s="576"/>
    </row>
    <row r="86" spans="2:17" s="420" customFormat="1" ht="11.25" x14ac:dyDescent="0.2">
      <c r="B86" s="1241"/>
      <c r="C86" s="1293"/>
      <c r="D86" s="508"/>
      <c r="E86" s="501">
        <v>1</v>
      </c>
      <c r="F86" s="502"/>
      <c r="G86" s="503"/>
      <c r="H86" s="575">
        <f>E86*G86</f>
        <v>0</v>
      </c>
      <c r="I86" s="576"/>
      <c r="J86" s="577"/>
      <c r="K86" s="578"/>
      <c r="L86" s="578"/>
      <c r="M86" s="578"/>
      <c r="N86" s="578"/>
      <c r="O86" s="579"/>
      <c r="P86" s="576"/>
    </row>
    <row r="87" spans="2:17" s="420" customFormat="1" ht="11.25" x14ac:dyDescent="0.2">
      <c r="B87" s="1241"/>
      <c r="C87" s="1293"/>
      <c r="D87" s="508" t="s">
        <v>581</v>
      </c>
      <c r="E87" s="501">
        <v>1</v>
      </c>
      <c r="F87" s="502"/>
      <c r="G87" s="503"/>
      <c r="H87" s="575">
        <f t="shared" ref="H87" si="12">E87*G87</f>
        <v>0</v>
      </c>
      <c r="I87" s="906">
        <f>SUM(H81:H87)</f>
        <v>0</v>
      </c>
      <c r="J87" s="577">
        <f>I87*$J$5</f>
        <v>0</v>
      </c>
      <c r="K87" s="578">
        <f>SUM(I87:J87)*$K$5</f>
        <v>0</v>
      </c>
      <c r="L87" s="578">
        <f>SUM(I87:K87)*$L$5</f>
        <v>0</v>
      </c>
      <c r="M87" s="578">
        <f>SUM(I87:L87)*$M$5</f>
        <v>0</v>
      </c>
      <c r="N87" s="578">
        <f>SUM(I87:M87)*$N$5</f>
        <v>0</v>
      </c>
      <c r="O87" s="579">
        <f>SUM(I87:N87)</f>
        <v>0</v>
      </c>
      <c r="P87" s="576" t="s">
        <v>524</v>
      </c>
    </row>
    <row r="88" spans="2:17" s="420" customFormat="1" ht="12" thickBot="1" x14ac:dyDescent="0.25">
      <c r="B88" s="1242"/>
      <c r="C88" s="1294"/>
      <c r="D88" s="516"/>
      <c r="E88" s="517"/>
      <c r="F88" s="518"/>
      <c r="G88" s="519"/>
      <c r="H88" s="520"/>
      <c r="I88" s="521"/>
      <c r="J88" s="522"/>
      <c r="K88" s="523"/>
      <c r="L88" s="523"/>
      <c r="M88" s="523"/>
      <c r="N88" s="523"/>
      <c r="O88" s="522"/>
      <c r="P88" s="521"/>
    </row>
    <row r="89" spans="2:17" s="420" customFormat="1" ht="11.25" x14ac:dyDescent="0.2">
      <c r="B89" s="1286" t="str">
        <f>'Detailed Matrix'!E128</f>
        <v>Lighting Controls</v>
      </c>
      <c r="C89" s="1298" t="str">
        <f>'Detailed Matrix'!F128</f>
        <v>Stage 02 - Use of circadian lighting</v>
      </c>
      <c r="D89" s="563" t="s">
        <v>625</v>
      </c>
      <c r="E89" s="436"/>
      <c r="F89" s="437"/>
      <c r="G89" s="438"/>
      <c r="H89" s="439"/>
      <c r="I89" s="440"/>
      <c r="J89" s="441"/>
      <c r="K89" s="442"/>
      <c r="L89" s="442"/>
      <c r="M89" s="442"/>
      <c r="N89" s="442"/>
      <c r="O89" s="443"/>
      <c r="P89" s="440"/>
    </row>
    <row r="90" spans="2:17" s="420" customFormat="1" ht="11.25" x14ac:dyDescent="0.2">
      <c r="B90" s="1287"/>
      <c r="C90" s="1299"/>
      <c r="D90" s="563" t="s">
        <v>556</v>
      </c>
      <c r="E90" s="436"/>
      <c r="F90" s="437"/>
      <c r="G90" s="438"/>
      <c r="H90" s="439"/>
      <c r="I90" s="440"/>
      <c r="J90" s="441"/>
      <c r="K90" s="442"/>
      <c r="L90" s="442"/>
      <c r="M90" s="442"/>
      <c r="N90" s="442"/>
      <c r="O90" s="443"/>
      <c r="P90" s="440"/>
      <c r="Q90" s="420" t="s">
        <v>600</v>
      </c>
    </row>
    <row r="91" spans="2:17" s="420" customFormat="1" ht="11.25" x14ac:dyDescent="0.2">
      <c r="B91" s="1287"/>
      <c r="C91" s="1299"/>
      <c r="D91" s="607"/>
      <c r="E91" s="593">
        <v>1</v>
      </c>
      <c r="F91" s="602"/>
      <c r="G91" s="595"/>
      <c r="H91" s="596">
        <f t="shared" ref="H91:H96" si="13">E91*G91</f>
        <v>0</v>
      </c>
      <c r="I91" s="597"/>
      <c r="J91" s="598"/>
      <c r="K91" s="599"/>
      <c r="L91" s="599"/>
      <c r="M91" s="599"/>
      <c r="N91" s="599"/>
      <c r="O91" s="600"/>
      <c r="P91" s="597"/>
    </row>
    <row r="92" spans="2:17" s="420" customFormat="1" ht="11.25" x14ac:dyDescent="0.2">
      <c r="B92" s="1287"/>
      <c r="C92" s="1299"/>
      <c r="D92" s="482" t="s">
        <v>586</v>
      </c>
      <c r="E92" s="483">
        <f>'Key Data'!$B$25</f>
        <v>261</v>
      </c>
      <c r="F92" s="484" t="s">
        <v>626</v>
      </c>
      <c r="G92" s="485">
        <v>500</v>
      </c>
      <c r="H92" s="596">
        <f t="shared" si="13"/>
        <v>130500</v>
      </c>
      <c r="I92" s="597"/>
      <c r="J92" s="598"/>
      <c r="K92" s="599"/>
      <c r="L92" s="599"/>
      <c r="M92" s="599"/>
      <c r="N92" s="599"/>
      <c r="O92" s="600"/>
      <c r="P92" s="597"/>
    </row>
    <row r="93" spans="2:17" s="420" customFormat="1" ht="11.25" x14ac:dyDescent="0.2">
      <c r="B93" s="1287"/>
      <c r="C93" s="1299"/>
      <c r="D93" s="607"/>
      <c r="E93" s="593">
        <v>1</v>
      </c>
      <c r="F93" s="602"/>
      <c r="G93" s="595"/>
      <c r="H93" s="596">
        <f t="shared" si="13"/>
        <v>0</v>
      </c>
      <c r="I93" s="597"/>
      <c r="J93" s="598"/>
      <c r="K93" s="599"/>
      <c r="L93" s="599"/>
      <c r="M93" s="599"/>
      <c r="N93" s="599"/>
      <c r="O93" s="600"/>
      <c r="P93" s="597"/>
    </row>
    <row r="94" spans="2:17" s="420" customFormat="1" ht="11.25" x14ac:dyDescent="0.2">
      <c r="B94" s="1287"/>
      <c r="C94" s="1299"/>
      <c r="D94" s="607"/>
      <c r="E94" s="593">
        <v>1</v>
      </c>
      <c r="F94" s="602"/>
      <c r="G94" s="595"/>
      <c r="H94" s="596">
        <f t="shared" si="13"/>
        <v>0</v>
      </c>
      <c r="I94" s="597"/>
      <c r="J94" s="598"/>
      <c r="K94" s="599"/>
      <c r="L94" s="599"/>
      <c r="M94" s="599"/>
      <c r="N94" s="599"/>
      <c r="O94" s="600"/>
      <c r="P94" s="597"/>
    </row>
    <row r="95" spans="2:17" s="420" customFormat="1" ht="11.25" x14ac:dyDescent="0.2">
      <c r="B95" s="1287"/>
      <c r="C95" s="1299"/>
      <c r="D95" s="607" t="s">
        <v>610</v>
      </c>
      <c r="E95" s="593">
        <v>-1</v>
      </c>
      <c r="F95" s="602"/>
      <c r="G95" s="595">
        <f>I80</f>
        <v>0</v>
      </c>
      <c r="H95" s="596">
        <f t="shared" si="13"/>
        <v>0</v>
      </c>
      <c r="I95" s="597"/>
      <c r="J95" s="598"/>
      <c r="K95" s="599"/>
      <c r="L95" s="599"/>
      <c r="M95" s="599"/>
      <c r="N95" s="599"/>
      <c r="O95" s="600"/>
      <c r="P95" s="597"/>
    </row>
    <row r="96" spans="2:17" s="420" customFormat="1" ht="11.25" x14ac:dyDescent="0.2">
      <c r="B96" s="1287"/>
      <c r="C96" s="1299"/>
      <c r="D96" s="607"/>
      <c r="E96" s="593">
        <v>1</v>
      </c>
      <c r="F96" s="602"/>
      <c r="G96" s="595"/>
      <c r="H96" s="596">
        <f t="shared" si="13"/>
        <v>0</v>
      </c>
      <c r="I96" s="597"/>
      <c r="J96" s="598"/>
      <c r="K96" s="599"/>
      <c r="L96" s="599"/>
      <c r="M96" s="599"/>
      <c r="N96" s="599"/>
      <c r="O96" s="600"/>
      <c r="P96" s="597"/>
    </row>
    <row r="97" spans="2:17" s="420" customFormat="1" ht="11.25" x14ac:dyDescent="0.2">
      <c r="B97" s="1287"/>
      <c r="C97" s="1299"/>
      <c r="D97" s="607"/>
      <c r="E97" s="593"/>
      <c r="F97" s="602"/>
      <c r="G97" s="595"/>
      <c r="H97" s="596">
        <f>E97*G97</f>
        <v>0</v>
      </c>
      <c r="I97" s="866">
        <f>SUM(H90:H97)</f>
        <v>130500</v>
      </c>
      <c r="J97" s="598">
        <f>I97*$J$5</f>
        <v>16965</v>
      </c>
      <c r="K97" s="599">
        <f>SUM(I97:J97)*$K$5</f>
        <v>6635.9250000000002</v>
      </c>
      <c r="L97" s="599">
        <f>SUM(I97:K97)*$L$5</f>
        <v>8475.550874999999</v>
      </c>
      <c r="M97" s="599">
        <f>SUM(I97:L97)*$M$5</f>
        <v>9754.5885524999976</v>
      </c>
      <c r="N97" s="599">
        <f>SUM(I97:M97)*$N$5</f>
        <v>17233.106442749999</v>
      </c>
      <c r="O97" s="600">
        <f>SUM(I97:N97)</f>
        <v>189564.17087024997</v>
      </c>
      <c r="P97" s="597">
        <f>ROUND(O97,-3)</f>
        <v>190000</v>
      </c>
    </row>
    <row r="98" spans="2:17" s="420" customFormat="1" ht="11.25" x14ac:dyDescent="0.2">
      <c r="B98" s="1287"/>
      <c r="C98" s="1299"/>
      <c r="D98" s="607"/>
      <c r="E98" s="593"/>
      <c r="F98" s="602"/>
      <c r="G98" s="595"/>
      <c r="H98" s="596"/>
      <c r="I98" s="597"/>
      <c r="J98" s="598"/>
      <c r="K98" s="599"/>
      <c r="L98" s="599"/>
      <c r="M98" s="599"/>
      <c r="N98" s="599"/>
      <c r="O98" s="600"/>
      <c r="P98" s="597"/>
    </row>
    <row r="99" spans="2:17" s="420" customFormat="1" ht="11.25" x14ac:dyDescent="0.2">
      <c r="B99" s="1287"/>
      <c r="C99" s="1299"/>
      <c r="D99" s="607" t="s">
        <v>557</v>
      </c>
      <c r="E99" s="593"/>
      <c r="F99" s="602"/>
      <c r="G99" s="595"/>
      <c r="H99" s="596"/>
      <c r="I99" s="597"/>
      <c r="J99" s="598"/>
      <c r="K99" s="599"/>
      <c r="L99" s="599"/>
      <c r="M99" s="599"/>
      <c r="N99" s="599"/>
      <c r="O99" s="600"/>
      <c r="P99" s="597"/>
    </row>
    <row r="100" spans="2:17" s="420" customFormat="1" ht="11.25" x14ac:dyDescent="0.2">
      <c r="B100" s="1287"/>
      <c r="C100" s="1299"/>
      <c r="D100" s="607"/>
      <c r="E100" s="593">
        <v>1</v>
      </c>
      <c r="F100" s="602"/>
      <c r="G100" s="595"/>
      <c r="H100" s="596">
        <f t="shared" ref="H100:H104" si="14">E100*G100</f>
        <v>0</v>
      </c>
      <c r="I100" s="597"/>
      <c r="J100" s="598"/>
      <c r="K100" s="599"/>
      <c r="L100" s="599"/>
      <c r="M100" s="599"/>
      <c r="N100" s="599"/>
      <c r="O100" s="600"/>
      <c r="P100" s="597"/>
    </row>
    <row r="101" spans="2:17" s="420" customFormat="1" ht="11.25" x14ac:dyDescent="0.2">
      <c r="B101" s="1287"/>
      <c r="C101" s="1299"/>
      <c r="D101" s="482" t="s">
        <v>586</v>
      </c>
      <c r="E101" s="483">
        <f>'Key Data'!$B$25</f>
        <v>261</v>
      </c>
      <c r="F101" s="484" t="s">
        <v>626</v>
      </c>
      <c r="G101" s="485">
        <v>1500</v>
      </c>
      <c r="H101" s="596">
        <f t="shared" si="14"/>
        <v>391500</v>
      </c>
      <c r="I101" s="597"/>
      <c r="J101" s="598"/>
      <c r="K101" s="599"/>
      <c r="L101" s="599"/>
      <c r="M101" s="599"/>
      <c r="N101" s="599"/>
      <c r="O101" s="600"/>
      <c r="P101" s="597"/>
    </row>
    <row r="102" spans="2:17" s="420" customFormat="1" ht="11.25" x14ac:dyDescent="0.2">
      <c r="B102" s="1287"/>
      <c r="C102" s="1299"/>
      <c r="D102" s="607"/>
      <c r="E102" s="593">
        <v>1</v>
      </c>
      <c r="F102" s="602"/>
      <c r="G102" s="595"/>
      <c r="H102" s="596">
        <f t="shared" si="14"/>
        <v>0</v>
      </c>
      <c r="I102" s="597"/>
      <c r="J102" s="598"/>
      <c r="K102" s="599"/>
      <c r="L102" s="599"/>
      <c r="M102" s="599"/>
      <c r="N102" s="599"/>
      <c r="O102" s="600"/>
      <c r="P102" s="597"/>
    </row>
    <row r="103" spans="2:17" s="420" customFormat="1" ht="11.25" x14ac:dyDescent="0.2">
      <c r="B103" s="1287"/>
      <c r="C103" s="1299"/>
      <c r="D103" s="607"/>
      <c r="E103" s="593">
        <v>1</v>
      </c>
      <c r="F103" s="602"/>
      <c r="G103" s="595"/>
      <c r="H103" s="596">
        <f t="shared" si="14"/>
        <v>0</v>
      </c>
      <c r="I103" s="597"/>
      <c r="J103" s="598"/>
      <c r="K103" s="599"/>
      <c r="L103" s="599"/>
      <c r="M103" s="599"/>
      <c r="N103" s="599"/>
      <c r="O103" s="600"/>
      <c r="P103" s="597"/>
    </row>
    <row r="104" spans="2:17" s="420" customFormat="1" ht="11.25" x14ac:dyDescent="0.2">
      <c r="B104" s="1287"/>
      <c r="C104" s="1299"/>
      <c r="D104" s="607" t="s">
        <v>610</v>
      </c>
      <c r="E104" s="593">
        <v>-1</v>
      </c>
      <c r="F104" s="602" t="s">
        <v>576</v>
      </c>
      <c r="G104" s="595">
        <f>I87</f>
        <v>0</v>
      </c>
      <c r="H104" s="596">
        <f t="shared" si="14"/>
        <v>0</v>
      </c>
      <c r="I104" s="906">
        <f>SUM(H99:H104)</f>
        <v>391500</v>
      </c>
      <c r="J104" s="598">
        <f>I104*$J$5</f>
        <v>50895</v>
      </c>
      <c r="K104" s="599">
        <f>SUM(I104:J104)*$K$5</f>
        <v>19907.774999999998</v>
      </c>
      <c r="L104" s="599">
        <f>SUM(I104:K104)*$L$5</f>
        <v>25426.652625000002</v>
      </c>
      <c r="M104" s="599">
        <f>SUM(I104:L104)*$M$5</f>
        <v>29263.7656575</v>
      </c>
      <c r="N104" s="599">
        <f>SUM(I104:M104)*$N$5</f>
        <v>51699.319328250007</v>
      </c>
      <c r="O104" s="600">
        <f>SUM(I104:N104)</f>
        <v>568692.51261075004</v>
      </c>
      <c r="P104" s="597">
        <f>ROUND(O104,-3)</f>
        <v>569000</v>
      </c>
    </row>
    <row r="105" spans="2:17" s="420" customFormat="1" ht="12" thickBot="1" x14ac:dyDescent="0.25">
      <c r="B105" s="1288"/>
      <c r="C105" s="1300"/>
      <c r="D105" s="564"/>
      <c r="E105" s="445"/>
      <c r="F105" s="446"/>
      <c r="G105" s="447"/>
      <c r="H105" s="448"/>
      <c r="I105" s="449"/>
      <c r="J105" s="477"/>
      <c r="K105" s="478"/>
      <c r="L105" s="478"/>
      <c r="M105" s="478"/>
      <c r="N105" s="478"/>
      <c r="O105" s="450"/>
      <c r="P105" s="449"/>
    </row>
    <row r="106" spans="2:17" s="420" customFormat="1" ht="11.25" x14ac:dyDescent="0.2">
      <c r="B106" s="1240" t="str">
        <f>'Detailed Matrix'!E129</f>
        <v>Lighting Controls</v>
      </c>
      <c r="C106" s="1292" t="str">
        <f>'Detailed Matrix'!F129</f>
        <v>Stage 03 - Detailed lighting plan for age groups &amp; activities</v>
      </c>
      <c r="D106" s="611" t="s">
        <v>627</v>
      </c>
      <c r="E106" s="525"/>
      <c r="F106" s="526"/>
      <c r="G106" s="527"/>
      <c r="H106" s="509"/>
      <c r="I106" s="512"/>
      <c r="J106" s="513"/>
      <c r="K106" s="514"/>
      <c r="L106" s="514"/>
      <c r="M106" s="514"/>
      <c r="N106" s="514"/>
      <c r="O106" s="515"/>
      <c r="P106" s="512"/>
    </row>
    <row r="107" spans="2:17" s="420" customFormat="1" ht="11.25" x14ac:dyDescent="0.2">
      <c r="B107" s="1241"/>
      <c r="C107" s="1293"/>
      <c r="D107" s="611"/>
      <c r="E107" s="525"/>
      <c r="F107" s="526"/>
      <c r="G107" s="527"/>
      <c r="H107" s="509"/>
      <c r="I107" s="512"/>
      <c r="J107" s="513"/>
      <c r="K107" s="514"/>
      <c r="L107" s="514"/>
      <c r="M107" s="514"/>
      <c r="N107" s="514"/>
      <c r="O107" s="515"/>
      <c r="P107" s="512"/>
      <c r="Q107" s="420" t="s">
        <v>514</v>
      </c>
    </row>
    <row r="108" spans="2:17" s="420" customFormat="1" ht="11.25" x14ac:dyDescent="0.2">
      <c r="B108" s="1241"/>
      <c r="C108" s="1293"/>
      <c r="D108" s="585" t="s">
        <v>556</v>
      </c>
      <c r="E108" s="572"/>
      <c r="F108" s="573"/>
      <c r="G108" s="574"/>
      <c r="H108" s="575"/>
      <c r="I108" s="576"/>
      <c r="J108" s="577"/>
      <c r="K108" s="578"/>
      <c r="L108" s="578"/>
      <c r="M108" s="578"/>
      <c r="N108" s="578"/>
      <c r="O108" s="579"/>
      <c r="P108" s="576"/>
    </row>
    <row r="109" spans="2:17" s="420" customFormat="1" ht="11.25" x14ac:dyDescent="0.2">
      <c r="B109" s="1241"/>
      <c r="C109" s="1293"/>
      <c r="D109" s="585"/>
      <c r="E109" s="572">
        <v>1</v>
      </c>
      <c r="F109" s="573"/>
      <c r="G109" s="574"/>
      <c r="H109" s="575">
        <f t="shared" ref="H109:H114" si="15">E109*G109</f>
        <v>0</v>
      </c>
      <c r="I109" s="576"/>
      <c r="J109" s="577"/>
      <c r="K109" s="578"/>
      <c r="L109" s="578"/>
      <c r="M109" s="578"/>
      <c r="N109" s="578"/>
      <c r="O109" s="579"/>
      <c r="P109" s="576"/>
    </row>
    <row r="110" spans="2:17" s="420" customFormat="1" ht="11.25" x14ac:dyDescent="0.2">
      <c r="B110" s="1241"/>
      <c r="C110" s="1293"/>
      <c r="D110" s="585"/>
      <c r="E110" s="572"/>
      <c r="F110" s="573"/>
      <c r="G110" s="574"/>
      <c r="H110" s="575">
        <f t="shared" si="15"/>
        <v>0</v>
      </c>
      <c r="I110" s="576"/>
      <c r="J110" s="577"/>
      <c r="K110" s="578"/>
      <c r="L110" s="578"/>
      <c r="M110" s="578"/>
      <c r="N110" s="578"/>
      <c r="O110" s="579"/>
      <c r="P110" s="576"/>
    </row>
    <row r="111" spans="2:17" s="420" customFormat="1" ht="11.25" x14ac:dyDescent="0.2">
      <c r="B111" s="1241"/>
      <c r="C111" s="1293"/>
      <c r="D111" s="585"/>
      <c r="E111" s="572">
        <v>1</v>
      </c>
      <c r="F111" s="573"/>
      <c r="G111" s="574"/>
      <c r="H111" s="575">
        <f t="shared" si="15"/>
        <v>0</v>
      </c>
      <c r="I111" s="576"/>
      <c r="J111" s="577"/>
      <c r="K111" s="578"/>
      <c r="L111" s="578"/>
      <c r="M111" s="578"/>
      <c r="N111" s="578"/>
      <c r="O111" s="579"/>
      <c r="P111" s="576"/>
    </row>
    <row r="112" spans="2:17" s="420" customFormat="1" ht="11.25" x14ac:dyDescent="0.2">
      <c r="B112" s="1241"/>
      <c r="C112" s="1293"/>
      <c r="D112" s="585"/>
      <c r="E112" s="572">
        <v>1</v>
      </c>
      <c r="F112" s="573"/>
      <c r="G112" s="574"/>
      <c r="H112" s="575">
        <f t="shared" si="15"/>
        <v>0</v>
      </c>
      <c r="I112" s="576"/>
      <c r="J112" s="577"/>
      <c r="K112" s="578"/>
      <c r="L112" s="578"/>
      <c r="M112" s="578"/>
      <c r="N112" s="578"/>
      <c r="O112" s="579"/>
      <c r="P112" s="576"/>
    </row>
    <row r="113" spans="2:16" s="420" customFormat="1" ht="11.25" x14ac:dyDescent="0.2">
      <c r="B113" s="1241"/>
      <c r="C113" s="1293"/>
      <c r="D113" s="585" t="s">
        <v>628</v>
      </c>
      <c r="E113" s="572">
        <v>-1</v>
      </c>
      <c r="F113" s="573"/>
      <c r="G113" s="574">
        <f>I97+I80</f>
        <v>130500</v>
      </c>
      <c r="H113" s="575">
        <f t="shared" si="15"/>
        <v>-130500</v>
      </c>
      <c r="I113" s="576"/>
      <c r="J113" s="577"/>
      <c r="K113" s="578"/>
      <c r="L113" s="578"/>
      <c r="M113" s="578"/>
      <c r="N113" s="578"/>
      <c r="O113" s="579"/>
      <c r="P113" s="576"/>
    </row>
    <row r="114" spans="2:16" s="420" customFormat="1" ht="11.25" x14ac:dyDescent="0.2">
      <c r="B114" s="1241"/>
      <c r="C114" s="1293"/>
      <c r="D114" s="585"/>
      <c r="E114" s="572">
        <v>1</v>
      </c>
      <c r="F114" s="573"/>
      <c r="G114" s="574"/>
      <c r="H114" s="575">
        <f t="shared" si="15"/>
        <v>0</v>
      </c>
      <c r="I114" s="576"/>
      <c r="J114" s="577"/>
      <c r="K114" s="578"/>
      <c r="L114" s="578"/>
      <c r="M114" s="578"/>
      <c r="N114" s="578"/>
      <c r="O114" s="579"/>
      <c r="P114" s="576"/>
    </row>
    <row r="115" spans="2:16" s="420" customFormat="1" ht="11.25" x14ac:dyDescent="0.2">
      <c r="B115" s="1241"/>
      <c r="C115" s="1293"/>
      <c r="D115" s="585"/>
      <c r="E115" s="572"/>
      <c r="F115" s="573"/>
      <c r="G115" s="574"/>
      <c r="H115" s="575">
        <f>E115*G115</f>
        <v>0</v>
      </c>
      <c r="I115" s="866">
        <f>SUM(H108:H115)</f>
        <v>-130500</v>
      </c>
      <c r="J115" s="577">
        <f>I115*$J$5</f>
        <v>-16965</v>
      </c>
      <c r="K115" s="578">
        <f>SUM(I115:J115)*$K$5</f>
        <v>-6635.9250000000002</v>
      </c>
      <c r="L115" s="578">
        <f>SUM(I115:K115)*$L$5</f>
        <v>-8475.550874999999</v>
      </c>
      <c r="M115" s="578">
        <f>SUM(I115:L115)*$M$5</f>
        <v>-9754.5885524999976</v>
      </c>
      <c r="N115" s="578">
        <f>SUM(I115:M115)*$N$5</f>
        <v>-17233.106442749999</v>
      </c>
      <c r="O115" s="579">
        <f>SUM(I115:N115)</f>
        <v>-189564.17087024997</v>
      </c>
      <c r="P115" s="576" t="s">
        <v>524</v>
      </c>
    </row>
    <row r="116" spans="2:16" s="420" customFormat="1" ht="11.25" x14ac:dyDescent="0.2">
      <c r="B116" s="1241"/>
      <c r="C116" s="1293"/>
      <c r="D116" s="585"/>
      <c r="E116" s="572"/>
      <c r="F116" s="573"/>
      <c r="G116" s="574"/>
      <c r="H116" s="575"/>
      <c r="I116" s="576"/>
      <c r="J116" s="577"/>
      <c r="K116" s="578"/>
      <c r="L116" s="578"/>
      <c r="M116" s="578"/>
      <c r="N116" s="578"/>
      <c r="O116" s="579"/>
      <c r="P116" s="576"/>
    </row>
    <row r="117" spans="2:16" s="420" customFormat="1" ht="11.25" x14ac:dyDescent="0.2">
      <c r="B117" s="1241"/>
      <c r="C117" s="1293"/>
      <c r="D117" s="585" t="s">
        <v>557</v>
      </c>
      <c r="E117" s="572"/>
      <c r="F117" s="573"/>
      <c r="G117" s="574"/>
      <c r="H117" s="575"/>
      <c r="I117" s="576"/>
      <c r="J117" s="577"/>
      <c r="K117" s="578"/>
      <c r="L117" s="578"/>
      <c r="M117" s="578"/>
      <c r="N117" s="578"/>
      <c r="O117" s="579"/>
      <c r="P117" s="576"/>
    </row>
    <row r="118" spans="2:16" s="420" customFormat="1" ht="11.25" x14ac:dyDescent="0.2">
      <c r="B118" s="1241"/>
      <c r="C118" s="1293"/>
      <c r="D118" s="585"/>
      <c r="E118" s="572">
        <v>1</v>
      </c>
      <c r="F118" s="573"/>
      <c r="G118" s="574"/>
      <c r="H118" s="575">
        <f t="shared" ref="H118:H122" si="16">E118*G118</f>
        <v>0</v>
      </c>
      <c r="I118" s="576"/>
      <c r="J118" s="577"/>
      <c r="K118" s="578"/>
      <c r="L118" s="578"/>
      <c r="M118" s="578"/>
      <c r="N118" s="578"/>
      <c r="O118" s="579"/>
      <c r="P118" s="576"/>
    </row>
    <row r="119" spans="2:16" s="420" customFormat="1" ht="11.25" x14ac:dyDescent="0.2">
      <c r="B119" s="1241"/>
      <c r="C119" s="1293"/>
      <c r="D119" s="585"/>
      <c r="E119" s="572"/>
      <c r="F119" s="573"/>
      <c r="G119" s="574"/>
      <c r="H119" s="575">
        <f t="shared" si="16"/>
        <v>0</v>
      </c>
      <c r="I119" s="576"/>
      <c r="J119" s="577"/>
      <c r="K119" s="578"/>
      <c r="L119" s="578"/>
      <c r="M119" s="578"/>
      <c r="N119" s="578"/>
      <c r="O119" s="579"/>
      <c r="P119" s="576"/>
    </row>
    <row r="120" spans="2:16" s="420" customFormat="1" ht="11.25" x14ac:dyDescent="0.2">
      <c r="B120" s="1241"/>
      <c r="C120" s="1293"/>
      <c r="D120" s="585"/>
      <c r="E120" s="572">
        <v>1</v>
      </c>
      <c r="F120" s="573"/>
      <c r="G120" s="574"/>
      <c r="H120" s="575">
        <f t="shared" si="16"/>
        <v>0</v>
      </c>
      <c r="I120" s="576"/>
      <c r="J120" s="577"/>
      <c r="K120" s="578"/>
      <c r="L120" s="578"/>
      <c r="M120" s="578"/>
      <c r="N120" s="578"/>
      <c r="O120" s="579"/>
      <c r="P120" s="576"/>
    </row>
    <row r="121" spans="2:16" s="420" customFormat="1" ht="11.25" x14ac:dyDescent="0.2">
      <c r="B121" s="1241"/>
      <c r="C121" s="1293"/>
      <c r="D121" s="585"/>
      <c r="E121" s="572">
        <v>1</v>
      </c>
      <c r="F121" s="573"/>
      <c r="G121" s="574"/>
      <c r="H121" s="575">
        <f t="shared" si="16"/>
        <v>0</v>
      </c>
      <c r="I121" s="576"/>
      <c r="J121" s="577"/>
      <c r="K121" s="578"/>
      <c r="L121" s="578"/>
      <c r="M121" s="578"/>
      <c r="N121" s="578"/>
      <c r="O121" s="579"/>
      <c r="P121" s="576"/>
    </row>
    <row r="122" spans="2:16" s="420" customFormat="1" ht="11.25" x14ac:dyDescent="0.2">
      <c r="B122" s="1241"/>
      <c r="C122" s="1293"/>
      <c r="D122" s="585" t="s">
        <v>628</v>
      </c>
      <c r="E122" s="572">
        <v>-1</v>
      </c>
      <c r="F122" s="573" t="s">
        <v>576</v>
      </c>
      <c r="G122" s="574">
        <f>I104+I87</f>
        <v>391500</v>
      </c>
      <c r="H122" s="575">
        <f t="shared" si="16"/>
        <v>-391500</v>
      </c>
      <c r="I122" s="906">
        <f>SUM(H117:H122)</f>
        <v>-391500</v>
      </c>
      <c r="J122" s="577">
        <f>I122*$J$5</f>
        <v>-50895</v>
      </c>
      <c r="K122" s="578">
        <f>SUM(I122:J122)*$K$5</f>
        <v>-19907.774999999998</v>
      </c>
      <c r="L122" s="578">
        <f>SUM(I122:K122)*$L$5</f>
        <v>-25426.652625000002</v>
      </c>
      <c r="M122" s="578">
        <f>SUM(I122:L122)*$M$5</f>
        <v>-29263.7656575</v>
      </c>
      <c r="N122" s="578">
        <f>SUM(I122:M122)*$N$5</f>
        <v>-51699.319328250007</v>
      </c>
      <c r="O122" s="579">
        <f>SUM(I122:N122)</f>
        <v>-568692.51261075004</v>
      </c>
      <c r="P122" s="576" t="s">
        <v>524</v>
      </c>
    </row>
    <row r="123" spans="2:16" s="420" customFormat="1" ht="12" thickBot="1" x14ac:dyDescent="0.25">
      <c r="B123" s="1241"/>
      <c r="C123" s="1293"/>
      <c r="D123" s="585"/>
      <c r="E123" s="572"/>
      <c r="F123" s="573"/>
      <c r="G123" s="574"/>
      <c r="H123" s="575"/>
      <c r="I123" s="576"/>
      <c r="J123" s="577"/>
      <c r="K123" s="578"/>
      <c r="L123" s="578"/>
      <c r="M123" s="578"/>
      <c r="N123" s="578"/>
      <c r="O123" s="579"/>
      <c r="P123" s="576"/>
    </row>
    <row r="124" spans="2:16" s="420" customFormat="1" ht="11.25" x14ac:dyDescent="0.2">
      <c r="B124" s="1286" t="str">
        <f>'Detailed Matrix'!E130</f>
        <v>Lighting Controls</v>
      </c>
      <c r="C124" s="1298" t="str">
        <f>'Detailed Matrix'!F130</f>
        <v>Stage 04 - IoT tech &amp; mobile apps for automatic daylight control &amp; blinds</v>
      </c>
      <c r="D124" s="427" t="s">
        <v>598</v>
      </c>
      <c r="E124" s="428"/>
      <c r="F124" s="429"/>
      <c r="G124" s="430"/>
      <c r="H124" s="431"/>
      <c r="I124" s="432"/>
      <c r="J124" s="871"/>
      <c r="K124" s="872"/>
      <c r="L124" s="872"/>
      <c r="M124" s="872"/>
      <c r="N124" s="872"/>
      <c r="O124" s="433"/>
      <c r="P124" s="432"/>
    </row>
    <row r="125" spans="2:16" s="420" customFormat="1" ht="11.25" x14ac:dyDescent="0.2">
      <c r="B125" s="1287"/>
      <c r="C125" s="1299"/>
      <c r="D125" s="482"/>
      <c r="E125" s="483"/>
      <c r="F125" s="484"/>
      <c r="G125" s="485"/>
      <c r="H125" s="486"/>
      <c r="I125" s="487"/>
      <c r="J125" s="873"/>
      <c r="K125" s="874"/>
      <c r="L125" s="874"/>
      <c r="M125" s="874"/>
      <c r="N125" s="874"/>
      <c r="O125" s="488"/>
      <c r="P125" s="487"/>
    </row>
    <row r="126" spans="2:16" s="420" customFormat="1" ht="11.25" x14ac:dyDescent="0.2">
      <c r="B126" s="1287"/>
      <c r="C126" s="1299"/>
      <c r="D126" s="482" t="s">
        <v>556</v>
      </c>
      <c r="E126" s="483"/>
      <c r="F126" s="484"/>
      <c r="G126" s="485"/>
      <c r="H126" s="486"/>
      <c r="I126" s="487"/>
      <c r="J126" s="873"/>
      <c r="K126" s="874"/>
      <c r="L126" s="874"/>
      <c r="M126" s="874"/>
      <c r="N126" s="874"/>
      <c r="O126" s="488"/>
      <c r="P126" s="487"/>
    </row>
    <row r="127" spans="2:16" s="420" customFormat="1" ht="11.25" x14ac:dyDescent="0.2">
      <c r="B127" s="1287"/>
      <c r="C127" s="1299"/>
      <c r="D127" s="482"/>
      <c r="E127" s="483">
        <v>1</v>
      </c>
      <c r="F127" s="484"/>
      <c r="G127" s="485"/>
      <c r="H127" s="486">
        <f t="shared" ref="H127:H132" si="17">E127*G127</f>
        <v>0</v>
      </c>
      <c r="I127" s="487"/>
      <c r="J127" s="873"/>
      <c r="K127" s="874"/>
      <c r="L127" s="874"/>
      <c r="M127" s="874"/>
      <c r="N127" s="874"/>
      <c r="O127" s="488"/>
      <c r="P127" s="487"/>
    </row>
    <row r="128" spans="2:16" s="420" customFormat="1" ht="11.25" x14ac:dyDescent="0.2">
      <c r="B128" s="1287"/>
      <c r="C128" s="1299"/>
      <c r="D128" s="482" t="s">
        <v>586</v>
      </c>
      <c r="E128" s="483">
        <f>'Key Data'!$B$25</f>
        <v>261</v>
      </c>
      <c r="F128" s="484" t="s">
        <v>626</v>
      </c>
      <c r="G128" s="485">
        <v>250</v>
      </c>
      <c r="H128" s="486">
        <f t="shared" si="17"/>
        <v>65250</v>
      </c>
      <c r="I128" s="487"/>
      <c r="J128" s="873"/>
      <c r="K128" s="874"/>
      <c r="L128" s="874"/>
      <c r="M128" s="874"/>
      <c r="N128" s="874"/>
      <c r="O128" s="488"/>
      <c r="P128" s="487"/>
    </row>
    <row r="129" spans="2:16" s="420" customFormat="1" ht="11.25" x14ac:dyDescent="0.2">
      <c r="B129" s="1287"/>
      <c r="C129" s="1299"/>
      <c r="D129" s="482"/>
      <c r="E129" s="483">
        <v>1</v>
      </c>
      <c r="F129" s="484"/>
      <c r="G129" s="485"/>
      <c r="H129" s="486">
        <f t="shared" si="17"/>
        <v>0</v>
      </c>
      <c r="I129" s="487"/>
      <c r="J129" s="873"/>
      <c r="K129" s="874"/>
      <c r="L129" s="874"/>
      <c r="M129" s="874"/>
      <c r="N129" s="874"/>
      <c r="O129" s="488"/>
      <c r="P129" s="487"/>
    </row>
    <row r="130" spans="2:16" s="420" customFormat="1" ht="11.25" x14ac:dyDescent="0.2">
      <c r="B130" s="1287"/>
      <c r="C130" s="1299"/>
      <c r="D130" s="482"/>
      <c r="E130" s="483">
        <v>1</v>
      </c>
      <c r="F130" s="484"/>
      <c r="G130" s="485"/>
      <c r="H130" s="486">
        <f t="shared" si="17"/>
        <v>0</v>
      </c>
      <c r="I130" s="487"/>
      <c r="J130" s="873"/>
      <c r="K130" s="874"/>
      <c r="L130" s="874"/>
      <c r="M130" s="874"/>
      <c r="N130" s="874"/>
      <c r="O130" s="488"/>
      <c r="P130" s="487"/>
    </row>
    <row r="131" spans="2:16" s="420" customFormat="1" ht="11.25" x14ac:dyDescent="0.2">
      <c r="B131" s="1287"/>
      <c r="C131" s="1299"/>
      <c r="D131" s="482" t="s">
        <v>628</v>
      </c>
      <c r="E131" s="483">
        <v>-1</v>
      </c>
      <c r="F131" s="484"/>
      <c r="G131" s="485">
        <f>I115+I97+I80</f>
        <v>0</v>
      </c>
      <c r="H131" s="486">
        <f t="shared" si="17"/>
        <v>0</v>
      </c>
      <c r="I131" s="487"/>
      <c r="J131" s="873"/>
      <c r="K131" s="874"/>
      <c r="L131" s="874"/>
      <c r="M131" s="874"/>
      <c r="N131" s="874"/>
      <c r="O131" s="488"/>
      <c r="P131" s="487"/>
    </row>
    <row r="132" spans="2:16" s="420" customFormat="1" ht="11.25" x14ac:dyDescent="0.2">
      <c r="B132" s="1287"/>
      <c r="C132" s="1299"/>
      <c r="D132" s="482"/>
      <c r="E132" s="483">
        <v>1</v>
      </c>
      <c r="F132" s="484"/>
      <c r="G132" s="485"/>
      <c r="H132" s="486">
        <f t="shared" si="17"/>
        <v>0</v>
      </c>
      <c r="I132" s="487"/>
      <c r="J132" s="873"/>
      <c r="K132" s="874"/>
      <c r="L132" s="874"/>
      <c r="M132" s="874"/>
      <c r="N132" s="874"/>
      <c r="O132" s="488"/>
      <c r="P132" s="487"/>
    </row>
    <row r="133" spans="2:16" s="420" customFormat="1" ht="11.25" x14ac:dyDescent="0.2">
      <c r="B133" s="1287"/>
      <c r="C133" s="1299"/>
      <c r="D133" s="482"/>
      <c r="E133" s="483"/>
      <c r="F133" s="484"/>
      <c r="G133" s="485"/>
      <c r="H133" s="486">
        <f>E133*G133</f>
        <v>0</v>
      </c>
      <c r="I133" s="487">
        <f>SUM(H126:H133)</f>
        <v>65250</v>
      </c>
      <c r="J133" s="873">
        <f>I133*$J$5</f>
        <v>8482.5</v>
      </c>
      <c r="K133" s="874">
        <f>SUM(I133:J133)*$K$5</f>
        <v>3317.9625000000001</v>
      </c>
      <c r="L133" s="874">
        <f>SUM(I133:K133)*$L$5</f>
        <v>4237.7754374999995</v>
      </c>
      <c r="M133" s="874">
        <f>SUM(I133:L133)*$M$5</f>
        <v>4877.2942762499988</v>
      </c>
      <c r="N133" s="874">
        <f>SUM(I133:M133)*$N$5</f>
        <v>8616.5532213749993</v>
      </c>
      <c r="O133" s="488">
        <f>SUM(I133:N133)</f>
        <v>94782.085435124987</v>
      </c>
      <c r="P133" s="487">
        <f>ROUND(O133,-3)</f>
        <v>95000</v>
      </c>
    </row>
    <row r="134" spans="2:16" s="420" customFormat="1" ht="11.25" x14ac:dyDescent="0.2">
      <c r="B134" s="1287"/>
      <c r="C134" s="1299"/>
      <c r="D134" s="482"/>
      <c r="E134" s="483"/>
      <c r="F134" s="484"/>
      <c r="G134" s="485"/>
      <c r="H134" s="486"/>
      <c r="I134" s="487"/>
      <c r="J134" s="873"/>
      <c r="K134" s="874"/>
      <c r="L134" s="874"/>
      <c r="M134" s="874"/>
      <c r="N134" s="874"/>
      <c r="O134" s="488"/>
      <c r="P134" s="487"/>
    </row>
    <row r="135" spans="2:16" s="420" customFormat="1" ht="11.25" x14ac:dyDescent="0.2">
      <c r="B135" s="1287"/>
      <c r="C135" s="1299"/>
      <c r="D135" s="482" t="s">
        <v>557</v>
      </c>
      <c r="E135" s="483"/>
      <c r="F135" s="484"/>
      <c r="G135" s="485"/>
      <c r="H135" s="486"/>
      <c r="I135" s="487"/>
      <c r="J135" s="873"/>
      <c r="K135" s="874"/>
      <c r="L135" s="874"/>
      <c r="M135" s="874"/>
      <c r="N135" s="874"/>
      <c r="O135" s="488"/>
      <c r="P135" s="487"/>
    </row>
    <row r="136" spans="2:16" s="420" customFormat="1" ht="11.25" x14ac:dyDescent="0.2">
      <c r="B136" s="1287"/>
      <c r="C136" s="1299"/>
      <c r="D136" s="482"/>
      <c r="E136" s="483">
        <v>1</v>
      </c>
      <c r="F136" s="484"/>
      <c r="G136" s="485"/>
      <c r="H136" s="486">
        <f t="shared" ref="H136:H140" si="18">E136*G136</f>
        <v>0</v>
      </c>
      <c r="I136" s="487"/>
      <c r="J136" s="873"/>
      <c r="K136" s="874"/>
      <c r="L136" s="874"/>
      <c r="M136" s="874"/>
      <c r="N136" s="874"/>
      <c r="O136" s="488"/>
      <c r="P136" s="487"/>
    </row>
    <row r="137" spans="2:16" s="420" customFormat="1" ht="11.25" x14ac:dyDescent="0.2">
      <c r="B137" s="1287"/>
      <c r="C137" s="1299"/>
      <c r="D137" s="482" t="s">
        <v>586</v>
      </c>
      <c r="E137" s="483">
        <f>'Key Data'!$B$25</f>
        <v>261</v>
      </c>
      <c r="F137" s="484" t="s">
        <v>626</v>
      </c>
      <c r="G137" s="485">
        <v>750</v>
      </c>
      <c r="H137" s="486">
        <f t="shared" si="18"/>
        <v>195750</v>
      </c>
      <c r="I137" s="487"/>
      <c r="J137" s="873"/>
      <c r="K137" s="874"/>
      <c r="L137" s="874"/>
      <c r="M137" s="874"/>
      <c r="N137" s="874"/>
      <c r="O137" s="488"/>
      <c r="P137" s="487"/>
    </row>
    <row r="138" spans="2:16" s="420" customFormat="1" ht="11.25" x14ac:dyDescent="0.2">
      <c r="B138" s="1287"/>
      <c r="C138" s="1299"/>
      <c r="D138" s="482"/>
      <c r="E138" s="483">
        <v>1</v>
      </c>
      <c r="F138" s="484"/>
      <c r="G138" s="485"/>
      <c r="H138" s="486">
        <f t="shared" si="18"/>
        <v>0</v>
      </c>
      <c r="I138" s="487"/>
      <c r="J138" s="873"/>
      <c r="K138" s="874"/>
      <c r="L138" s="874"/>
      <c r="M138" s="874"/>
      <c r="N138" s="874"/>
      <c r="O138" s="488"/>
      <c r="P138" s="487"/>
    </row>
    <row r="139" spans="2:16" s="420" customFormat="1" ht="11.25" x14ac:dyDescent="0.2">
      <c r="B139" s="1287"/>
      <c r="C139" s="1299"/>
      <c r="D139" s="482"/>
      <c r="E139" s="483">
        <v>1</v>
      </c>
      <c r="F139" s="484"/>
      <c r="G139" s="485"/>
      <c r="H139" s="486">
        <f t="shared" si="18"/>
        <v>0</v>
      </c>
      <c r="I139" s="487"/>
      <c r="J139" s="873"/>
      <c r="K139" s="874"/>
      <c r="L139" s="874"/>
      <c r="M139" s="874"/>
      <c r="N139" s="874"/>
      <c r="O139" s="488"/>
      <c r="P139" s="487"/>
    </row>
    <row r="140" spans="2:16" s="420" customFormat="1" ht="11.25" x14ac:dyDescent="0.2">
      <c r="B140" s="1287"/>
      <c r="C140" s="1299"/>
      <c r="D140" s="482" t="s">
        <v>628</v>
      </c>
      <c r="E140" s="483">
        <v>-1</v>
      </c>
      <c r="F140" s="484" t="s">
        <v>576</v>
      </c>
      <c r="G140" s="485">
        <f>I122+I104+I87</f>
        <v>0</v>
      </c>
      <c r="H140" s="486">
        <f t="shared" si="18"/>
        <v>0</v>
      </c>
      <c r="I140" s="487">
        <f>SUM(H135:H140)</f>
        <v>195750</v>
      </c>
      <c r="J140" s="873">
        <f>I140*$J$5</f>
        <v>25447.5</v>
      </c>
      <c r="K140" s="874">
        <f>SUM(I140:J140)*$K$5</f>
        <v>9953.8874999999989</v>
      </c>
      <c r="L140" s="874">
        <f>SUM(I140:K140)*$L$5</f>
        <v>12713.326312500001</v>
      </c>
      <c r="M140" s="874">
        <f>SUM(I140:L140)*$M$5</f>
        <v>14631.88282875</v>
      </c>
      <c r="N140" s="874">
        <f>SUM(I140:M140)*$N$5</f>
        <v>25849.659664125003</v>
      </c>
      <c r="O140" s="488">
        <f>SUM(I140:N140)</f>
        <v>284346.25630537502</v>
      </c>
      <c r="P140" s="487">
        <f>ROUND(O140,-3)</f>
        <v>284000</v>
      </c>
    </row>
    <row r="141" spans="2:16" s="420" customFormat="1" ht="12" thickBot="1" x14ac:dyDescent="0.25">
      <c r="B141" s="1288"/>
      <c r="C141" s="1300"/>
      <c r="D141" s="444"/>
      <c r="E141" s="445"/>
      <c r="F141" s="446"/>
      <c r="G141" s="447"/>
      <c r="H141" s="448"/>
      <c r="I141" s="449"/>
      <c r="J141" s="477"/>
      <c r="K141" s="478"/>
      <c r="L141" s="478"/>
      <c r="M141" s="478"/>
      <c r="N141" s="478"/>
      <c r="O141" s="450"/>
      <c r="P141" s="449"/>
    </row>
  </sheetData>
  <mergeCells count="17">
    <mergeCell ref="B124:B141"/>
    <mergeCell ref="C124:C141"/>
    <mergeCell ref="C106:C123"/>
    <mergeCell ref="C89:C105"/>
    <mergeCell ref="B89:B105"/>
    <mergeCell ref="C38:C54"/>
    <mergeCell ref="C22:C37"/>
    <mergeCell ref="C6:C21"/>
    <mergeCell ref="B2:P3"/>
    <mergeCell ref="B106:B123"/>
    <mergeCell ref="C72:C88"/>
    <mergeCell ref="B6:B21"/>
    <mergeCell ref="B22:B37"/>
    <mergeCell ref="B38:B54"/>
    <mergeCell ref="B55:B71"/>
    <mergeCell ref="B72:B88"/>
    <mergeCell ref="C55:C7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F6D63-B398-42FF-BC20-138B7E6C08D8}">
  <sheetPr>
    <tabColor theme="5" tint="0.59999389629810485"/>
  </sheetPr>
  <dimension ref="B2:Q193"/>
  <sheetViews>
    <sheetView topLeftCell="A157" zoomScale="145" zoomScaleNormal="145" workbookViewId="0">
      <selection activeCell="C178" sqref="C178:C193"/>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Acoustic Comfort</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1.25" x14ac:dyDescent="0.2">
      <c r="B6" s="1286" t="str">
        <f>'Detailed Matrix'!E132</f>
        <v>Sound Insulation</v>
      </c>
      <c r="C6" s="1313" t="str">
        <f>'Detailed Matrix'!F132</f>
        <v>Stage 01 - BREEAM 1 Point - +3dB on Part E (46 dB DnTw+Ctr)</v>
      </c>
      <c r="D6" s="427" t="s">
        <v>556</v>
      </c>
      <c r="E6" s="428">
        <v>1</v>
      </c>
      <c r="F6" s="429"/>
      <c r="G6" s="430"/>
      <c r="H6" s="431">
        <f t="shared" ref="H6:H12" si="0">E6*G6</f>
        <v>0</v>
      </c>
      <c r="I6" s="432"/>
      <c r="J6" s="433"/>
      <c r="K6" s="434"/>
      <c r="L6" s="434"/>
      <c r="M6" s="434"/>
      <c r="N6" s="434"/>
      <c r="O6" s="433"/>
      <c r="P6" s="432"/>
    </row>
    <row r="7" spans="2:17" s="420" customFormat="1" ht="11.25" x14ac:dyDescent="0.2">
      <c r="B7" s="1287"/>
      <c r="C7" s="1314"/>
      <c r="D7" s="482"/>
      <c r="E7" s="483">
        <v>1</v>
      </c>
      <c r="F7" s="484"/>
      <c r="G7" s="485"/>
      <c r="H7" s="486">
        <f t="shared" si="0"/>
        <v>0</v>
      </c>
      <c r="I7" s="487"/>
      <c r="J7" s="488"/>
      <c r="K7" s="489"/>
      <c r="L7" s="489"/>
      <c r="M7" s="489"/>
      <c r="N7" s="489"/>
      <c r="O7" s="488"/>
      <c r="P7" s="487"/>
    </row>
    <row r="8" spans="2:17" s="420" customFormat="1" ht="11.25" x14ac:dyDescent="0.2">
      <c r="B8" s="1287"/>
      <c r="C8" s="1314"/>
      <c r="D8" s="482"/>
      <c r="E8" s="483">
        <v>1</v>
      </c>
      <c r="F8" s="484"/>
      <c r="G8" s="485"/>
      <c r="H8" s="486">
        <f t="shared" si="0"/>
        <v>0</v>
      </c>
      <c r="I8" s="487"/>
      <c r="J8" s="488"/>
      <c r="K8" s="489"/>
      <c r="L8" s="489"/>
      <c r="M8" s="489"/>
      <c r="N8" s="489"/>
      <c r="O8" s="488"/>
      <c r="P8" s="487"/>
    </row>
    <row r="9" spans="2:17" s="420" customFormat="1" ht="11.25" x14ac:dyDescent="0.2">
      <c r="B9" s="1287"/>
      <c r="C9" s="1314"/>
      <c r="D9" s="482"/>
      <c r="E9" s="483">
        <v>1</v>
      </c>
      <c r="F9" s="484"/>
      <c r="G9" s="485"/>
      <c r="H9" s="486">
        <f t="shared" si="0"/>
        <v>0</v>
      </c>
      <c r="I9" s="487"/>
      <c r="J9" s="488"/>
      <c r="K9" s="489"/>
      <c r="L9" s="489"/>
      <c r="M9" s="489"/>
      <c r="N9" s="489"/>
      <c r="O9" s="488"/>
      <c r="P9" s="487"/>
    </row>
    <row r="10" spans="2:17" s="420" customFormat="1" ht="11.25" x14ac:dyDescent="0.2">
      <c r="B10" s="1287"/>
      <c r="C10" s="1314"/>
      <c r="D10" s="482"/>
      <c r="E10" s="483">
        <v>1</v>
      </c>
      <c r="F10" s="484"/>
      <c r="G10" s="485"/>
      <c r="H10" s="486">
        <f t="shared" si="0"/>
        <v>0</v>
      </c>
      <c r="I10" s="487"/>
      <c r="J10" s="488"/>
      <c r="K10" s="489"/>
      <c r="L10" s="489"/>
      <c r="M10" s="489"/>
      <c r="N10" s="489"/>
      <c r="O10" s="488"/>
      <c r="P10" s="487"/>
    </row>
    <row r="11" spans="2:17" s="420" customFormat="1" ht="11.25" x14ac:dyDescent="0.2">
      <c r="B11" s="1287"/>
      <c r="C11" s="1314"/>
      <c r="D11" s="482"/>
      <c r="E11" s="483">
        <v>1</v>
      </c>
      <c r="F11" s="484"/>
      <c r="G11" s="485"/>
      <c r="H11" s="486">
        <f t="shared" si="0"/>
        <v>0</v>
      </c>
      <c r="I11" s="487"/>
      <c r="J11" s="488"/>
      <c r="K11" s="489"/>
      <c r="L11" s="489"/>
      <c r="M11" s="489"/>
      <c r="N11" s="489"/>
      <c r="O11" s="488"/>
      <c r="P11" s="487"/>
    </row>
    <row r="12" spans="2:17" s="420" customFormat="1" ht="11.25" x14ac:dyDescent="0.2">
      <c r="B12" s="1287"/>
      <c r="C12" s="1314"/>
      <c r="D12" s="482"/>
      <c r="E12" s="483"/>
      <c r="F12" s="484"/>
      <c r="G12" s="485"/>
      <c r="H12" s="486">
        <f t="shared" si="0"/>
        <v>0</v>
      </c>
      <c r="I12" s="875">
        <f>SUM(H6:H12)</f>
        <v>0</v>
      </c>
      <c r="J12" s="488">
        <f>I12*$J$5</f>
        <v>0</v>
      </c>
      <c r="K12" s="489">
        <f>SUM(I12:J12)*$K$5</f>
        <v>0</v>
      </c>
      <c r="L12" s="489">
        <f>SUM(I12:K12)*$L$5</f>
        <v>0</v>
      </c>
      <c r="M12" s="489">
        <f>SUM(I12:L12)*$M$5</f>
        <v>0</v>
      </c>
      <c r="N12" s="489">
        <f>SUM(I12:M12)*$N$5</f>
        <v>0</v>
      </c>
      <c r="O12" s="488">
        <f>SUM(I12:N12)</f>
        <v>0</v>
      </c>
      <c r="P12" s="487">
        <f>ROUND(O12,-3)</f>
        <v>0</v>
      </c>
      <c r="Q12" s="420" t="s">
        <v>600</v>
      </c>
    </row>
    <row r="13" spans="2:17" s="420" customFormat="1" ht="11.25" x14ac:dyDescent="0.2">
      <c r="B13" s="1287"/>
      <c r="C13" s="1314"/>
      <c r="D13" s="482"/>
      <c r="E13" s="483"/>
      <c r="F13" s="484"/>
      <c r="G13" s="485"/>
      <c r="H13" s="486"/>
      <c r="I13" s="487"/>
      <c r="J13" s="488"/>
      <c r="K13" s="489"/>
      <c r="L13" s="489"/>
      <c r="M13" s="489"/>
      <c r="N13" s="489"/>
      <c r="O13" s="488"/>
      <c r="P13" s="487"/>
    </row>
    <row r="14" spans="2:17" s="420" customFormat="1" ht="11.25" x14ac:dyDescent="0.2">
      <c r="B14" s="1287"/>
      <c r="C14" s="1314"/>
      <c r="D14" s="482" t="s">
        <v>557</v>
      </c>
      <c r="E14" s="483">
        <v>1</v>
      </c>
      <c r="F14" s="484"/>
      <c r="G14" s="485"/>
      <c r="H14" s="486">
        <f>E14*G14</f>
        <v>0</v>
      </c>
      <c r="I14" s="487"/>
      <c r="J14" s="488"/>
      <c r="K14" s="489"/>
      <c r="L14" s="489"/>
      <c r="M14" s="489"/>
      <c r="N14" s="489"/>
      <c r="O14" s="488"/>
      <c r="P14" s="487"/>
    </row>
    <row r="15" spans="2:17" s="420" customFormat="1" ht="11.25" x14ac:dyDescent="0.2">
      <c r="B15" s="1287"/>
      <c r="C15" s="1314"/>
      <c r="D15" s="482"/>
      <c r="E15" s="483">
        <v>1</v>
      </c>
      <c r="F15" s="484"/>
      <c r="G15" s="485"/>
      <c r="H15" s="486">
        <f>E15*G15</f>
        <v>0</v>
      </c>
      <c r="I15" s="487"/>
      <c r="J15" s="488"/>
      <c r="K15" s="489"/>
      <c r="L15" s="489"/>
      <c r="M15" s="489"/>
      <c r="N15" s="489"/>
      <c r="O15" s="488"/>
      <c r="P15" s="487"/>
    </row>
    <row r="16" spans="2:17" s="420" customFormat="1" ht="11.25" x14ac:dyDescent="0.2">
      <c r="B16" s="1287"/>
      <c r="C16" s="1314"/>
      <c r="D16" s="482"/>
      <c r="E16" s="483">
        <v>1</v>
      </c>
      <c r="F16" s="484"/>
      <c r="G16" s="485"/>
      <c r="H16" s="486">
        <f>E16*G16</f>
        <v>0</v>
      </c>
      <c r="I16" s="487"/>
      <c r="J16" s="488"/>
      <c r="K16" s="489"/>
      <c r="L16" s="489"/>
      <c r="M16" s="489"/>
      <c r="N16" s="489"/>
      <c r="O16" s="488"/>
      <c r="P16" s="487"/>
    </row>
    <row r="17" spans="2:17" s="420" customFormat="1" ht="11.25" x14ac:dyDescent="0.2">
      <c r="B17" s="1287"/>
      <c r="C17" s="1314"/>
      <c r="D17" s="482"/>
      <c r="E17" s="483">
        <v>1</v>
      </c>
      <c r="F17" s="484"/>
      <c r="G17" s="485"/>
      <c r="H17" s="486">
        <f>E17*G17</f>
        <v>0</v>
      </c>
      <c r="I17" s="487"/>
      <c r="J17" s="488"/>
      <c r="K17" s="489"/>
      <c r="L17" s="489"/>
      <c r="M17" s="489"/>
      <c r="N17" s="489"/>
      <c r="O17" s="488"/>
      <c r="P17" s="487"/>
    </row>
    <row r="18" spans="2:17" s="420" customFormat="1" ht="11.25" x14ac:dyDescent="0.2">
      <c r="B18" s="1287"/>
      <c r="C18" s="1314"/>
      <c r="D18" s="482"/>
      <c r="E18" s="483">
        <v>1</v>
      </c>
      <c r="F18" s="484"/>
      <c r="G18" s="485"/>
      <c r="H18" s="486">
        <f>E18*G18</f>
        <v>0</v>
      </c>
      <c r="I18" s="487"/>
      <c r="J18" s="488"/>
      <c r="K18" s="489"/>
      <c r="L18" s="489"/>
      <c r="M18" s="489"/>
      <c r="N18" s="489"/>
      <c r="O18" s="488"/>
      <c r="P18" s="487"/>
    </row>
    <row r="19" spans="2:17" s="420" customFormat="1" ht="11.25" x14ac:dyDescent="0.2">
      <c r="B19" s="1287"/>
      <c r="C19" s="1314"/>
      <c r="D19" s="482"/>
      <c r="E19" s="483">
        <v>1</v>
      </c>
      <c r="F19" s="484"/>
      <c r="G19" s="485"/>
      <c r="H19" s="486">
        <f t="shared" ref="H19" si="1">E19*G19</f>
        <v>0</v>
      </c>
      <c r="I19" s="905">
        <f>SUM(H13:H19)</f>
        <v>0</v>
      </c>
      <c r="J19" s="488">
        <f>I19*$J$5</f>
        <v>0</v>
      </c>
      <c r="K19" s="489">
        <f>SUM(I19:J19)*$K$5</f>
        <v>0</v>
      </c>
      <c r="L19" s="489">
        <f>SUM(I19:K19)*$L$5</f>
        <v>0</v>
      </c>
      <c r="M19" s="489">
        <f>SUM(I19:L19)*$M$5</f>
        <v>0</v>
      </c>
      <c r="N19" s="489">
        <f>SUM(I19:M19)*$N$5</f>
        <v>0</v>
      </c>
      <c r="O19" s="488">
        <f>SUM(I19:N19)</f>
        <v>0</v>
      </c>
      <c r="P19" s="487">
        <f>ROUND(O19,-3)</f>
        <v>0</v>
      </c>
      <c r="Q19" s="420" t="s">
        <v>600</v>
      </c>
    </row>
    <row r="20" spans="2:17" s="420" customFormat="1" ht="12" thickBot="1" x14ac:dyDescent="0.25">
      <c r="B20" s="1288"/>
      <c r="C20" s="1315"/>
      <c r="D20" s="444"/>
      <c r="E20" s="445"/>
      <c r="F20" s="446"/>
      <c r="G20" s="447"/>
      <c r="H20" s="448"/>
      <c r="I20" s="449"/>
      <c r="J20" s="450"/>
      <c r="K20" s="451"/>
      <c r="L20" s="451"/>
      <c r="M20" s="451"/>
      <c r="N20" s="451"/>
      <c r="O20" s="450"/>
      <c r="P20" s="449"/>
    </row>
    <row r="21" spans="2:17" s="426" customFormat="1" ht="11.25" x14ac:dyDescent="0.2">
      <c r="B21" s="1286" t="str">
        <f>'Detailed Matrix'!E133</f>
        <v>Sound Insulation</v>
      </c>
      <c r="C21" s="1298" t="str">
        <f>'Detailed Matrix'!F133</f>
        <v>Stage 02 - BREEAM 2 Points - +5dB on Part E (48 dB DnTw+Ctr)</v>
      </c>
      <c r="D21" s="427" t="s">
        <v>556</v>
      </c>
      <c r="E21" s="428"/>
      <c r="F21" s="429"/>
      <c r="G21" s="430"/>
      <c r="H21" s="431"/>
      <c r="I21" s="432"/>
      <c r="J21" s="433"/>
      <c r="K21" s="434"/>
      <c r="L21" s="434"/>
      <c r="M21" s="434"/>
      <c r="N21" s="434"/>
      <c r="O21" s="433"/>
      <c r="P21" s="432"/>
    </row>
    <row r="22" spans="2:17" s="426" customFormat="1" ht="11.25" x14ac:dyDescent="0.2">
      <c r="B22" s="1287"/>
      <c r="C22" s="1299"/>
      <c r="D22" s="482"/>
      <c r="E22" s="483">
        <v>1</v>
      </c>
      <c r="F22" s="484"/>
      <c r="G22" s="485"/>
      <c r="H22" s="486">
        <f t="shared" ref="H22:H27" si="2">E22*G22</f>
        <v>0</v>
      </c>
      <c r="I22" s="487"/>
      <c r="J22" s="488"/>
      <c r="K22" s="489"/>
      <c r="L22" s="489"/>
      <c r="M22" s="489"/>
      <c r="N22" s="489"/>
      <c r="O22" s="488"/>
      <c r="P22" s="487"/>
    </row>
    <row r="23" spans="2:17" s="426" customFormat="1" ht="11.25" x14ac:dyDescent="0.2">
      <c r="B23" s="1287"/>
      <c r="C23" s="1299"/>
      <c r="D23" s="482"/>
      <c r="E23" s="483">
        <v>1</v>
      </c>
      <c r="F23" s="484"/>
      <c r="G23" s="485"/>
      <c r="H23" s="486">
        <f t="shared" si="2"/>
        <v>0</v>
      </c>
      <c r="I23" s="487"/>
      <c r="J23" s="488"/>
      <c r="K23" s="489"/>
      <c r="L23" s="489"/>
      <c r="M23" s="489"/>
      <c r="N23" s="489"/>
      <c r="O23" s="488"/>
      <c r="P23" s="487"/>
    </row>
    <row r="24" spans="2:17" s="426" customFormat="1" ht="11.25" x14ac:dyDescent="0.2">
      <c r="B24" s="1287"/>
      <c r="C24" s="1299"/>
      <c r="D24" s="482"/>
      <c r="E24" s="483">
        <v>1</v>
      </c>
      <c r="F24" s="484"/>
      <c r="G24" s="485"/>
      <c r="H24" s="486">
        <f t="shared" si="2"/>
        <v>0</v>
      </c>
      <c r="I24" s="487"/>
      <c r="J24" s="488"/>
      <c r="K24" s="489"/>
      <c r="L24" s="489"/>
      <c r="M24" s="489"/>
      <c r="N24" s="489"/>
      <c r="O24" s="488"/>
      <c r="P24" s="487"/>
    </row>
    <row r="25" spans="2:17" s="426" customFormat="1" ht="11.25" x14ac:dyDescent="0.2">
      <c r="B25" s="1287"/>
      <c r="C25" s="1299"/>
      <c r="D25" s="482"/>
      <c r="E25" s="483">
        <v>1</v>
      </c>
      <c r="F25" s="484"/>
      <c r="G25" s="485"/>
      <c r="H25" s="486">
        <f t="shared" si="2"/>
        <v>0</v>
      </c>
      <c r="I25" s="487"/>
      <c r="J25" s="488"/>
      <c r="K25" s="489"/>
      <c r="L25" s="489"/>
      <c r="M25" s="489"/>
      <c r="N25" s="489"/>
      <c r="O25" s="488"/>
      <c r="P25" s="487"/>
    </row>
    <row r="26" spans="2:17" s="426" customFormat="1" ht="11.25" x14ac:dyDescent="0.2">
      <c r="B26" s="1287"/>
      <c r="C26" s="1299"/>
      <c r="D26" s="482" t="s">
        <v>610</v>
      </c>
      <c r="E26" s="483">
        <v>-1</v>
      </c>
      <c r="F26" s="484"/>
      <c r="G26" s="485">
        <f>I12</f>
        <v>0</v>
      </c>
      <c r="H26" s="486">
        <f t="shared" si="2"/>
        <v>0</v>
      </c>
      <c r="I26" s="487"/>
      <c r="J26" s="488"/>
      <c r="K26" s="489"/>
      <c r="L26" s="489"/>
      <c r="M26" s="489"/>
      <c r="N26" s="489"/>
      <c r="O26" s="488"/>
      <c r="P26" s="487"/>
    </row>
    <row r="27" spans="2:17" s="426" customFormat="1" ht="11.25" x14ac:dyDescent="0.2">
      <c r="B27" s="1287"/>
      <c r="C27" s="1299"/>
      <c r="D27" s="482"/>
      <c r="E27" s="483">
        <v>1</v>
      </c>
      <c r="F27" s="484"/>
      <c r="G27" s="485"/>
      <c r="H27" s="486">
        <f t="shared" si="2"/>
        <v>0</v>
      </c>
      <c r="I27" s="487"/>
      <c r="J27" s="488"/>
      <c r="K27" s="489"/>
      <c r="L27" s="489"/>
      <c r="M27" s="489"/>
      <c r="N27" s="489"/>
      <c r="O27" s="488"/>
      <c r="P27" s="487"/>
    </row>
    <row r="28" spans="2:17" s="426" customFormat="1" ht="11.25" x14ac:dyDescent="0.2">
      <c r="B28" s="1287"/>
      <c r="C28" s="1299"/>
      <c r="D28" s="482"/>
      <c r="E28" s="483"/>
      <c r="F28" s="484"/>
      <c r="G28" s="485"/>
      <c r="H28" s="486">
        <f>E28*G28</f>
        <v>0</v>
      </c>
      <c r="I28" s="875">
        <f>SUM(H21:H28)</f>
        <v>0</v>
      </c>
      <c r="J28" s="488">
        <f>I28*$J$5</f>
        <v>0</v>
      </c>
      <c r="K28" s="489">
        <f>SUM(I28:J28)*$K$5</f>
        <v>0</v>
      </c>
      <c r="L28" s="489">
        <f>SUM(I28:K28)*$L$5</f>
        <v>0</v>
      </c>
      <c r="M28" s="489">
        <f>SUM(I28:L28)*$M$5</f>
        <v>0</v>
      </c>
      <c r="N28" s="489">
        <f>SUM(I28:M28)*$N$5</f>
        <v>0</v>
      </c>
      <c r="O28" s="488">
        <f>SUM(I28:N28)</f>
        <v>0</v>
      </c>
      <c r="P28" s="487">
        <f>ROUND(O28,-3)</f>
        <v>0</v>
      </c>
      <c r="Q28" s="426" t="s">
        <v>600</v>
      </c>
    </row>
    <row r="29" spans="2:17" s="426" customFormat="1" ht="11.25" x14ac:dyDescent="0.2">
      <c r="B29" s="1287"/>
      <c r="C29" s="1299"/>
      <c r="D29" s="482"/>
      <c r="E29" s="483"/>
      <c r="F29" s="484"/>
      <c r="G29" s="485"/>
      <c r="H29" s="486"/>
      <c r="I29" s="487"/>
      <c r="J29" s="488"/>
      <c r="K29" s="489"/>
      <c r="L29" s="489"/>
      <c r="M29" s="489"/>
      <c r="N29" s="489"/>
      <c r="O29" s="488"/>
      <c r="P29" s="487"/>
    </row>
    <row r="30" spans="2:17" s="426" customFormat="1" ht="11.25" x14ac:dyDescent="0.2">
      <c r="B30" s="1287"/>
      <c r="C30" s="1299"/>
      <c r="D30" s="482" t="s">
        <v>557</v>
      </c>
      <c r="E30" s="483"/>
      <c r="F30" s="484"/>
      <c r="G30" s="485"/>
      <c r="H30" s="486"/>
      <c r="I30" s="487"/>
      <c r="J30" s="488"/>
      <c r="K30" s="489"/>
      <c r="L30" s="489"/>
      <c r="M30" s="489"/>
      <c r="N30" s="489"/>
      <c r="O30" s="488"/>
      <c r="P30" s="487"/>
    </row>
    <row r="31" spans="2:17" s="426" customFormat="1" ht="11.25" x14ac:dyDescent="0.2">
      <c r="B31" s="1287"/>
      <c r="C31" s="1299"/>
      <c r="D31" s="482"/>
      <c r="E31" s="483">
        <v>1</v>
      </c>
      <c r="F31" s="484"/>
      <c r="G31" s="485"/>
      <c r="H31" s="486">
        <f t="shared" ref="H31:H35" si="3">E31*G31</f>
        <v>0</v>
      </c>
      <c r="I31" s="487"/>
      <c r="J31" s="488"/>
      <c r="K31" s="489"/>
      <c r="L31" s="489"/>
      <c r="M31" s="489"/>
      <c r="N31" s="489"/>
      <c r="O31" s="488"/>
      <c r="P31" s="487"/>
    </row>
    <row r="32" spans="2:17" s="426" customFormat="1" ht="11.25" x14ac:dyDescent="0.2">
      <c r="B32" s="1287"/>
      <c r="C32" s="1299"/>
      <c r="D32" s="482"/>
      <c r="E32" s="483">
        <v>1</v>
      </c>
      <c r="F32" s="484"/>
      <c r="G32" s="485"/>
      <c r="H32" s="486">
        <f t="shared" si="3"/>
        <v>0</v>
      </c>
      <c r="I32" s="487"/>
      <c r="J32" s="488"/>
      <c r="K32" s="489"/>
      <c r="L32" s="489"/>
      <c r="M32" s="489"/>
      <c r="N32" s="489"/>
      <c r="O32" s="488"/>
      <c r="P32" s="487"/>
    </row>
    <row r="33" spans="2:17" s="426" customFormat="1" ht="11.25" x14ac:dyDescent="0.2">
      <c r="B33" s="1287"/>
      <c r="C33" s="1299"/>
      <c r="D33" s="482"/>
      <c r="E33" s="483">
        <v>1</v>
      </c>
      <c r="F33" s="484"/>
      <c r="G33" s="485"/>
      <c r="H33" s="486">
        <f t="shared" si="3"/>
        <v>0</v>
      </c>
      <c r="I33" s="487"/>
      <c r="J33" s="488"/>
      <c r="K33" s="489"/>
      <c r="L33" s="489"/>
      <c r="M33" s="489"/>
      <c r="N33" s="489"/>
      <c r="O33" s="488"/>
      <c r="P33" s="487"/>
    </row>
    <row r="34" spans="2:17" s="426" customFormat="1" ht="11.25" x14ac:dyDescent="0.2">
      <c r="B34" s="1287"/>
      <c r="C34" s="1299"/>
      <c r="D34" s="482"/>
      <c r="E34" s="483">
        <v>1</v>
      </c>
      <c r="F34" s="484"/>
      <c r="G34" s="485"/>
      <c r="H34" s="486">
        <f t="shared" si="3"/>
        <v>0</v>
      </c>
      <c r="I34" s="487"/>
      <c r="J34" s="488"/>
      <c r="K34" s="489"/>
      <c r="L34" s="489"/>
      <c r="M34" s="489"/>
      <c r="N34" s="489"/>
      <c r="O34" s="488"/>
      <c r="P34" s="487"/>
    </row>
    <row r="35" spans="2:17" s="426" customFormat="1" ht="11.25" x14ac:dyDescent="0.2">
      <c r="B35" s="1287"/>
      <c r="C35" s="1299"/>
      <c r="D35" s="482" t="s">
        <v>610</v>
      </c>
      <c r="E35" s="483">
        <v>-1</v>
      </c>
      <c r="F35" s="484" t="s">
        <v>576</v>
      </c>
      <c r="G35" s="485">
        <f>I19</f>
        <v>0</v>
      </c>
      <c r="H35" s="439">
        <f t="shared" si="3"/>
        <v>0</v>
      </c>
      <c r="I35" s="865">
        <f>SUM(H30:H35)</f>
        <v>0</v>
      </c>
      <c r="J35" s="441">
        <f>I35*$J$5</f>
        <v>0</v>
      </c>
      <c r="K35" s="442">
        <f>SUM(I35:J35)*$K$5</f>
        <v>0</v>
      </c>
      <c r="L35" s="442">
        <f>SUM(I35:K35)*$L$5</f>
        <v>0</v>
      </c>
      <c r="M35" s="442">
        <f>SUM(I35:L35)*$M$5</f>
        <v>0</v>
      </c>
      <c r="N35" s="442">
        <f>SUM(I35:M35)*$N$5</f>
        <v>0</v>
      </c>
      <c r="O35" s="443">
        <f>SUM(I35:N35)</f>
        <v>0</v>
      </c>
      <c r="P35" s="440">
        <f>ROUND(O35,-3)</f>
        <v>0</v>
      </c>
      <c r="Q35" s="426" t="s">
        <v>600</v>
      </c>
    </row>
    <row r="36" spans="2:17" s="426" customFormat="1" ht="12" thickBot="1" x14ac:dyDescent="0.25">
      <c r="B36" s="1288"/>
      <c r="C36" s="1300"/>
      <c r="D36" s="444"/>
      <c r="E36" s="445"/>
      <c r="F36" s="446"/>
      <c r="G36" s="447"/>
      <c r="H36" s="448"/>
      <c r="I36" s="449"/>
      <c r="J36" s="450"/>
      <c r="K36" s="451"/>
      <c r="L36" s="451"/>
      <c r="M36" s="451"/>
      <c r="N36" s="451"/>
      <c r="O36" s="450"/>
      <c r="P36" s="449"/>
    </row>
    <row r="37" spans="2:17" s="420" customFormat="1" ht="11.25" x14ac:dyDescent="0.2">
      <c r="B37" s="1286" t="str">
        <f>'Detailed Matrix'!E134</f>
        <v>Sound Insulation</v>
      </c>
      <c r="C37" s="1298" t="str">
        <f>'Detailed Matrix'!F134</f>
        <v>Stage 03 - +8dB on Part E (51 dB DnTw+Ctr)</v>
      </c>
      <c r="D37" s="427" t="s">
        <v>556</v>
      </c>
      <c r="E37" s="428"/>
      <c r="F37" s="429"/>
      <c r="G37" s="430"/>
      <c r="H37" s="431"/>
      <c r="I37" s="432"/>
      <c r="J37" s="433"/>
      <c r="K37" s="434"/>
      <c r="L37" s="434"/>
      <c r="M37" s="434"/>
      <c r="N37" s="434"/>
      <c r="O37" s="433"/>
      <c r="P37" s="432"/>
    </row>
    <row r="38" spans="2:17" s="420" customFormat="1" ht="11.25" x14ac:dyDescent="0.2">
      <c r="B38" s="1287"/>
      <c r="C38" s="1299"/>
      <c r="D38" s="490"/>
      <c r="E38" s="483">
        <v>1</v>
      </c>
      <c r="F38" s="484"/>
      <c r="G38" s="485"/>
      <c r="H38" s="439">
        <f t="shared" ref="H38:H43" si="4">E38*G38</f>
        <v>0</v>
      </c>
      <c r="I38" s="440"/>
      <c r="J38" s="441"/>
      <c r="K38" s="442"/>
      <c r="L38" s="442"/>
      <c r="M38" s="442"/>
      <c r="N38" s="442"/>
      <c r="O38" s="443"/>
      <c r="P38" s="440"/>
    </row>
    <row r="39" spans="2:17" s="420" customFormat="1" ht="11.25" x14ac:dyDescent="0.2">
      <c r="B39" s="1287"/>
      <c r="C39" s="1299"/>
      <c r="D39" s="482"/>
      <c r="E39" s="483">
        <v>1</v>
      </c>
      <c r="F39" s="484"/>
      <c r="G39" s="485"/>
      <c r="H39" s="596">
        <f t="shared" si="4"/>
        <v>0</v>
      </c>
      <c r="I39" s="597"/>
      <c r="J39" s="598"/>
      <c r="K39" s="599"/>
      <c r="L39" s="599"/>
      <c r="M39" s="599"/>
      <c r="N39" s="599"/>
      <c r="O39" s="600"/>
      <c r="P39" s="597"/>
    </row>
    <row r="40" spans="2:17" s="420" customFormat="1" ht="11.25" x14ac:dyDescent="0.2">
      <c r="B40" s="1287"/>
      <c r="C40" s="1299"/>
      <c r="D40" s="482"/>
      <c r="E40" s="483">
        <v>1</v>
      </c>
      <c r="F40" s="484"/>
      <c r="G40" s="485"/>
      <c r="H40" s="596">
        <f t="shared" si="4"/>
        <v>0</v>
      </c>
      <c r="I40" s="597"/>
      <c r="J40" s="598"/>
      <c r="K40" s="599"/>
      <c r="L40" s="599"/>
      <c r="M40" s="599"/>
      <c r="N40" s="599"/>
      <c r="O40" s="600"/>
      <c r="P40" s="597"/>
    </row>
    <row r="41" spans="2:17" s="420" customFormat="1" ht="11.25" x14ac:dyDescent="0.2">
      <c r="B41" s="1287"/>
      <c r="C41" s="1299"/>
      <c r="D41" s="482"/>
      <c r="E41" s="483">
        <v>1</v>
      </c>
      <c r="F41" s="484"/>
      <c r="G41" s="485"/>
      <c r="H41" s="596">
        <f>E41*G41</f>
        <v>0</v>
      </c>
      <c r="I41" s="597"/>
      <c r="J41" s="598"/>
      <c r="K41" s="599"/>
      <c r="L41" s="599"/>
      <c r="M41" s="599"/>
      <c r="N41" s="599"/>
      <c r="O41" s="600"/>
      <c r="P41" s="597"/>
    </row>
    <row r="42" spans="2:17" s="420" customFormat="1" ht="11.25" x14ac:dyDescent="0.2">
      <c r="B42" s="1287"/>
      <c r="C42" s="1299"/>
      <c r="D42" s="482" t="s">
        <v>615</v>
      </c>
      <c r="E42" s="483">
        <v>-1</v>
      </c>
      <c r="F42" s="484"/>
      <c r="G42" s="485">
        <f>I28+I12</f>
        <v>0</v>
      </c>
      <c r="H42" s="596">
        <f>E42*G42</f>
        <v>0</v>
      </c>
      <c r="I42" s="597"/>
      <c r="J42" s="598"/>
      <c r="K42" s="599"/>
      <c r="L42" s="599"/>
      <c r="M42" s="599"/>
      <c r="N42" s="599"/>
      <c r="O42" s="600"/>
      <c r="P42" s="597"/>
    </row>
    <row r="43" spans="2:17" s="420" customFormat="1" ht="11.25" x14ac:dyDescent="0.2">
      <c r="B43" s="1287"/>
      <c r="C43" s="1299"/>
      <c r="D43" s="482"/>
      <c r="E43" s="483">
        <v>1</v>
      </c>
      <c r="F43" s="484"/>
      <c r="G43" s="485"/>
      <c r="H43" s="596">
        <f t="shared" si="4"/>
        <v>0</v>
      </c>
      <c r="I43" s="597"/>
      <c r="J43" s="598"/>
      <c r="K43" s="599"/>
      <c r="L43" s="599"/>
      <c r="M43" s="599"/>
      <c r="N43" s="599"/>
      <c r="O43" s="600"/>
      <c r="P43" s="597"/>
    </row>
    <row r="44" spans="2:17" s="420" customFormat="1" ht="11.25" x14ac:dyDescent="0.2">
      <c r="B44" s="1287"/>
      <c r="C44" s="1299"/>
      <c r="D44" s="482"/>
      <c r="E44" s="483"/>
      <c r="F44" s="484"/>
      <c r="G44" s="485"/>
      <c r="H44" s="596">
        <f>E44*G44</f>
        <v>0</v>
      </c>
      <c r="I44" s="866">
        <f>SUM(H37:H44)</f>
        <v>0</v>
      </c>
      <c r="J44" s="598">
        <f>I44*$J$5</f>
        <v>0</v>
      </c>
      <c r="K44" s="599">
        <f>SUM(I44:J44)*$K$5</f>
        <v>0</v>
      </c>
      <c r="L44" s="599">
        <f>SUM(I44:K44)*$L$5</f>
        <v>0</v>
      </c>
      <c r="M44" s="599">
        <f>SUM(I44:L44)*$M$5</f>
        <v>0</v>
      </c>
      <c r="N44" s="599">
        <f>SUM(I44:M44)*$N$5</f>
        <v>0</v>
      </c>
      <c r="O44" s="600">
        <f>SUM(I44:N44)</f>
        <v>0</v>
      </c>
      <c r="P44" s="597">
        <f>ROUND(O44,-3)</f>
        <v>0</v>
      </c>
      <c r="Q44" s="420" t="s">
        <v>600</v>
      </c>
    </row>
    <row r="45" spans="2:17" s="420" customFormat="1" ht="11.25" x14ac:dyDescent="0.2">
      <c r="B45" s="1287"/>
      <c r="C45" s="1299"/>
      <c r="D45" s="482"/>
      <c r="E45" s="483"/>
      <c r="F45" s="484"/>
      <c r="G45" s="485"/>
      <c r="H45" s="596"/>
      <c r="I45" s="597"/>
      <c r="J45" s="598"/>
      <c r="K45" s="599"/>
      <c r="L45" s="599"/>
      <c r="M45" s="599"/>
      <c r="N45" s="599"/>
      <c r="O45" s="600"/>
      <c r="P45" s="597"/>
    </row>
    <row r="46" spans="2:17" s="420" customFormat="1" ht="11.25" x14ac:dyDescent="0.2">
      <c r="B46" s="1287"/>
      <c r="C46" s="1299"/>
      <c r="D46" s="482" t="s">
        <v>557</v>
      </c>
      <c r="E46" s="483"/>
      <c r="F46" s="484"/>
      <c r="G46" s="485"/>
      <c r="H46" s="596"/>
      <c r="I46" s="597"/>
      <c r="J46" s="598"/>
      <c r="K46" s="599"/>
      <c r="L46" s="599"/>
      <c r="M46" s="599"/>
      <c r="N46" s="599"/>
      <c r="O46" s="600"/>
      <c r="P46" s="597"/>
    </row>
    <row r="47" spans="2:17" s="420" customFormat="1" ht="11.25" x14ac:dyDescent="0.2">
      <c r="B47" s="1287"/>
      <c r="C47" s="1299"/>
      <c r="D47" s="482"/>
      <c r="E47" s="483">
        <v>1</v>
      </c>
      <c r="F47" s="484"/>
      <c r="G47" s="485"/>
      <c r="H47" s="596">
        <f t="shared" ref="H47:H51" si="5">E47*G47</f>
        <v>0</v>
      </c>
      <c r="I47" s="597"/>
      <c r="J47" s="598"/>
      <c r="K47" s="599"/>
      <c r="L47" s="599"/>
      <c r="M47" s="599"/>
      <c r="N47" s="599"/>
      <c r="O47" s="600"/>
      <c r="P47" s="597"/>
    </row>
    <row r="48" spans="2:17" s="420" customFormat="1" ht="11.25" x14ac:dyDescent="0.2">
      <c r="B48" s="1287"/>
      <c r="C48" s="1299"/>
      <c r="D48" s="482"/>
      <c r="E48" s="483">
        <v>1</v>
      </c>
      <c r="F48" s="484"/>
      <c r="G48" s="485"/>
      <c r="H48" s="596">
        <f t="shared" si="5"/>
        <v>0</v>
      </c>
      <c r="I48" s="597"/>
      <c r="J48" s="598"/>
      <c r="K48" s="599"/>
      <c r="L48" s="599"/>
      <c r="M48" s="599"/>
      <c r="N48" s="599"/>
      <c r="O48" s="600"/>
      <c r="P48" s="597"/>
    </row>
    <row r="49" spans="2:17" s="420" customFormat="1" ht="11.25" x14ac:dyDescent="0.2">
      <c r="B49" s="1287"/>
      <c r="C49" s="1299"/>
      <c r="D49" s="482"/>
      <c r="E49" s="483">
        <v>1</v>
      </c>
      <c r="F49" s="484"/>
      <c r="G49" s="485"/>
      <c r="H49" s="596">
        <f t="shared" si="5"/>
        <v>0</v>
      </c>
      <c r="I49" s="597"/>
      <c r="J49" s="598"/>
      <c r="K49" s="599"/>
      <c r="L49" s="599"/>
      <c r="M49" s="599"/>
      <c r="N49" s="599"/>
      <c r="O49" s="600"/>
      <c r="P49" s="597"/>
    </row>
    <row r="50" spans="2:17" s="420" customFormat="1" ht="11.25" x14ac:dyDescent="0.2">
      <c r="B50" s="1287"/>
      <c r="C50" s="1299"/>
      <c r="D50" s="482"/>
      <c r="E50" s="483">
        <v>1</v>
      </c>
      <c r="F50" s="484"/>
      <c r="G50" s="485"/>
      <c r="H50" s="596">
        <f t="shared" si="5"/>
        <v>0</v>
      </c>
      <c r="I50" s="597"/>
      <c r="J50" s="598"/>
      <c r="K50" s="599"/>
      <c r="L50" s="599"/>
      <c r="M50" s="599"/>
      <c r="N50" s="599"/>
      <c r="O50" s="600"/>
      <c r="P50" s="597"/>
    </row>
    <row r="51" spans="2:17" s="420" customFormat="1" ht="11.25" x14ac:dyDescent="0.2">
      <c r="B51" s="1287"/>
      <c r="C51" s="1299"/>
      <c r="D51" s="482" t="s">
        <v>615</v>
      </c>
      <c r="E51" s="483">
        <v>-1</v>
      </c>
      <c r="F51" s="484" t="s">
        <v>576</v>
      </c>
      <c r="G51" s="485">
        <f>I35+I19</f>
        <v>0</v>
      </c>
      <c r="H51" s="596">
        <f t="shared" si="5"/>
        <v>0</v>
      </c>
      <c r="I51" s="906">
        <f>SUM(H46:H51)</f>
        <v>0</v>
      </c>
      <c r="J51" s="598">
        <f>I51*$J$5</f>
        <v>0</v>
      </c>
      <c r="K51" s="599">
        <f>SUM(I51:J51)*$K$5</f>
        <v>0</v>
      </c>
      <c r="L51" s="599">
        <f>SUM(I51:K51)*$L$5</f>
        <v>0</v>
      </c>
      <c r="M51" s="599">
        <f>SUM(I51:L51)*$M$5</f>
        <v>0</v>
      </c>
      <c r="N51" s="599">
        <f>SUM(I51:M51)*$N$5</f>
        <v>0</v>
      </c>
      <c r="O51" s="600">
        <f>SUM(I51:N51)</f>
        <v>0</v>
      </c>
      <c r="P51" s="597">
        <f>ROUND(O51,-3)</f>
        <v>0</v>
      </c>
      <c r="Q51" s="420" t="s">
        <v>600</v>
      </c>
    </row>
    <row r="52" spans="2:17" s="420" customFormat="1" ht="12" thickBot="1" x14ac:dyDescent="0.25">
      <c r="B52" s="1288"/>
      <c r="C52" s="1300"/>
      <c r="D52" s="444"/>
      <c r="E52" s="445"/>
      <c r="F52" s="446"/>
      <c r="G52" s="447"/>
      <c r="H52" s="448"/>
      <c r="I52" s="449"/>
      <c r="J52" s="450"/>
      <c r="K52" s="451"/>
      <c r="L52" s="451"/>
      <c r="M52" s="451"/>
      <c r="N52" s="451"/>
      <c r="O52" s="450"/>
      <c r="P52" s="449"/>
    </row>
    <row r="53" spans="2:17" s="426" customFormat="1" ht="11.25" x14ac:dyDescent="0.2">
      <c r="B53" s="1286" t="str">
        <f>'Detailed Matrix'!E135</f>
        <v>Sound Insulation</v>
      </c>
      <c r="C53" s="1298" t="str">
        <f>'Detailed Matrix'!F135</f>
        <v>Stage 04 - +10dB on Part E (53 dB DnTw+Ctr)</v>
      </c>
      <c r="D53" s="427" t="s">
        <v>556</v>
      </c>
      <c r="E53" s="428"/>
      <c r="F53" s="429"/>
      <c r="G53" s="430"/>
      <c r="H53" s="431"/>
      <c r="I53" s="432"/>
      <c r="J53" s="433"/>
      <c r="K53" s="434"/>
      <c r="L53" s="434"/>
      <c r="M53" s="434"/>
      <c r="N53" s="434"/>
      <c r="O53" s="433"/>
      <c r="P53" s="432"/>
    </row>
    <row r="54" spans="2:17" s="426" customFormat="1" ht="11.25" x14ac:dyDescent="0.2">
      <c r="B54" s="1287"/>
      <c r="C54" s="1299"/>
      <c r="D54" s="482"/>
      <c r="E54" s="483">
        <v>1</v>
      </c>
      <c r="F54" s="484"/>
      <c r="G54" s="485"/>
      <c r="H54" s="486">
        <f t="shared" ref="H54:H56" si="6">E54*G54</f>
        <v>0</v>
      </c>
      <c r="I54" s="487"/>
      <c r="J54" s="488"/>
      <c r="K54" s="489"/>
      <c r="L54" s="489"/>
      <c r="M54" s="489"/>
      <c r="N54" s="489"/>
      <c r="O54" s="488"/>
      <c r="P54" s="487"/>
    </row>
    <row r="55" spans="2:17" s="426" customFormat="1" ht="11.25" x14ac:dyDescent="0.2">
      <c r="B55" s="1287"/>
      <c r="C55" s="1299"/>
      <c r="D55" s="482"/>
      <c r="E55" s="483">
        <v>1</v>
      </c>
      <c r="F55" s="484"/>
      <c r="G55" s="485"/>
      <c r="H55" s="486">
        <f t="shared" si="6"/>
        <v>0</v>
      </c>
      <c r="I55" s="487"/>
      <c r="J55" s="488"/>
      <c r="K55" s="489"/>
      <c r="L55" s="489"/>
      <c r="M55" s="489"/>
      <c r="N55" s="489"/>
      <c r="O55" s="488"/>
      <c r="P55" s="487"/>
    </row>
    <row r="56" spans="2:17" s="426" customFormat="1" ht="11.25" x14ac:dyDescent="0.2">
      <c r="B56" s="1287"/>
      <c r="C56" s="1299"/>
      <c r="D56" s="482"/>
      <c r="E56" s="483">
        <v>1</v>
      </c>
      <c r="F56" s="484"/>
      <c r="G56" s="485"/>
      <c r="H56" s="486">
        <f t="shared" si="6"/>
        <v>0</v>
      </c>
      <c r="I56" s="487"/>
      <c r="J56" s="488"/>
      <c r="K56" s="489"/>
      <c r="L56" s="489"/>
      <c r="M56" s="489"/>
      <c r="N56" s="489"/>
      <c r="O56" s="488"/>
      <c r="P56" s="487"/>
    </row>
    <row r="57" spans="2:17" s="426" customFormat="1" ht="11.25" x14ac:dyDescent="0.2">
      <c r="B57" s="1287"/>
      <c r="C57" s="1299"/>
      <c r="D57" s="482"/>
      <c r="E57" s="483">
        <v>1</v>
      </c>
      <c r="F57" s="484"/>
      <c r="G57" s="485"/>
      <c r="H57" s="486">
        <f>E57*G57</f>
        <v>0</v>
      </c>
      <c r="I57" s="487"/>
      <c r="J57" s="488"/>
      <c r="K57" s="489"/>
      <c r="L57" s="489"/>
      <c r="M57" s="489"/>
      <c r="N57" s="489"/>
      <c r="O57" s="488"/>
      <c r="P57" s="487"/>
    </row>
    <row r="58" spans="2:17" s="426" customFormat="1" ht="11.25" x14ac:dyDescent="0.2">
      <c r="B58" s="1287"/>
      <c r="C58" s="1299"/>
      <c r="D58" s="482" t="s">
        <v>629</v>
      </c>
      <c r="E58" s="483">
        <v>-1</v>
      </c>
      <c r="F58" s="484"/>
      <c r="G58" s="485">
        <f>I44+I28+I12</f>
        <v>0</v>
      </c>
      <c r="H58" s="486">
        <f>E58*G58</f>
        <v>0</v>
      </c>
      <c r="I58" s="487"/>
      <c r="J58" s="488"/>
      <c r="K58" s="489"/>
      <c r="L58" s="489"/>
      <c r="M58" s="489"/>
      <c r="N58" s="489"/>
      <c r="O58" s="488"/>
      <c r="P58" s="487"/>
    </row>
    <row r="59" spans="2:17" s="426" customFormat="1" ht="11.25" x14ac:dyDescent="0.2">
      <c r="B59" s="1287"/>
      <c r="C59" s="1299"/>
      <c r="D59" s="482"/>
      <c r="E59" s="483">
        <v>1</v>
      </c>
      <c r="F59" s="484"/>
      <c r="G59" s="485"/>
      <c r="H59" s="486">
        <f t="shared" ref="H59" si="7">E59*G59</f>
        <v>0</v>
      </c>
      <c r="I59" s="487"/>
      <c r="J59" s="488"/>
      <c r="K59" s="489"/>
      <c r="L59" s="489"/>
      <c r="M59" s="489"/>
      <c r="N59" s="489"/>
      <c r="O59" s="488"/>
      <c r="P59" s="487"/>
    </row>
    <row r="60" spans="2:17" s="426" customFormat="1" ht="11.25" x14ac:dyDescent="0.2">
      <c r="B60" s="1287"/>
      <c r="C60" s="1299"/>
      <c r="D60" s="482"/>
      <c r="E60" s="483"/>
      <c r="F60" s="484"/>
      <c r="G60" s="485"/>
      <c r="H60" s="486">
        <f>E60*G60</f>
        <v>0</v>
      </c>
      <c r="I60" s="875">
        <f>SUM(H53:H60)</f>
        <v>0</v>
      </c>
      <c r="J60" s="488">
        <f>I60*$J$5</f>
        <v>0</v>
      </c>
      <c r="K60" s="489">
        <f>SUM(I60:J60)*$K$5</f>
        <v>0</v>
      </c>
      <c r="L60" s="489">
        <f>SUM(I60:K60)*$L$5</f>
        <v>0</v>
      </c>
      <c r="M60" s="489">
        <f>SUM(I60:L60)*$M$5</f>
        <v>0</v>
      </c>
      <c r="N60" s="489">
        <f>SUM(I60:M60)*$N$5</f>
        <v>0</v>
      </c>
      <c r="O60" s="488">
        <f>SUM(I60:N60)</f>
        <v>0</v>
      </c>
      <c r="P60" s="487">
        <f>ROUND(O60,-3)</f>
        <v>0</v>
      </c>
      <c r="Q60" s="426" t="s">
        <v>600</v>
      </c>
    </row>
    <row r="61" spans="2:17" s="426" customFormat="1" ht="11.25" x14ac:dyDescent="0.2">
      <c r="B61" s="1287"/>
      <c r="C61" s="1299"/>
      <c r="D61" s="482"/>
      <c r="E61" s="483"/>
      <c r="F61" s="484"/>
      <c r="G61" s="485"/>
      <c r="H61" s="486"/>
      <c r="I61" s="487"/>
      <c r="J61" s="488"/>
      <c r="K61" s="489"/>
      <c r="L61" s="489"/>
      <c r="M61" s="489"/>
      <c r="N61" s="489"/>
      <c r="O61" s="488"/>
      <c r="P61" s="487"/>
    </row>
    <row r="62" spans="2:17" s="426" customFormat="1" ht="11.25" x14ac:dyDescent="0.2">
      <c r="B62" s="1287"/>
      <c r="C62" s="1299"/>
      <c r="D62" s="482" t="s">
        <v>557</v>
      </c>
      <c r="E62" s="483"/>
      <c r="F62" s="484"/>
      <c r="G62" s="485"/>
      <c r="H62" s="486"/>
      <c r="I62" s="487"/>
      <c r="J62" s="488"/>
      <c r="K62" s="489"/>
      <c r="L62" s="489"/>
      <c r="M62" s="489"/>
      <c r="N62" s="489"/>
      <c r="O62" s="488"/>
      <c r="P62" s="487"/>
    </row>
    <row r="63" spans="2:17" s="426" customFormat="1" ht="11.25" x14ac:dyDescent="0.2">
      <c r="B63" s="1287"/>
      <c r="C63" s="1299"/>
      <c r="D63" s="482"/>
      <c r="E63" s="483">
        <v>1</v>
      </c>
      <c r="F63" s="484"/>
      <c r="G63" s="485"/>
      <c r="H63" s="486">
        <f t="shared" ref="H63:H67" si="8">E63*G63</f>
        <v>0</v>
      </c>
      <c r="I63" s="487"/>
      <c r="J63" s="488"/>
      <c r="K63" s="489"/>
      <c r="L63" s="489"/>
      <c r="M63" s="489"/>
      <c r="N63" s="489"/>
      <c r="O63" s="488"/>
      <c r="P63" s="487"/>
    </row>
    <row r="64" spans="2:17" s="426" customFormat="1" ht="11.25" x14ac:dyDescent="0.2">
      <c r="B64" s="1287"/>
      <c r="C64" s="1299"/>
      <c r="D64" s="482"/>
      <c r="E64" s="483">
        <v>1</v>
      </c>
      <c r="F64" s="484"/>
      <c r="G64" s="485"/>
      <c r="H64" s="486">
        <f t="shared" si="8"/>
        <v>0</v>
      </c>
      <c r="I64" s="487"/>
      <c r="J64" s="488"/>
      <c r="K64" s="489"/>
      <c r="L64" s="489"/>
      <c r="M64" s="489"/>
      <c r="N64" s="489"/>
      <c r="O64" s="488"/>
      <c r="P64" s="487"/>
    </row>
    <row r="65" spans="2:17" s="426" customFormat="1" ht="11.25" x14ac:dyDescent="0.2">
      <c r="B65" s="1287"/>
      <c r="C65" s="1299"/>
      <c r="D65" s="482"/>
      <c r="E65" s="483">
        <v>1</v>
      </c>
      <c r="F65" s="484"/>
      <c r="G65" s="485"/>
      <c r="H65" s="486">
        <f t="shared" si="8"/>
        <v>0</v>
      </c>
      <c r="I65" s="487"/>
      <c r="J65" s="488"/>
      <c r="K65" s="489"/>
      <c r="L65" s="489"/>
      <c r="M65" s="489"/>
      <c r="N65" s="489"/>
      <c r="O65" s="488"/>
      <c r="P65" s="487"/>
    </row>
    <row r="66" spans="2:17" s="426" customFormat="1" ht="11.25" x14ac:dyDescent="0.2">
      <c r="B66" s="1287"/>
      <c r="C66" s="1299"/>
      <c r="D66" s="482"/>
      <c r="E66" s="483">
        <v>1</v>
      </c>
      <c r="F66" s="484"/>
      <c r="G66" s="485"/>
      <c r="H66" s="486">
        <f t="shared" si="8"/>
        <v>0</v>
      </c>
      <c r="I66" s="487"/>
      <c r="J66" s="488"/>
      <c r="K66" s="489"/>
      <c r="L66" s="489"/>
      <c r="M66" s="489"/>
      <c r="N66" s="489"/>
      <c r="O66" s="488"/>
      <c r="P66" s="487"/>
    </row>
    <row r="67" spans="2:17" s="426" customFormat="1" ht="11.25" x14ac:dyDescent="0.2">
      <c r="B67" s="1287"/>
      <c r="C67" s="1299"/>
      <c r="D67" s="482" t="s">
        <v>629</v>
      </c>
      <c r="E67" s="483">
        <v>-1</v>
      </c>
      <c r="F67" s="484" t="s">
        <v>576</v>
      </c>
      <c r="G67" s="485">
        <f>I51+I35+I19</f>
        <v>0</v>
      </c>
      <c r="H67" s="439">
        <f t="shared" si="8"/>
        <v>0</v>
      </c>
      <c r="I67" s="865">
        <f>SUM(H62:H67)</f>
        <v>0</v>
      </c>
      <c r="J67" s="441">
        <f>I67*$J$5</f>
        <v>0</v>
      </c>
      <c r="K67" s="442">
        <f>SUM(I67:J67)*$K$5</f>
        <v>0</v>
      </c>
      <c r="L67" s="442">
        <f>SUM(I67:K67)*$L$5</f>
        <v>0</v>
      </c>
      <c r="M67" s="442">
        <f>SUM(I67:L67)*$M$5</f>
        <v>0</v>
      </c>
      <c r="N67" s="442">
        <f>SUM(I67:M67)*$N$5</f>
        <v>0</v>
      </c>
      <c r="O67" s="443">
        <f>SUM(I67:N67)</f>
        <v>0</v>
      </c>
      <c r="P67" s="440">
        <f>ROUND(O67,-3)</f>
        <v>0</v>
      </c>
      <c r="Q67" s="426" t="s">
        <v>600</v>
      </c>
    </row>
    <row r="68" spans="2:17" s="426" customFormat="1" ht="12" thickBot="1" x14ac:dyDescent="0.25">
      <c r="B68" s="1288"/>
      <c r="C68" s="1300"/>
      <c r="D68" s="444"/>
      <c r="E68" s="445"/>
      <c r="F68" s="446"/>
      <c r="G68" s="447"/>
      <c r="H68" s="448"/>
      <c r="I68" s="449"/>
      <c r="J68" s="450"/>
      <c r="K68" s="451"/>
      <c r="L68" s="451"/>
      <c r="M68" s="451"/>
      <c r="N68" s="451"/>
      <c r="O68" s="450"/>
      <c r="P68" s="449"/>
    </row>
    <row r="69" spans="2:17" s="420" customFormat="1" ht="11.25" x14ac:dyDescent="0.2">
      <c r="B69" s="1286" t="str">
        <f>'Detailed Matrix'!E136</f>
        <v>Ambient Noise Levels</v>
      </c>
      <c r="C69" s="1298" t="str">
        <f>'Detailed Matrix'!F136</f>
        <v>Stage 01 - 35dBA daytime
30 dBA nighttime
LAFmax 45 (10x/night)
LASmax 40</v>
      </c>
      <c r="D69" s="427" t="s">
        <v>556</v>
      </c>
      <c r="E69" s="428">
        <v>1</v>
      </c>
      <c r="F69" s="429"/>
      <c r="G69" s="430"/>
      <c r="H69" s="431">
        <f t="shared" ref="H69:H75" si="9">E69*G69</f>
        <v>0</v>
      </c>
      <c r="I69" s="432"/>
      <c r="J69" s="433"/>
      <c r="K69" s="434"/>
      <c r="L69" s="434"/>
      <c r="M69" s="434"/>
      <c r="N69" s="434"/>
      <c r="O69" s="433"/>
      <c r="P69" s="432"/>
    </row>
    <row r="70" spans="2:17" s="420" customFormat="1" ht="11.25" x14ac:dyDescent="0.2">
      <c r="B70" s="1287"/>
      <c r="C70" s="1299"/>
      <c r="D70" s="482"/>
      <c r="E70" s="483">
        <v>1</v>
      </c>
      <c r="F70" s="484"/>
      <c r="G70" s="485"/>
      <c r="H70" s="486">
        <f t="shared" si="9"/>
        <v>0</v>
      </c>
      <c r="I70" s="487"/>
      <c r="J70" s="488"/>
      <c r="K70" s="489"/>
      <c r="L70" s="489"/>
      <c r="M70" s="489"/>
      <c r="N70" s="489"/>
      <c r="O70" s="488"/>
      <c r="P70" s="487"/>
    </row>
    <row r="71" spans="2:17" s="420" customFormat="1" ht="11.25" x14ac:dyDescent="0.2">
      <c r="B71" s="1287"/>
      <c r="C71" s="1299"/>
      <c r="D71" s="482"/>
      <c r="E71" s="483">
        <v>1</v>
      </c>
      <c r="F71" s="484"/>
      <c r="G71" s="485"/>
      <c r="H71" s="486">
        <f t="shared" si="9"/>
        <v>0</v>
      </c>
      <c r="I71" s="487"/>
      <c r="J71" s="488"/>
      <c r="K71" s="489"/>
      <c r="L71" s="489"/>
      <c r="M71" s="489"/>
      <c r="N71" s="489"/>
      <c r="O71" s="488"/>
      <c r="P71" s="487"/>
    </row>
    <row r="72" spans="2:17" s="420" customFormat="1" ht="11.25" x14ac:dyDescent="0.2">
      <c r="B72" s="1287"/>
      <c r="C72" s="1299"/>
      <c r="D72" s="482"/>
      <c r="E72" s="483">
        <v>1</v>
      </c>
      <c r="F72" s="484"/>
      <c r="G72" s="485"/>
      <c r="H72" s="486">
        <f t="shared" si="9"/>
        <v>0</v>
      </c>
      <c r="I72" s="487"/>
      <c r="J72" s="488"/>
      <c r="K72" s="489"/>
      <c r="L72" s="489"/>
      <c r="M72" s="489"/>
      <c r="N72" s="489"/>
      <c r="O72" s="488"/>
      <c r="P72" s="487"/>
    </row>
    <row r="73" spans="2:17" s="420" customFormat="1" ht="11.25" x14ac:dyDescent="0.2">
      <c r="B73" s="1287"/>
      <c r="C73" s="1299"/>
      <c r="D73" s="482"/>
      <c r="E73" s="483">
        <v>1</v>
      </c>
      <c r="F73" s="484"/>
      <c r="G73" s="485"/>
      <c r="H73" s="486">
        <f t="shared" si="9"/>
        <v>0</v>
      </c>
      <c r="I73" s="487"/>
      <c r="J73" s="488"/>
      <c r="K73" s="489"/>
      <c r="L73" s="489"/>
      <c r="M73" s="489"/>
      <c r="N73" s="489"/>
      <c r="O73" s="488"/>
      <c r="P73" s="487"/>
    </row>
    <row r="74" spans="2:17" s="420" customFormat="1" ht="11.25" x14ac:dyDescent="0.2">
      <c r="B74" s="1287"/>
      <c r="C74" s="1299"/>
      <c r="D74" s="482"/>
      <c r="E74" s="483">
        <v>1</v>
      </c>
      <c r="F74" s="484"/>
      <c r="G74" s="485"/>
      <c r="H74" s="486">
        <f t="shared" si="9"/>
        <v>0</v>
      </c>
      <c r="I74" s="487"/>
      <c r="J74" s="488"/>
      <c r="K74" s="489"/>
      <c r="L74" s="489"/>
      <c r="M74" s="489"/>
      <c r="N74" s="489"/>
      <c r="O74" s="488"/>
      <c r="P74" s="487"/>
    </row>
    <row r="75" spans="2:17" s="420" customFormat="1" ht="11.25" x14ac:dyDescent="0.2">
      <c r="B75" s="1287"/>
      <c r="C75" s="1299"/>
      <c r="D75" s="482" t="s">
        <v>630</v>
      </c>
      <c r="E75" s="483">
        <v>1</v>
      </c>
      <c r="F75" s="484"/>
      <c r="G75" s="485"/>
      <c r="H75" s="486">
        <f t="shared" si="9"/>
        <v>0</v>
      </c>
      <c r="I75" s="875">
        <f>SUM(H69:H75)</f>
        <v>0</v>
      </c>
      <c r="J75" s="488">
        <f>I75*$J$5</f>
        <v>0</v>
      </c>
      <c r="K75" s="489">
        <f>SUM(I75:J75)*$K$5</f>
        <v>0</v>
      </c>
      <c r="L75" s="489">
        <f>SUM(I75:K75)*$L$5</f>
        <v>0</v>
      </c>
      <c r="M75" s="489">
        <f>SUM(I75:L75)*$M$5</f>
        <v>0</v>
      </c>
      <c r="N75" s="489">
        <f>SUM(I75:M75)*$N$5</f>
        <v>0</v>
      </c>
      <c r="O75" s="488">
        <f>SUM(I75:N75)</f>
        <v>0</v>
      </c>
      <c r="P75" s="487">
        <f>ROUND(O75,-3)</f>
        <v>0</v>
      </c>
      <c r="Q75" s="420" t="s">
        <v>600</v>
      </c>
    </row>
    <row r="76" spans="2:17" s="420" customFormat="1" ht="11.25" x14ac:dyDescent="0.2">
      <c r="B76" s="1287"/>
      <c r="C76" s="1299"/>
      <c r="D76" s="482"/>
      <c r="E76" s="483"/>
      <c r="F76" s="484"/>
      <c r="G76" s="485"/>
      <c r="H76" s="486"/>
      <c r="I76" s="487"/>
      <c r="J76" s="488"/>
      <c r="K76" s="489"/>
      <c r="L76" s="489"/>
      <c r="M76" s="489"/>
      <c r="N76" s="489"/>
      <c r="O76" s="488"/>
      <c r="P76" s="487"/>
    </row>
    <row r="77" spans="2:17" s="420" customFormat="1" ht="11.25" x14ac:dyDescent="0.2">
      <c r="B77" s="1287"/>
      <c r="C77" s="1299"/>
      <c r="D77" s="482" t="s">
        <v>557</v>
      </c>
      <c r="E77" s="483">
        <v>1</v>
      </c>
      <c r="F77" s="484"/>
      <c r="G77" s="485"/>
      <c r="H77" s="486">
        <f>E77*G77</f>
        <v>0</v>
      </c>
      <c r="I77" s="487"/>
      <c r="J77" s="488"/>
      <c r="K77" s="489"/>
      <c r="L77" s="489"/>
      <c r="M77" s="489"/>
      <c r="N77" s="489"/>
      <c r="O77" s="488"/>
      <c r="P77" s="487"/>
    </row>
    <row r="78" spans="2:17" s="420" customFormat="1" ht="11.25" x14ac:dyDescent="0.2">
      <c r="B78" s="1287"/>
      <c r="C78" s="1299"/>
      <c r="D78" s="482"/>
      <c r="E78" s="483">
        <v>1</v>
      </c>
      <c r="F78" s="484"/>
      <c r="G78" s="485"/>
      <c r="H78" s="486">
        <f>E78*G78</f>
        <v>0</v>
      </c>
      <c r="I78" s="487"/>
      <c r="J78" s="488"/>
      <c r="K78" s="489"/>
      <c r="L78" s="489"/>
      <c r="M78" s="489"/>
      <c r="N78" s="489"/>
      <c r="O78" s="488"/>
      <c r="P78" s="487"/>
    </row>
    <row r="79" spans="2:17" s="420" customFormat="1" ht="11.25" x14ac:dyDescent="0.2">
      <c r="B79" s="1287"/>
      <c r="C79" s="1299"/>
      <c r="D79" s="482"/>
      <c r="E79" s="483">
        <v>1</v>
      </c>
      <c r="F79" s="484"/>
      <c r="G79" s="485"/>
      <c r="H79" s="486">
        <f>E79*G79</f>
        <v>0</v>
      </c>
      <c r="I79" s="487"/>
      <c r="J79" s="488"/>
      <c r="K79" s="489"/>
      <c r="L79" s="489"/>
      <c r="M79" s="489"/>
      <c r="N79" s="489"/>
      <c r="O79" s="488"/>
      <c r="P79" s="487"/>
    </row>
    <row r="80" spans="2:17" s="420" customFormat="1" ht="11.25" x14ac:dyDescent="0.2">
      <c r="B80" s="1287"/>
      <c r="C80" s="1299"/>
      <c r="D80" s="482"/>
      <c r="E80" s="483">
        <v>1</v>
      </c>
      <c r="F80" s="484"/>
      <c r="G80" s="485"/>
      <c r="H80" s="486">
        <f>E80*G80</f>
        <v>0</v>
      </c>
      <c r="I80" s="487"/>
      <c r="J80" s="488"/>
      <c r="K80" s="489"/>
      <c r="L80" s="489"/>
      <c r="M80" s="489"/>
      <c r="N80" s="489"/>
      <c r="O80" s="488"/>
      <c r="P80" s="487"/>
    </row>
    <row r="81" spans="2:17" s="420" customFormat="1" ht="11.25" x14ac:dyDescent="0.2">
      <c r="B81" s="1287"/>
      <c r="C81" s="1299"/>
      <c r="D81" s="482"/>
      <c r="E81" s="483">
        <v>1</v>
      </c>
      <c r="F81" s="484"/>
      <c r="G81" s="485"/>
      <c r="H81" s="486">
        <f>E81*G81</f>
        <v>0</v>
      </c>
      <c r="I81" s="487"/>
      <c r="J81" s="488"/>
      <c r="K81" s="489"/>
      <c r="L81" s="489"/>
      <c r="M81" s="489"/>
      <c r="N81" s="489"/>
      <c r="O81" s="488"/>
      <c r="P81" s="487"/>
    </row>
    <row r="82" spans="2:17" s="420" customFormat="1" ht="11.25" x14ac:dyDescent="0.2">
      <c r="B82" s="1287"/>
      <c r="C82" s="1299"/>
      <c r="D82" s="482" t="s">
        <v>630</v>
      </c>
      <c r="E82" s="483">
        <v>1</v>
      </c>
      <c r="F82" s="484"/>
      <c r="G82" s="485"/>
      <c r="H82" s="486">
        <f t="shared" ref="H82" si="10">E82*G82</f>
        <v>0</v>
      </c>
      <c r="I82" s="905">
        <f>SUM(H76:H82)</f>
        <v>0</v>
      </c>
      <c r="J82" s="488">
        <f>I82*$J$5</f>
        <v>0</v>
      </c>
      <c r="K82" s="489">
        <f>SUM(I82:J82)*$K$5</f>
        <v>0</v>
      </c>
      <c r="L82" s="489">
        <f>SUM(I82:K82)*$L$5</f>
        <v>0</v>
      </c>
      <c r="M82" s="489">
        <f>SUM(I82:L82)*$M$5</f>
        <v>0</v>
      </c>
      <c r="N82" s="489">
        <f>SUM(I82:M82)*$N$5</f>
        <v>0</v>
      </c>
      <c r="O82" s="488">
        <f>SUM(I82:N82)</f>
        <v>0</v>
      </c>
      <c r="P82" s="487">
        <f>ROUND(O82,-3)</f>
        <v>0</v>
      </c>
      <c r="Q82" s="420" t="s">
        <v>600</v>
      </c>
    </row>
    <row r="83" spans="2:17" s="420" customFormat="1" ht="12" thickBot="1" x14ac:dyDescent="0.25">
      <c r="B83" s="1288"/>
      <c r="C83" s="1300"/>
      <c r="D83" s="444"/>
      <c r="E83" s="445"/>
      <c r="F83" s="446"/>
      <c r="G83" s="447"/>
      <c r="H83" s="448"/>
      <c r="I83" s="449"/>
      <c r="J83" s="450"/>
      <c r="K83" s="451"/>
      <c r="L83" s="451"/>
      <c r="M83" s="451"/>
      <c r="N83" s="451"/>
      <c r="O83" s="450"/>
      <c r="P83" s="449"/>
    </row>
    <row r="84" spans="2:17" s="420" customFormat="1" ht="11.25" x14ac:dyDescent="0.2">
      <c r="B84" s="1286" t="str">
        <f>'Detailed Matrix'!E137</f>
        <v>Ambient Noise Levels</v>
      </c>
      <c r="C84" s="1298" t="str">
        <f>'Detailed Matrix'!F137</f>
        <v>Stage 02 - 30dBA daytime
25dBA nighttime
LAFmax 45 (10x/night)
LASmax 35</v>
      </c>
      <c r="D84" s="435" t="s">
        <v>556</v>
      </c>
      <c r="E84" s="436"/>
      <c r="F84" s="437"/>
      <c r="G84" s="438"/>
      <c r="H84" s="439"/>
      <c r="I84" s="440"/>
      <c r="J84" s="441"/>
      <c r="K84" s="442"/>
      <c r="L84" s="442"/>
      <c r="M84" s="442"/>
      <c r="N84" s="442"/>
      <c r="O84" s="443"/>
      <c r="P84" s="440"/>
    </row>
    <row r="85" spans="2:17" s="420" customFormat="1" ht="11.25" x14ac:dyDescent="0.2">
      <c r="B85" s="1287"/>
      <c r="C85" s="1299"/>
      <c r="D85" s="435"/>
      <c r="E85" s="436">
        <v>1</v>
      </c>
      <c r="F85" s="437"/>
      <c r="G85" s="438"/>
      <c r="H85" s="439">
        <f t="shared" ref="H85:H90" si="11">E85*G85</f>
        <v>0</v>
      </c>
      <c r="I85" s="440"/>
      <c r="J85" s="441"/>
      <c r="K85" s="442"/>
      <c r="L85" s="442"/>
      <c r="M85" s="442"/>
      <c r="N85" s="442"/>
      <c r="O85" s="443"/>
      <c r="P85" s="440"/>
    </row>
    <row r="86" spans="2:17" s="420" customFormat="1" ht="11.25" x14ac:dyDescent="0.2">
      <c r="B86" s="1287"/>
      <c r="C86" s="1299"/>
      <c r="D86" s="435"/>
      <c r="E86" s="436">
        <v>1</v>
      </c>
      <c r="F86" s="437"/>
      <c r="G86" s="438"/>
      <c r="H86" s="439">
        <f t="shared" si="11"/>
        <v>0</v>
      </c>
      <c r="I86" s="440"/>
      <c r="J86" s="441"/>
      <c r="K86" s="442"/>
      <c r="L86" s="442"/>
      <c r="M86" s="442"/>
      <c r="N86" s="442"/>
      <c r="O86" s="443"/>
      <c r="P86" s="440"/>
    </row>
    <row r="87" spans="2:17" s="420" customFormat="1" ht="11.25" x14ac:dyDescent="0.2">
      <c r="B87" s="1287"/>
      <c r="C87" s="1299"/>
      <c r="D87" s="435"/>
      <c r="E87" s="436">
        <v>1</v>
      </c>
      <c r="F87" s="437"/>
      <c r="G87" s="438"/>
      <c r="H87" s="439">
        <f t="shared" si="11"/>
        <v>0</v>
      </c>
      <c r="I87" s="440"/>
      <c r="J87" s="441"/>
      <c r="K87" s="442"/>
      <c r="L87" s="442"/>
      <c r="M87" s="442"/>
      <c r="N87" s="442"/>
      <c r="O87" s="443"/>
      <c r="P87" s="440"/>
    </row>
    <row r="88" spans="2:17" s="420" customFormat="1" ht="11.25" x14ac:dyDescent="0.2">
      <c r="B88" s="1287"/>
      <c r="C88" s="1299"/>
      <c r="D88" s="435"/>
      <c r="E88" s="436">
        <v>1</v>
      </c>
      <c r="F88" s="437"/>
      <c r="G88" s="438"/>
      <c r="H88" s="439">
        <f t="shared" si="11"/>
        <v>0</v>
      </c>
      <c r="I88" s="440"/>
      <c r="J88" s="441"/>
      <c r="K88" s="442"/>
      <c r="L88" s="442"/>
      <c r="M88" s="442"/>
      <c r="N88" s="442"/>
      <c r="O88" s="443"/>
      <c r="P88" s="440"/>
    </row>
    <row r="89" spans="2:17" s="420" customFormat="1" ht="11.25" x14ac:dyDescent="0.2">
      <c r="B89" s="1287"/>
      <c r="C89" s="1299"/>
      <c r="D89" s="435" t="s">
        <v>610</v>
      </c>
      <c r="E89" s="436">
        <v>-1</v>
      </c>
      <c r="F89" s="437"/>
      <c r="G89" s="438">
        <f>I75</f>
        <v>0</v>
      </c>
      <c r="H89" s="439">
        <f t="shared" si="11"/>
        <v>0</v>
      </c>
      <c r="I89" s="440"/>
      <c r="J89" s="441"/>
      <c r="K89" s="442"/>
      <c r="L89" s="442"/>
      <c r="M89" s="442"/>
      <c r="N89" s="442"/>
      <c r="O89" s="443"/>
      <c r="P89" s="440"/>
    </row>
    <row r="90" spans="2:17" s="420" customFormat="1" ht="11.25" x14ac:dyDescent="0.2">
      <c r="B90" s="1287"/>
      <c r="C90" s="1299"/>
      <c r="D90" s="435"/>
      <c r="E90" s="436">
        <v>1</v>
      </c>
      <c r="F90" s="437"/>
      <c r="G90" s="438"/>
      <c r="H90" s="439">
        <f t="shared" si="11"/>
        <v>0</v>
      </c>
      <c r="I90" s="440"/>
      <c r="J90" s="441"/>
      <c r="K90" s="442"/>
      <c r="L90" s="442"/>
      <c r="M90" s="442"/>
      <c r="N90" s="442"/>
      <c r="O90" s="443"/>
      <c r="P90" s="440"/>
    </row>
    <row r="91" spans="2:17" s="420" customFormat="1" ht="11.25" x14ac:dyDescent="0.2">
      <c r="B91" s="1287"/>
      <c r="C91" s="1299"/>
      <c r="D91" s="435"/>
      <c r="E91" s="436"/>
      <c r="F91" s="437"/>
      <c r="G91" s="438"/>
      <c r="H91" s="439">
        <f>E91*G91</f>
        <v>0</v>
      </c>
      <c r="I91" s="863">
        <f>SUM(H84:H91)</f>
        <v>0</v>
      </c>
      <c r="J91" s="441">
        <f>I91*$J$5</f>
        <v>0</v>
      </c>
      <c r="K91" s="442">
        <f>SUM(I91:J91)*$K$5</f>
        <v>0</v>
      </c>
      <c r="L91" s="442">
        <f>SUM(I91:K91)*$L$5</f>
        <v>0</v>
      </c>
      <c r="M91" s="442">
        <f>SUM(I91:L91)*$M$5</f>
        <v>0</v>
      </c>
      <c r="N91" s="442">
        <f>SUM(I91:M91)*$N$5</f>
        <v>0</v>
      </c>
      <c r="O91" s="443">
        <f>SUM(I91:N91)</f>
        <v>0</v>
      </c>
      <c r="P91" s="440">
        <f>ROUND(O91,-3)</f>
        <v>0</v>
      </c>
      <c r="Q91" s="420" t="s">
        <v>600</v>
      </c>
    </row>
    <row r="92" spans="2:17" s="420" customFormat="1" ht="11.25" x14ac:dyDescent="0.2">
      <c r="B92" s="1287"/>
      <c r="C92" s="1299"/>
      <c r="D92" s="435"/>
      <c r="E92" s="436"/>
      <c r="F92" s="437"/>
      <c r="G92" s="438"/>
      <c r="H92" s="439"/>
      <c r="I92" s="440"/>
      <c r="J92" s="441"/>
      <c r="K92" s="442"/>
      <c r="L92" s="442"/>
      <c r="M92" s="442"/>
      <c r="N92" s="442"/>
      <c r="O92" s="443"/>
      <c r="P92" s="440"/>
    </row>
    <row r="93" spans="2:17" s="420" customFormat="1" ht="11.25" x14ac:dyDescent="0.2">
      <c r="B93" s="1287"/>
      <c r="C93" s="1299"/>
      <c r="D93" s="435" t="s">
        <v>557</v>
      </c>
      <c r="E93" s="436"/>
      <c r="F93" s="437"/>
      <c r="G93" s="438"/>
      <c r="H93" s="439"/>
      <c r="I93" s="440"/>
      <c r="J93" s="441"/>
      <c r="K93" s="442"/>
      <c r="L93" s="442"/>
      <c r="M93" s="442"/>
      <c r="N93" s="442"/>
      <c r="O93" s="443"/>
      <c r="P93" s="440"/>
    </row>
    <row r="94" spans="2:17" s="420" customFormat="1" ht="11.25" x14ac:dyDescent="0.2">
      <c r="B94" s="1287"/>
      <c r="C94" s="1299"/>
      <c r="D94" s="435"/>
      <c r="E94" s="436">
        <v>1</v>
      </c>
      <c r="F94" s="437"/>
      <c r="G94" s="438"/>
      <c r="H94" s="439">
        <f t="shared" ref="H94:H98" si="12">E94*G94</f>
        <v>0</v>
      </c>
      <c r="I94" s="440"/>
      <c r="J94" s="441"/>
      <c r="K94" s="442"/>
      <c r="L94" s="442"/>
      <c r="M94" s="442"/>
      <c r="N94" s="442"/>
      <c r="O94" s="443"/>
      <c r="P94" s="440"/>
    </row>
    <row r="95" spans="2:17" s="420" customFormat="1" ht="11.25" x14ac:dyDescent="0.2">
      <c r="B95" s="1287"/>
      <c r="C95" s="1299"/>
      <c r="D95" s="435"/>
      <c r="E95" s="436">
        <v>1</v>
      </c>
      <c r="F95" s="437"/>
      <c r="G95" s="438"/>
      <c r="H95" s="439">
        <f t="shared" si="12"/>
        <v>0</v>
      </c>
      <c r="I95" s="440"/>
      <c r="J95" s="441"/>
      <c r="K95" s="442"/>
      <c r="L95" s="442"/>
      <c r="M95" s="442"/>
      <c r="N95" s="442"/>
      <c r="O95" s="443"/>
      <c r="P95" s="440"/>
    </row>
    <row r="96" spans="2:17" s="420" customFormat="1" ht="11.25" x14ac:dyDescent="0.2">
      <c r="B96" s="1287"/>
      <c r="C96" s="1299"/>
      <c r="D96" s="435"/>
      <c r="E96" s="436">
        <v>1</v>
      </c>
      <c r="F96" s="437"/>
      <c r="G96" s="438"/>
      <c r="H96" s="439">
        <f t="shared" si="12"/>
        <v>0</v>
      </c>
      <c r="I96" s="440"/>
      <c r="J96" s="441"/>
      <c r="K96" s="442"/>
      <c r="L96" s="442"/>
      <c r="M96" s="442"/>
      <c r="N96" s="442"/>
      <c r="O96" s="443"/>
      <c r="P96" s="440"/>
    </row>
    <row r="97" spans="2:17" s="420" customFormat="1" ht="11.25" x14ac:dyDescent="0.2">
      <c r="B97" s="1287"/>
      <c r="C97" s="1299"/>
      <c r="D97" s="435"/>
      <c r="E97" s="436">
        <v>1</v>
      </c>
      <c r="F97" s="437"/>
      <c r="G97" s="438"/>
      <c r="H97" s="439">
        <f t="shared" si="12"/>
        <v>0</v>
      </c>
      <c r="I97" s="440"/>
      <c r="J97" s="441"/>
      <c r="K97" s="442"/>
      <c r="L97" s="442"/>
      <c r="M97" s="442"/>
      <c r="N97" s="442"/>
      <c r="O97" s="443"/>
      <c r="P97" s="440"/>
    </row>
    <row r="98" spans="2:17" s="420" customFormat="1" ht="11.25" x14ac:dyDescent="0.2">
      <c r="B98" s="1287"/>
      <c r="C98" s="1299"/>
      <c r="D98" s="435" t="s">
        <v>610</v>
      </c>
      <c r="E98" s="436">
        <v>-1</v>
      </c>
      <c r="F98" s="437" t="s">
        <v>576</v>
      </c>
      <c r="G98" s="438">
        <f>I82</f>
        <v>0</v>
      </c>
      <c r="H98" s="439">
        <f t="shared" si="12"/>
        <v>0</v>
      </c>
      <c r="I98" s="865">
        <f>SUM(H93:H98)</f>
        <v>0</v>
      </c>
      <c r="J98" s="441">
        <f>I98*$J$5</f>
        <v>0</v>
      </c>
      <c r="K98" s="442">
        <f>SUM(I98:J98)*$K$5</f>
        <v>0</v>
      </c>
      <c r="L98" s="442">
        <f>SUM(I98:K98)*$L$5</f>
        <v>0</v>
      </c>
      <c r="M98" s="442">
        <f>SUM(I98:L98)*$M$5</f>
        <v>0</v>
      </c>
      <c r="N98" s="442">
        <f>SUM(I98:M98)*$N$5</f>
        <v>0</v>
      </c>
      <c r="O98" s="443">
        <f>SUM(I98:N98)</f>
        <v>0</v>
      </c>
      <c r="P98" s="440">
        <f>ROUND(O98,-3)</f>
        <v>0</v>
      </c>
      <c r="Q98" s="420" t="s">
        <v>600</v>
      </c>
    </row>
    <row r="99" spans="2:17" s="420" customFormat="1" ht="12" thickBot="1" x14ac:dyDescent="0.25">
      <c r="B99" s="1288"/>
      <c r="C99" s="1300"/>
      <c r="D99" s="444"/>
      <c r="E99" s="445"/>
      <c r="F99" s="446"/>
      <c r="G99" s="447"/>
      <c r="H99" s="448"/>
      <c r="I99" s="449"/>
      <c r="J99" s="477"/>
      <c r="K99" s="478"/>
      <c r="L99" s="478"/>
      <c r="M99" s="478"/>
      <c r="N99" s="478"/>
      <c r="O99" s="450"/>
      <c r="P99" s="449"/>
    </row>
    <row r="100" spans="2:17" s="420" customFormat="1" ht="11.25" x14ac:dyDescent="0.2">
      <c r="B100" s="1286" t="str">
        <f>'Detailed Matrix'!E138</f>
        <v>Ambient Noise Levels</v>
      </c>
      <c r="C100" s="1298" t="str">
        <f>'Detailed Matrix'!F138</f>
        <v>Stage 03 - 30dBA daytime
25dBA nighttime
LAFmax 42,1min
LASmax 35
Higher spec. glazing
Higher spec. vent attenuation</v>
      </c>
      <c r="D100" s="435" t="s">
        <v>556</v>
      </c>
      <c r="E100" s="436"/>
      <c r="F100" s="437"/>
      <c r="G100" s="438"/>
      <c r="H100" s="439"/>
      <c r="I100" s="440"/>
      <c r="J100" s="441"/>
      <c r="K100" s="442"/>
      <c r="L100" s="442"/>
      <c r="M100" s="442"/>
      <c r="N100" s="442"/>
      <c r="O100" s="443"/>
      <c r="P100" s="440"/>
    </row>
    <row r="101" spans="2:17" s="420" customFormat="1" ht="11.25" x14ac:dyDescent="0.2">
      <c r="B101" s="1287"/>
      <c r="C101" s="1299"/>
      <c r="D101" s="435"/>
      <c r="E101" s="436">
        <v>1</v>
      </c>
      <c r="F101" s="437"/>
      <c r="G101" s="438"/>
      <c r="H101" s="439">
        <f t="shared" ref="H101:H103" si="13">E101*G101</f>
        <v>0</v>
      </c>
      <c r="I101" s="440"/>
      <c r="J101" s="441"/>
      <c r="K101" s="442"/>
      <c r="L101" s="442"/>
      <c r="M101" s="442"/>
      <c r="N101" s="442"/>
      <c r="O101" s="443"/>
      <c r="P101" s="440"/>
    </row>
    <row r="102" spans="2:17" s="420" customFormat="1" ht="11.25" x14ac:dyDescent="0.2">
      <c r="B102" s="1287"/>
      <c r="C102" s="1299"/>
      <c r="D102" s="435"/>
      <c r="E102" s="436">
        <v>1</v>
      </c>
      <c r="F102" s="437"/>
      <c r="G102" s="438"/>
      <c r="H102" s="439">
        <f t="shared" si="13"/>
        <v>0</v>
      </c>
      <c r="I102" s="440"/>
      <c r="J102" s="441"/>
      <c r="K102" s="442"/>
      <c r="L102" s="442"/>
      <c r="M102" s="442"/>
      <c r="N102" s="442"/>
      <c r="O102" s="443"/>
      <c r="P102" s="440"/>
    </row>
    <row r="103" spans="2:17" s="420" customFormat="1" ht="11.25" x14ac:dyDescent="0.2">
      <c r="B103" s="1287"/>
      <c r="C103" s="1299"/>
      <c r="D103" s="435"/>
      <c r="E103" s="436">
        <v>1</v>
      </c>
      <c r="F103" s="437"/>
      <c r="G103" s="438"/>
      <c r="H103" s="439">
        <f t="shared" si="13"/>
        <v>0</v>
      </c>
      <c r="I103" s="440"/>
      <c r="J103" s="441"/>
      <c r="K103" s="442"/>
      <c r="L103" s="442"/>
      <c r="M103" s="442"/>
      <c r="N103" s="442"/>
      <c r="O103" s="443"/>
      <c r="P103" s="440"/>
    </row>
    <row r="104" spans="2:17" s="420" customFormat="1" ht="11.25" x14ac:dyDescent="0.2">
      <c r="B104" s="1287"/>
      <c r="C104" s="1299"/>
      <c r="D104" s="435"/>
      <c r="E104" s="436">
        <v>1</v>
      </c>
      <c r="F104" s="437"/>
      <c r="G104" s="438"/>
      <c r="H104" s="439">
        <f>E104*G104</f>
        <v>0</v>
      </c>
      <c r="I104" s="440"/>
      <c r="J104" s="441"/>
      <c r="K104" s="442"/>
      <c r="L104" s="442"/>
      <c r="M104" s="442"/>
      <c r="N104" s="442"/>
      <c r="O104" s="443"/>
      <c r="P104" s="440"/>
    </row>
    <row r="105" spans="2:17" s="420" customFormat="1" ht="11.25" x14ac:dyDescent="0.2">
      <c r="B105" s="1287"/>
      <c r="C105" s="1299"/>
      <c r="D105" s="435" t="s">
        <v>615</v>
      </c>
      <c r="E105" s="436">
        <v>-1</v>
      </c>
      <c r="F105" s="437"/>
      <c r="G105" s="438">
        <f>I91+I75</f>
        <v>0</v>
      </c>
      <c r="H105" s="439">
        <f>E105*G105</f>
        <v>0</v>
      </c>
      <c r="I105" s="440"/>
      <c r="J105" s="441"/>
      <c r="K105" s="442"/>
      <c r="L105" s="442"/>
      <c r="M105" s="442"/>
      <c r="N105" s="442"/>
      <c r="O105" s="443"/>
      <c r="P105" s="440"/>
    </row>
    <row r="106" spans="2:17" s="420" customFormat="1" ht="11.25" x14ac:dyDescent="0.2">
      <c r="B106" s="1287"/>
      <c r="C106" s="1299"/>
      <c r="D106" s="435"/>
      <c r="E106" s="436">
        <v>1</v>
      </c>
      <c r="F106" s="437"/>
      <c r="G106" s="438"/>
      <c r="H106" s="439">
        <f t="shared" ref="H106" si="14">E106*G106</f>
        <v>0</v>
      </c>
      <c r="I106" s="440"/>
      <c r="J106" s="441"/>
      <c r="K106" s="442"/>
      <c r="L106" s="442"/>
      <c r="M106" s="442"/>
      <c r="N106" s="442"/>
      <c r="O106" s="443"/>
      <c r="P106" s="440"/>
    </row>
    <row r="107" spans="2:17" s="420" customFormat="1" ht="11.25" x14ac:dyDescent="0.2">
      <c r="B107" s="1287"/>
      <c r="C107" s="1299"/>
      <c r="D107" s="435"/>
      <c r="E107" s="436"/>
      <c r="F107" s="437"/>
      <c r="G107" s="438"/>
      <c r="H107" s="439">
        <f>E107*G107</f>
        <v>0</v>
      </c>
      <c r="I107" s="863">
        <f>SUM(H100:H107)</f>
        <v>0</v>
      </c>
      <c r="J107" s="441">
        <f>I107*$J$5</f>
        <v>0</v>
      </c>
      <c r="K107" s="442">
        <f>SUM(I107:J107)*$K$5</f>
        <v>0</v>
      </c>
      <c r="L107" s="442">
        <f>SUM(I107:K107)*$L$5</f>
        <v>0</v>
      </c>
      <c r="M107" s="442">
        <f>SUM(I107:L107)*$M$5</f>
        <v>0</v>
      </c>
      <c r="N107" s="442">
        <f>SUM(I107:M107)*$N$5</f>
        <v>0</v>
      </c>
      <c r="O107" s="443">
        <f>SUM(I107:N107)</f>
        <v>0</v>
      </c>
      <c r="P107" s="440">
        <f>ROUND(O107,-3)</f>
        <v>0</v>
      </c>
      <c r="Q107" s="420" t="s">
        <v>600</v>
      </c>
    </row>
    <row r="108" spans="2:17" s="420" customFormat="1" ht="11.25" x14ac:dyDescent="0.2">
      <c r="B108" s="1287"/>
      <c r="C108" s="1299"/>
      <c r="D108" s="435"/>
      <c r="E108" s="436"/>
      <c r="F108" s="437"/>
      <c r="G108" s="438"/>
      <c r="H108" s="439"/>
      <c r="I108" s="440"/>
      <c r="J108" s="441"/>
      <c r="K108" s="442"/>
      <c r="L108" s="442"/>
      <c r="M108" s="442"/>
      <c r="N108" s="442"/>
      <c r="O108" s="443"/>
      <c r="P108" s="440"/>
    </row>
    <row r="109" spans="2:17" s="420" customFormat="1" ht="11.25" x14ac:dyDescent="0.2">
      <c r="B109" s="1287"/>
      <c r="C109" s="1299"/>
      <c r="D109" s="435" t="s">
        <v>557</v>
      </c>
      <c r="E109" s="436"/>
      <c r="F109" s="437"/>
      <c r="G109" s="438"/>
      <c r="H109" s="439"/>
      <c r="I109" s="440"/>
      <c r="J109" s="441"/>
      <c r="K109" s="442"/>
      <c r="L109" s="442"/>
      <c r="M109" s="442"/>
      <c r="N109" s="442"/>
      <c r="O109" s="443"/>
      <c r="P109" s="440"/>
    </row>
    <row r="110" spans="2:17" s="420" customFormat="1" ht="11.25" x14ac:dyDescent="0.2">
      <c r="B110" s="1287"/>
      <c r="C110" s="1299"/>
      <c r="D110" s="435"/>
      <c r="E110" s="436">
        <v>1</v>
      </c>
      <c r="F110" s="437"/>
      <c r="G110" s="438"/>
      <c r="H110" s="439">
        <f t="shared" ref="H110:H114" si="15">E110*G110</f>
        <v>0</v>
      </c>
      <c r="I110" s="440"/>
      <c r="J110" s="441"/>
      <c r="K110" s="442"/>
      <c r="L110" s="442"/>
      <c r="M110" s="442"/>
      <c r="N110" s="442"/>
      <c r="O110" s="443"/>
      <c r="P110" s="440"/>
    </row>
    <row r="111" spans="2:17" s="420" customFormat="1" ht="11.25" x14ac:dyDescent="0.2">
      <c r="B111" s="1287"/>
      <c r="C111" s="1299"/>
      <c r="D111" s="435"/>
      <c r="E111" s="436">
        <v>1</v>
      </c>
      <c r="F111" s="437"/>
      <c r="G111" s="438"/>
      <c r="H111" s="439">
        <f t="shared" si="15"/>
        <v>0</v>
      </c>
      <c r="I111" s="440"/>
      <c r="J111" s="441"/>
      <c r="K111" s="442"/>
      <c r="L111" s="442"/>
      <c r="M111" s="442"/>
      <c r="N111" s="442"/>
      <c r="O111" s="443"/>
      <c r="P111" s="440"/>
    </row>
    <row r="112" spans="2:17" s="420" customFormat="1" ht="11.25" x14ac:dyDescent="0.2">
      <c r="B112" s="1287"/>
      <c r="C112" s="1299"/>
      <c r="D112" s="435"/>
      <c r="E112" s="436">
        <v>1</v>
      </c>
      <c r="F112" s="437"/>
      <c r="G112" s="438"/>
      <c r="H112" s="439">
        <f t="shared" si="15"/>
        <v>0</v>
      </c>
      <c r="I112" s="440"/>
      <c r="J112" s="441"/>
      <c r="K112" s="442"/>
      <c r="L112" s="442"/>
      <c r="M112" s="442"/>
      <c r="N112" s="442"/>
      <c r="O112" s="443"/>
      <c r="P112" s="440"/>
    </row>
    <row r="113" spans="2:17" s="420" customFormat="1" ht="11.25" x14ac:dyDescent="0.2">
      <c r="B113" s="1287"/>
      <c r="C113" s="1299"/>
      <c r="D113" s="435"/>
      <c r="E113" s="436">
        <v>1</v>
      </c>
      <c r="F113" s="437"/>
      <c r="G113" s="438"/>
      <c r="H113" s="439">
        <f t="shared" si="15"/>
        <v>0</v>
      </c>
      <c r="I113" s="440"/>
      <c r="J113" s="441"/>
      <c r="K113" s="442"/>
      <c r="L113" s="442"/>
      <c r="M113" s="442"/>
      <c r="N113" s="442"/>
      <c r="O113" s="443"/>
      <c r="P113" s="440"/>
    </row>
    <row r="114" spans="2:17" s="420" customFormat="1" ht="11.25" x14ac:dyDescent="0.2">
      <c r="B114" s="1287"/>
      <c r="C114" s="1299"/>
      <c r="D114" s="435" t="s">
        <v>615</v>
      </c>
      <c r="E114" s="436">
        <v>-1</v>
      </c>
      <c r="F114" s="437" t="s">
        <v>576</v>
      </c>
      <c r="G114" s="438">
        <f>I98+I82</f>
        <v>0</v>
      </c>
      <c r="H114" s="439">
        <f t="shared" si="15"/>
        <v>0</v>
      </c>
      <c r="I114" s="865">
        <f>SUM(H109:H114)</f>
        <v>0</v>
      </c>
      <c r="J114" s="441">
        <f>I114*$J$5</f>
        <v>0</v>
      </c>
      <c r="K114" s="442">
        <f>SUM(I114:J114)*$K$5</f>
        <v>0</v>
      </c>
      <c r="L114" s="442">
        <f>SUM(I114:K114)*$L$5</f>
        <v>0</v>
      </c>
      <c r="M114" s="442">
        <f>SUM(I114:L114)*$M$5</f>
        <v>0</v>
      </c>
      <c r="N114" s="442">
        <f>SUM(I114:M114)*$N$5</f>
        <v>0</v>
      </c>
      <c r="O114" s="443">
        <f>SUM(I114:N114)</f>
        <v>0</v>
      </c>
      <c r="P114" s="440">
        <f>ROUND(O114,-3)</f>
        <v>0</v>
      </c>
      <c r="Q114" s="420" t="s">
        <v>600</v>
      </c>
    </row>
    <row r="115" spans="2:17" s="420" customFormat="1" ht="12" thickBot="1" x14ac:dyDescent="0.25">
      <c r="B115" s="1288"/>
      <c r="C115" s="1300"/>
      <c r="D115" s="444"/>
      <c r="E115" s="445"/>
      <c r="F115" s="446"/>
      <c r="G115" s="447"/>
      <c r="H115" s="448"/>
      <c r="I115" s="449"/>
      <c r="J115" s="477"/>
      <c r="K115" s="478"/>
      <c r="L115" s="478"/>
      <c r="M115" s="478"/>
      <c r="N115" s="478"/>
      <c r="O115" s="450"/>
      <c r="P115" s="449"/>
    </row>
    <row r="116" spans="2:17" s="420" customFormat="1" ht="11.25" x14ac:dyDescent="0.2">
      <c r="B116" s="1286" t="str">
        <f>'Detailed Matrix'!E139</f>
        <v>Ambient Noise Levels</v>
      </c>
      <c r="C116" s="1298" t="str">
        <f>'Detailed Matrix'!F139</f>
        <v xml:space="preserve">Stage 04 - 30dBA daytime
25dBA nighttime
LAFmax 42,1min
LASmax 30
Structural vibration isolation more likely </v>
      </c>
      <c r="D116" s="435" t="s">
        <v>556</v>
      </c>
      <c r="E116" s="436"/>
      <c r="F116" s="437"/>
      <c r="G116" s="438"/>
      <c r="H116" s="439"/>
      <c r="I116" s="440"/>
      <c r="J116" s="441"/>
      <c r="K116" s="442"/>
      <c r="L116" s="442"/>
      <c r="M116" s="442"/>
      <c r="N116" s="442"/>
      <c r="O116" s="443"/>
      <c r="P116" s="440"/>
    </row>
    <row r="117" spans="2:17" s="420" customFormat="1" ht="11.25" x14ac:dyDescent="0.2">
      <c r="B117" s="1287"/>
      <c r="C117" s="1299"/>
      <c r="D117" s="435"/>
      <c r="E117" s="436">
        <v>1</v>
      </c>
      <c r="F117" s="437"/>
      <c r="G117" s="438"/>
      <c r="H117" s="439">
        <f t="shared" ref="H117:H119" si="16">E117*G117</f>
        <v>0</v>
      </c>
      <c r="I117" s="440"/>
      <c r="J117" s="441"/>
      <c r="K117" s="442"/>
      <c r="L117" s="442"/>
      <c r="M117" s="442"/>
      <c r="N117" s="442"/>
      <c r="O117" s="443"/>
      <c r="P117" s="440"/>
    </row>
    <row r="118" spans="2:17" s="420" customFormat="1" ht="11.25" x14ac:dyDescent="0.2">
      <c r="B118" s="1287"/>
      <c r="C118" s="1299"/>
      <c r="D118" s="435"/>
      <c r="E118" s="436">
        <v>1</v>
      </c>
      <c r="F118" s="437"/>
      <c r="G118" s="438"/>
      <c r="H118" s="439">
        <f t="shared" si="16"/>
        <v>0</v>
      </c>
      <c r="I118" s="440"/>
      <c r="J118" s="441"/>
      <c r="K118" s="442"/>
      <c r="L118" s="442"/>
      <c r="M118" s="442"/>
      <c r="N118" s="442"/>
      <c r="O118" s="443"/>
      <c r="P118" s="440"/>
    </row>
    <row r="119" spans="2:17" s="420" customFormat="1" ht="11.25" x14ac:dyDescent="0.2">
      <c r="B119" s="1287"/>
      <c r="C119" s="1299"/>
      <c r="D119" s="435"/>
      <c r="E119" s="436">
        <v>1</v>
      </c>
      <c r="F119" s="437"/>
      <c r="G119" s="438"/>
      <c r="H119" s="439">
        <f t="shared" si="16"/>
        <v>0</v>
      </c>
      <c r="I119" s="440"/>
      <c r="J119" s="441"/>
      <c r="K119" s="442"/>
      <c r="L119" s="442"/>
      <c r="M119" s="442"/>
      <c r="N119" s="442"/>
      <c r="O119" s="443"/>
      <c r="P119" s="440"/>
    </row>
    <row r="120" spans="2:17" s="420" customFormat="1" ht="11.25" x14ac:dyDescent="0.2">
      <c r="B120" s="1287"/>
      <c r="C120" s="1299"/>
      <c r="D120" s="435"/>
      <c r="E120" s="436">
        <v>1</v>
      </c>
      <c r="F120" s="437"/>
      <c r="G120" s="438"/>
      <c r="H120" s="439">
        <f>E120*G120</f>
        <v>0</v>
      </c>
      <c r="I120" s="440"/>
      <c r="J120" s="441"/>
      <c r="K120" s="442"/>
      <c r="L120" s="442"/>
      <c r="M120" s="442"/>
      <c r="N120" s="442"/>
      <c r="O120" s="443"/>
      <c r="P120" s="440"/>
    </row>
    <row r="121" spans="2:17" s="420" customFormat="1" ht="11.25" x14ac:dyDescent="0.2">
      <c r="B121" s="1287"/>
      <c r="C121" s="1299"/>
      <c r="D121" s="435" t="s">
        <v>629</v>
      </c>
      <c r="E121" s="436">
        <v>-1</v>
      </c>
      <c r="F121" s="437"/>
      <c r="G121" s="438">
        <f>I107+I91+I75</f>
        <v>0</v>
      </c>
      <c r="H121" s="439">
        <f>E121*G121</f>
        <v>0</v>
      </c>
      <c r="I121" s="440"/>
      <c r="J121" s="441"/>
      <c r="K121" s="442"/>
      <c r="L121" s="442"/>
      <c r="M121" s="442"/>
      <c r="N121" s="442"/>
      <c r="O121" s="443"/>
      <c r="P121" s="440"/>
    </row>
    <row r="122" spans="2:17" s="420" customFormat="1" ht="11.25" x14ac:dyDescent="0.2">
      <c r="B122" s="1287"/>
      <c r="C122" s="1299"/>
      <c r="D122" s="435"/>
      <c r="E122" s="436">
        <v>1</v>
      </c>
      <c r="F122" s="437"/>
      <c r="G122" s="438"/>
      <c r="H122" s="439">
        <f t="shared" ref="H122" si="17">E122*G122</f>
        <v>0</v>
      </c>
      <c r="I122" s="440"/>
      <c r="J122" s="441"/>
      <c r="K122" s="442"/>
      <c r="L122" s="442"/>
      <c r="M122" s="442"/>
      <c r="N122" s="442"/>
      <c r="O122" s="443"/>
      <c r="P122" s="440"/>
    </row>
    <row r="123" spans="2:17" s="420" customFormat="1" ht="11.25" x14ac:dyDescent="0.2">
      <c r="B123" s="1287"/>
      <c r="C123" s="1299"/>
      <c r="D123" s="435"/>
      <c r="E123" s="436"/>
      <c r="F123" s="437"/>
      <c r="G123" s="438"/>
      <c r="H123" s="439">
        <f>E123*G123</f>
        <v>0</v>
      </c>
      <c r="I123" s="863">
        <f>SUM(H116:H123)</f>
        <v>0</v>
      </c>
      <c r="J123" s="441">
        <f>I123*$J$5</f>
        <v>0</v>
      </c>
      <c r="K123" s="442">
        <f>SUM(I123:J123)*$K$5</f>
        <v>0</v>
      </c>
      <c r="L123" s="442">
        <f>SUM(I123:K123)*$L$5</f>
        <v>0</v>
      </c>
      <c r="M123" s="442">
        <f>SUM(I123:L123)*$M$5</f>
        <v>0</v>
      </c>
      <c r="N123" s="442">
        <f>SUM(I123:M123)*$N$5</f>
        <v>0</v>
      </c>
      <c r="O123" s="443">
        <f>SUM(I123:N123)</f>
        <v>0</v>
      </c>
      <c r="P123" s="440">
        <f>ROUND(O123,-3)</f>
        <v>0</v>
      </c>
      <c r="Q123" s="420" t="s">
        <v>600</v>
      </c>
    </row>
    <row r="124" spans="2:17" s="420" customFormat="1" ht="11.25" x14ac:dyDescent="0.2">
      <c r="B124" s="1287"/>
      <c r="C124" s="1299"/>
      <c r="D124" s="435"/>
      <c r="E124" s="436"/>
      <c r="F124" s="437"/>
      <c r="G124" s="438"/>
      <c r="H124" s="439"/>
      <c r="I124" s="440"/>
      <c r="J124" s="441"/>
      <c r="K124" s="442"/>
      <c r="L124" s="442"/>
      <c r="M124" s="442"/>
      <c r="N124" s="442"/>
      <c r="O124" s="443"/>
      <c r="P124" s="440"/>
    </row>
    <row r="125" spans="2:17" s="420" customFormat="1" ht="11.25" x14ac:dyDescent="0.2">
      <c r="B125" s="1287"/>
      <c r="C125" s="1299"/>
      <c r="D125" s="435" t="s">
        <v>557</v>
      </c>
      <c r="E125" s="436"/>
      <c r="F125" s="437"/>
      <c r="G125" s="438"/>
      <c r="H125" s="439"/>
      <c r="I125" s="440"/>
      <c r="J125" s="441"/>
      <c r="K125" s="442"/>
      <c r="L125" s="442"/>
      <c r="M125" s="442"/>
      <c r="N125" s="442"/>
      <c r="O125" s="443"/>
      <c r="P125" s="440"/>
    </row>
    <row r="126" spans="2:17" s="420" customFormat="1" ht="11.25" x14ac:dyDescent="0.2">
      <c r="B126" s="1287"/>
      <c r="C126" s="1299"/>
      <c r="D126" s="435"/>
      <c r="E126" s="436">
        <v>1</v>
      </c>
      <c r="F126" s="437"/>
      <c r="G126" s="438"/>
      <c r="H126" s="439">
        <f t="shared" ref="H126:H130" si="18">E126*G126</f>
        <v>0</v>
      </c>
      <c r="I126" s="440"/>
      <c r="J126" s="441"/>
      <c r="K126" s="442"/>
      <c r="L126" s="442"/>
      <c r="M126" s="442"/>
      <c r="N126" s="442"/>
      <c r="O126" s="443"/>
      <c r="P126" s="440"/>
    </row>
    <row r="127" spans="2:17" s="420" customFormat="1" ht="11.25" x14ac:dyDescent="0.2">
      <c r="B127" s="1287"/>
      <c r="C127" s="1299"/>
      <c r="D127" s="435"/>
      <c r="E127" s="436">
        <v>1</v>
      </c>
      <c r="F127" s="437"/>
      <c r="G127" s="438"/>
      <c r="H127" s="439">
        <f t="shared" si="18"/>
        <v>0</v>
      </c>
      <c r="I127" s="440"/>
      <c r="J127" s="441"/>
      <c r="K127" s="442"/>
      <c r="L127" s="442"/>
      <c r="M127" s="442"/>
      <c r="N127" s="442"/>
      <c r="O127" s="443"/>
      <c r="P127" s="440"/>
    </row>
    <row r="128" spans="2:17" s="420" customFormat="1" ht="11.25" x14ac:dyDescent="0.2">
      <c r="B128" s="1287"/>
      <c r="C128" s="1299"/>
      <c r="D128" s="435"/>
      <c r="E128" s="436">
        <v>1</v>
      </c>
      <c r="F128" s="437"/>
      <c r="G128" s="438"/>
      <c r="H128" s="439">
        <f t="shared" si="18"/>
        <v>0</v>
      </c>
      <c r="I128" s="440"/>
      <c r="J128" s="441"/>
      <c r="K128" s="442"/>
      <c r="L128" s="442"/>
      <c r="M128" s="442"/>
      <c r="N128" s="442"/>
      <c r="O128" s="443"/>
      <c r="P128" s="440"/>
    </row>
    <row r="129" spans="2:17" s="420" customFormat="1" ht="11.25" x14ac:dyDescent="0.2">
      <c r="B129" s="1287"/>
      <c r="C129" s="1299"/>
      <c r="D129" s="435"/>
      <c r="E129" s="436">
        <v>1</v>
      </c>
      <c r="F129" s="437"/>
      <c r="G129" s="438"/>
      <c r="H129" s="439">
        <f t="shared" si="18"/>
        <v>0</v>
      </c>
      <c r="I129" s="440"/>
      <c r="J129" s="441"/>
      <c r="K129" s="442"/>
      <c r="L129" s="442"/>
      <c r="M129" s="442"/>
      <c r="N129" s="442"/>
      <c r="O129" s="443"/>
      <c r="P129" s="440"/>
    </row>
    <row r="130" spans="2:17" s="420" customFormat="1" ht="11.25" x14ac:dyDescent="0.2">
      <c r="B130" s="1287"/>
      <c r="C130" s="1299"/>
      <c r="D130" s="435" t="s">
        <v>629</v>
      </c>
      <c r="E130" s="436">
        <v>-1</v>
      </c>
      <c r="F130" s="437" t="s">
        <v>576</v>
      </c>
      <c r="G130" s="438">
        <f>I114+I98+I82</f>
        <v>0</v>
      </c>
      <c r="H130" s="439">
        <f t="shared" si="18"/>
        <v>0</v>
      </c>
      <c r="I130" s="865">
        <f>SUM(H125:H130)</f>
        <v>0</v>
      </c>
      <c r="J130" s="441">
        <f>I130*$J$5</f>
        <v>0</v>
      </c>
      <c r="K130" s="442">
        <f>SUM(I130:J130)*$K$5</f>
        <v>0</v>
      </c>
      <c r="L130" s="442">
        <f>SUM(I130:K130)*$L$5</f>
        <v>0</v>
      </c>
      <c r="M130" s="442">
        <f>SUM(I130:L130)*$M$5</f>
        <v>0</v>
      </c>
      <c r="N130" s="442">
        <f>SUM(I130:M130)*$N$5</f>
        <v>0</v>
      </c>
      <c r="O130" s="443">
        <f>SUM(I130:N130)</f>
        <v>0</v>
      </c>
      <c r="P130" s="440">
        <f>ROUND(O130,-3)</f>
        <v>0</v>
      </c>
      <c r="Q130" s="420" t="s">
        <v>600</v>
      </c>
    </row>
    <row r="131" spans="2:17" s="420" customFormat="1" ht="12" thickBot="1" x14ac:dyDescent="0.25">
      <c r="B131" s="1288"/>
      <c r="C131" s="1300"/>
      <c r="D131" s="444"/>
      <c r="E131" s="445"/>
      <c r="F131" s="446"/>
      <c r="G131" s="447"/>
      <c r="H131" s="448"/>
      <c r="I131" s="449"/>
      <c r="J131" s="477"/>
      <c r="K131" s="478"/>
      <c r="L131" s="478"/>
      <c r="M131" s="478"/>
      <c r="N131" s="478"/>
      <c r="O131" s="450"/>
      <c r="P131" s="449"/>
    </row>
    <row r="132" spans="2:17" s="420" customFormat="1" ht="11.25" x14ac:dyDescent="0.2">
      <c r="B132" s="1286" t="str">
        <f>'Detailed Matrix'!E140</f>
        <v>Service Noise Levels</v>
      </c>
      <c r="C132" s="1298" t="str">
        <f>'Detailed Matrix'!F140</f>
        <v>Stage 01 - NR 30 daytime
NR25 nighttime</v>
      </c>
      <c r="D132" s="435" t="s">
        <v>556</v>
      </c>
      <c r="E132" s="436">
        <v>1</v>
      </c>
      <c r="F132" s="437"/>
      <c r="G132" s="438"/>
      <c r="H132" s="439">
        <f t="shared" ref="H132:H138" si="19">E132*G132</f>
        <v>0</v>
      </c>
      <c r="I132" s="440"/>
      <c r="J132" s="441"/>
      <c r="K132" s="442"/>
      <c r="L132" s="442"/>
      <c r="M132" s="442"/>
      <c r="N132" s="442"/>
      <c r="O132" s="443"/>
      <c r="P132" s="440"/>
    </row>
    <row r="133" spans="2:17" s="420" customFormat="1" ht="11.25" x14ac:dyDescent="0.2">
      <c r="B133" s="1287"/>
      <c r="C133" s="1299"/>
      <c r="D133" s="435"/>
      <c r="E133" s="436">
        <v>1</v>
      </c>
      <c r="F133" s="437"/>
      <c r="G133" s="438"/>
      <c r="H133" s="439">
        <f t="shared" si="19"/>
        <v>0</v>
      </c>
      <c r="I133" s="440"/>
      <c r="J133" s="441"/>
      <c r="K133" s="442"/>
      <c r="L133" s="442"/>
      <c r="M133" s="442"/>
      <c r="N133" s="442"/>
      <c r="O133" s="443"/>
      <c r="P133" s="440"/>
    </row>
    <row r="134" spans="2:17" s="420" customFormat="1" ht="11.25" x14ac:dyDescent="0.2">
      <c r="B134" s="1287"/>
      <c r="C134" s="1299"/>
      <c r="D134" s="435"/>
      <c r="E134" s="436">
        <v>1</v>
      </c>
      <c r="F134" s="437"/>
      <c r="G134" s="438"/>
      <c r="H134" s="439">
        <f t="shared" si="19"/>
        <v>0</v>
      </c>
      <c r="I134" s="440"/>
      <c r="J134" s="441"/>
      <c r="K134" s="442"/>
      <c r="L134" s="442"/>
      <c r="M134" s="442"/>
      <c r="N134" s="442"/>
      <c r="O134" s="443"/>
      <c r="P134" s="440"/>
    </row>
    <row r="135" spans="2:17" s="420" customFormat="1" ht="11.25" x14ac:dyDescent="0.2">
      <c r="B135" s="1287"/>
      <c r="C135" s="1299"/>
      <c r="D135" s="435"/>
      <c r="E135" s="436">
        <v>1</v>
      </c>
      <c r="F135" s="437"/>
      <c r="G135" s="438"/>
      <c r="H135" s="439">
        <f t="shared" si="19"/>
        <v>0</v>
      </c>
      <c r="I135" s="440"/>
      <c r="J135" s="441"/>
      <c r="K135" s="442"/>
      <c r="L135" s="442"/>
      <c r="M135" s="442"/>
      <c r="N135" s="442"/>
      <c r="O135" s="443"/>
      <c r="P135" s="440"/>
    </row>
    <row r="136" spans="2:17" s="420" customFormat="1" ht="11.25" x14ac:dyDescent="0.2">
      <c r="B136" s="1287"/>
      <c r="C136" s="1299"/>
      <c r="D136" s="435"/>
      <c r="E136" s="436">
        <v>1</v>
      </c>
      <c r="F136" s="437"/>
      <c r="G136" s="438"/>
      <c r="H136" s="439">
        <f t="shared" si="19"/>
        <v>0</v>
      </c>
      <c r="I136" s="440"/>
      <c r="J136" s="441"/>
      <c r="K136" s="442"/>
      <c r="L136" s="442"/>
      <c r="M136" s="442"/>
      <c r="N136" s="442"/>
      <c r="O136" s="443"/>
      <c r="P136" s="440"/>
    </row>
    <row r="137" spans="2:17" s="420" customFormat="1" ht="11.25" x14ac:dyDescent="0.2">
      <c r="B137" s="1287"/>
      <c r="C137" s="1299"/>
      <c r="D137" s="435"/>
      <c r="E137" s="436">
        <v>1</v>
      </c>
      <c r="F137" s="437"/>
      <c r="G137" s="438"/>
      <c r="H137" s="439">
        <f t="shared" si="19"/>
        <v>0</v>
      </c>
      <c r="I137" s="440"/>
      <c r="J137" s="441"/>
      <c r="K137" s="442"/>
      <c r="L137" s="442"/>
      <c r="M137" s="442"/>
      <c r="N137" s="442"/>
      <c r="O137" s="443"/>
      <c r="P137" s="440"/>
    </row>
    <row r="138" spans="2:17" s="420" customFormat="1" ht="11.25" x14ac:dyDescent="0.2">
      <c r="B138" s="1287"/>
      <c r="C138" s="1299"/>
      <c r="D138" s="435" t="s">
        <v>630</v>
      </c>
      <c r="E138" s="436">
        <v>1</v>
      </c>
      <c r="F138" s="437"/>
      <c r="G138" s="438"/>
      <c r="H138" s="439">
        <f t="shared" si="19"/>
        <v>0</v>
      </c>
      <c r="I138" s="863">
        <f>SUM(H132:H138)</f>
        <v>0</v>
      </c>
      <c r="J138" s="441">
        <f>I138*$J$5</f>
        <v>0</v>
      </c>
      <c r="K138" s="442">
        <f>SUM(I138:J138)*$K$5</f>
        <v>0</v>
      </c>
      <c r="L138" s="442">
        <f>SUM(I138:K138)*$L$5</f>
        <v>0</v>
      </c>
      <c r="M138" s="442">
        <f>SUM(I138:L138)*$M$5</f>
        <v>0</v>
      </c>
      <c r="N138" s="442">
        <f>SUM(I138:M138)*$N$5</f>
        <v>0</v>
      </c>
      <c r="O138" s="443">
        <f>SUM(I138:N138)</f>
        <v>0</v>
      </c>
      <c r="P138" s="440">
        <f>ROUND(O138,-3)</f>
        <v>0</v>
      </c>
      <c r="Q138" s="420" t="s">
        <v>600</v>
      </c>
    </row>
    <row r="139" spans="2:17" s="420" customFormat="1" ht="11.25" x14ac:dyDescent="0.2">
      <c r="B139" s="1287"/>
      <c r="C139" s="1299"/>
      <c r="D139" s="435"/>
      <c r="E139" s="436"/>
      <c r="F139" s="437"/>
      <c r="G139" s="438"/>
      <c r="H139" s="439"/>
      <c r="I139" s="440"/>
      <c r="J139" s="441"/>
      <c r="K139" s="442"/>
      <c r="L139" s="442"/>
      <c r="M139" s="442"/>
      <c r="N139" s="442"/>
      <c r="O139" s="443"/>
      <c r="P139" s="440"/>
    </row>
    <row r="140" spans="2:17" s="420" customFormat="1" ht="11.25" x14ac:dyDescent="0.2">
      <c r="B140" s="1287"/>
      <c r="C140" s="1299"/>
      <c r="D140" s="435" t="s">
        <v>557</v>
      </c>
      <c r="E140" s="436">
        <v>1</v>
      </c>
      <c r="F140" s="437"/>
      <c r="G140" s="438"/>
      <c r="H140" s="439">
        <f>E140*G140</f>
        <v>0</v>
      </c>
      <c r="I140" s="440"/>
      <c r="J140" s="441"/>
      <c r="K140" s="442"/>
      <c r="L140" s="442"/>
      <c r="M140" s="442"/>
      <c r="N140" s="442"/>
      <c r="O140" s="443"/>
      <c r="P140" s="440"/>
    </row>
    <row r="141" spans="2:17" s="420" customFormat="1" ht="11.25" x14ac:dyDescent="0.2">
      <c r="B141" s="1287"/>
      <c r="C141" s="1299"/>
      <c r="D141" s="435"/>
      <c r="E141" s="436">
        <v>1</v>
      </c>
      <c r="F141" s="437"/>
      <c r="G141" s="438"/>
      <c r="H141" s="439">
        <f>E141*G141</f>
        <v>0</v>
      </c>
      <c r="I141" s="440"/>
      <c r="J141" s="441"/>
      <c r="K141" s="442"/>
      <c r="L141" s="442"/>
      <c r="M141" s="442"/>
      <c r="N141" s="442"/>
      <c r="O141" s="443"/>
      <c r="P141" s="440"/>
    </row>
    <row r="142" spans="2:17" s="420" customFormat="1" ht="11.25" x14ac:dyDescent="0.2">
      <c r="B142" s="1287"/>
      <c r="C142" s="1299"/>
      <c r="D142" s="435"/>
      <c r="E142" s="436">
        <v>1</v>
      </c>
      <c r="F142" s="437"/>
      <c r="G142" s="438"/>
      <c r="H142" s="439">
        <f>E142*G142</f>
        <v>0</v>
      </c>
      <c r="I142" s="440"/>
      <c r="J142" s="441"/>
      <c r="K142" s="442"/>
      <c r="L142" s="442"/>
      <c r="M142" s="442"/>
      <c r="N142" s="442"/>
      <c r="O142" s="443"/>
      <c r="P142" s="440"/>
    </row>
    <row r="143" spans="2:17" s="420" customFormat="1" ht="11.25" x14ac:dyDescent="0.2">
      <c r="B143" s="1287"/>
      <c r="C143" s="1299"/>
      <c r="D143" s="435"/>
      <c r="E143" s="436">
        <v>1</v>
      </c>
      <c r="F143" s="437"/>
      <c r="G143" s="438"/>
      <c r="H143" s="439">
        <f>E143*G143</f>
        <v>0</v>
      </c>
      <c r="I143" s="440"/>
      <c r="J143" s="441"/>
      <c r="K143" s="442"/>
      <c r="L143" s="442"/>
      <c r="M143" s="442"/>
      <c r="N143" s="442"/>
      <c r="O143" s="443"/>
      <c r="P143" s="440"/>
    </row>
    <row r="144" spans="2:17" s="420" customFormat="1" ht="11.25" x14ac:dyDescent="0.2">
      <c r="B144" s="1287"/>
      <c r="C144" s="1299"/>
      <c r="D144" s="435"/>
      <c r="E144" s="436">
        <v>1</v>
      </c>
      <c r="F144" s="437"/>
      <c r="G144" s="438"/>
      <c r="H144" s="439">
        <f>E144*G144</f>
        <v>0</v>
      </c>
      <c r="I144" s="440"/>
      <c r="J144" s="441"/>
      <c r="K144" s="442"/>
      <c r="L144" s="442"/>
      <c r="M144" s="442"/>
      <c r="N144" s="442"/>
      <c r="O144" s="443"/>
      <c r="P144" s="440"/>
    </row>
    <row r="145" spans="2:17" s="420" customFormat="1" ht="11.25" x14ac:dyDescent="0.2">
      <c r="B145" s="1287"/>
      <c r="C145" s="1299"/>
      <c r="D145" s="435" t="s">
        <v>630</v>
      </c>
      <c r="E145" s="436">
        <v>1</v>
      </c>
      <c r="F145" s="437"/>
      <c r="G145" s="438"/>
      <c r="H145" s="439">
        <f t="shared" ref="H145" si="20">E145*G145</f>
        <v>0</v>
      </c>
      <c r="I145" s="865">
        <f>SUM(H139:H145)</f>
        <v>0</v>
      </c>
      <c r="J145" s="441">
        <f>I145*$J$5</f>
        <v>0</v>
      </c>
      <c r="K145" s="442">
        <f>SUM(I145:J145)*$K$5</f>
        <v>0</v>
      </c>
      <c r="L145" s="442">
        <f>SUM(I145:K145)*$L$5</f>
        <v>0</v>
      </c>
      <c r="M145" s="442">
        <f>SUM(I145:L145)*$M$5</f>
        <v>0</v>
      </c>
      <c r="N145" s="442">
        <f>SUM(I145:M145)*$N$5</f>
        <v>0</v>
      </c>
      <c r="O145" s="443">
        <f>SUM(I145:N145)</f>
        <v>0</v>
      </c>
      <c r="P145" s="440">
        <f>ROUND(O145,-3)</f>
        <v>0</v>
      </c>
      <c r="Q145" s="420" t="s">
        <v>600</v>
      </c>
    </row>
    <row r="146" spans="2:17" s="420" customFormat="1" ht="12" thickBot="1" x14ac:dyDescent="0.25">
      <c r="B146" s="1288"/>
      <c r="C146" s="1300"/>
      <c r="D146" s="444"/>
      <c r="E146" s="445"/>
      <c r="F146" s="446"/>
      <c r="G146" s="447"/>
      <c r="H146" s="448"/>
      <c r="I146" s="449"/>
      <c r="J146" s="477"/>
      <c r="K146" s="478"/>
      <c r="L146" s="478"/>
      <c r="M146" s="478"/>
      <c r="N146" s="478"/>
      <c r="O146" s="450"/>
      <c r="P146" s="449"/>
    </row>
    <row r="147" spans="2:17" s="420" customFormat="1" ht="11.25" x14ac:dyDescent="0.2">
      <c r="B147" s="1286" t="str">
        <f>'Detailed Matrix'!E141</f>
        <v>Service Noise Levels</v>
      </c>
      <c r="C147" s="1298" t="str">
        <f>'Detailed Matrix'!F141</f>
        <v>Stage 02 - NR 25 daytime
NR 20 nighttime</v>
      </c>
      <c r="D147" s="435" t="s">
        <v>556</v>
      </c>
      <c r="E147" s="436"/>
      <c r="F147" s="437"/>
      <c r="G147" s="438"/>
      <c r="H147" s="439"/>
      <c r="I147" s="440"/>
      <c r="J147" s="441"/>
      <c r="K147" s="442"/>
      <c r="L147" s="442"/>
      <c r="M147" s="442"/>
      <c r="N147" s="442"/>
      <c r="O147" s="443"/>
      <c r="P147" s="440"/>
    </row>
    <row r="148" spans="2:17" s="420" customFormat="1" ht="11.25" x14ac:dyDescent="0.2">
      <c r="B148" s="1287"/>
      <c r="C148" s="1299"/>
      <c r="D148" s="435"/>
      <c r="E148" s="436">
        <v>1</v>
      </c>
      <c r="F148" s="437"/>
      <c r="G148" s="438"/>
      <c r="H148" s="439">
        <f t="shared" ref="H148:H153" si="21">E148*G148</f>
        <v>0</v>
      </c>
      <c r="I148" s="440"/>
      <c r="J148" s="441"/>
      <c r="K148" s="442"/>
      <c r="L148" s="442"/>
      <c r="M148" s="442"/>
      <c r="N148" s="442"/>
      <c r="O148" s="443"/>
      <c r="P148" s="440"/>
    </row>
    <row r="149" spans="2:17" s="420" customFormat="1" ht="11.25" x14ac:dyDescent="0.2">
      <c r="B149" s="1287"/>
      <c r="C149" s="1299"/>
      <c r="D149" s="435"/>
      <c r="E149" s="436">
        <v>1</v>
      </c>
      <c r="F149" s="437"/>
      <c r="G149" s="438"/>
      <c r="H149" s="439">
        <f t="shared" si="21"/>
        <v>0</v>
      </c>
      <c r="I149" s="440"/>
      <c r="J149" s="441"/>
      <c r="K149" s="442"/>
      <c r="L149" s="442"/>
      <c r="M149" s="442"/>
      <c r="N149" s="442"/>
      <c r="O149" s="443"/>
      <c r="P149" s="440"/>
    </row>
    <row r="150" spans="2:17" s="420" customFormat="1" ht="11.25" x14ac:dyDescent="0.2">
      <c r="B150" s="1287"/>
      <c r="C150" s="1299"/>
      <c r="D150" s="435"/>
      <c r="E150" s="436">
        <v>1</v>
      </c>
      <c r="F150" s="437"/>
      <c r="G150" s="438"/>
      <c r="H150" s="439">
        <f t="shared" si="21"/>
        <v>0</v>
      </c>
      <c r="I150" s="440"/>
      <c r="J150" s="441"/>
      <c r="K150" s="442"/>
      <c r="L150" s="442"/>
      <c r="M150" s="442"/>
      <c r="N150" s="442"/>
      <c r="O150" s="443"/>
      <c r="P150" s="440"/>
    </row>
    <row r="151" spans="2:17" s="420" customFormat="1" ht="11.25" x14ac:dyDescent="0.2">
      <c r="B151" s="1287"/>
      <c r="C151" s="1299"/>
      <c r="D151" s="435"/>
      <c r="E151" s="436">
        <v>1</v>
      </c>
      <c r="F151" s="437"/>
      <c r="G151" s="438"/>
      <c r="H151" s="439">
        <f t="shared" si="21"/>
        <v>0</v>
      </c>
      <c r="I151" s="440"/>
      <c r="J151" s="441"/>
      <c r="K151" s="442"/>
      <c r="L151" s="442"/>
      <c r="M151" s="442"/>
      <c r="N151" s="442"/>
      <c r="O151" s="443"/>
      <c r="P151" s="440"/>
    </row>
    <row r="152" spans="2:17" s="420" customFormat="1" ht="11.25" x14ac:dyDescent="0.2">
      <c r="B152" s="1287"/>
      <c r="C152" s="1299"/>
      <c r="D152" s="435" t="s">
        <v>610</v>
      </c>
      <c r="E152" s="436">
        <v>-1</v>
      </c>
      <c r="F152" s="437"/>
      <c r="G152" s="438">
        <f>I138</f>
        <v>0</v>
      </c>
      <c r="H152" s="439">
        <f t="shared" si="21"/>
        <v>0</v>
      </c>
      <c r="I152" s="440"/>
      <c r="J152" s="441"/>
      <c r="K152" s="442"/>
      <c r="L152" s="442"/>
      <c r="M152" s="442"/>
      <c r="N152" s="442"/>
      <c r="O152" s="443"/>
      <c r="P152" s="440"/>
    </row>
    <row r="153" spans="2:17" s="420" customFormat="1" ht="11.25" x14ac:dyDescent="0.2">
      <c r="B153" s="1287"/>
      <c r="C153" s="1299"/>
      <c r="D153" s="435"/>
      <c r="E153" s="436">
        <v>1</v>
      </c>
      <c r="F153" s="437"/>
      <c r="G153" s="438"/>
      <c r="H153" s="439">
        <f t="shared" si="21"/>
        <v>0</v>
      </c>
      <c r="I153" s="440"/>
      <c r="J153" s="441"/>
      <c r="K153" s="442"/>
      <c r="L153" s="442"/>
      <c r="M153" s="442"/>
      <c r="N153" s="442"/>
      <c r="O153" s="443"/>
      <c r="P153" s="440"/>
    </row>
    <row r="154" spans="2:17" s="420" customFormat="1" ht="11.25" x14ac:dyDescent="0.2">
      <c r="B154" s="1287"/>
      <c r="C154" s="1299"/>
      <c r="D154" s="435"/>
      <c r="E154" s="436"/>
      <c r="F154" s="437"/>
      <c r="G154" s="438"/>
      <c r="H154" s="439">
        <f>E154*G154</f>
        <v>0</v>
      </c>
      <c r="I154" s="863">
        <f>SUM(H147:H154)</f>
        <v>0</v>
      </c>
      <c r="J154" s="441">
        <f>I154*$J$5</f>
        <v>0</v>
      </c>
      <c r="K154" s="442">
        <f>SUM(I154:J154)*$K$5</f>
        <v>0</v>
      </c>
      <c r="L154" s="442">
        <f>SUM(I154:K154)*$L$5</f>
        <v>0</v>
      </c>
      <c r="M154" s="442">
        <f>SUM(I154:L154)*$M$5</f>
        <v>0</v>
      </c>
      <c r="N154" s="442">
        <f>SUM(I154:M154)*$N$5</f>
        <v>0</v>
      </c>
      <c r="O154" s="443">
        <f>SUM(I154:N154)</f>
        <v>0</v>
      </c>
      <c r="P154" s="440">
        <f>ROUND(O154,-3)</f>
        <v>0</v>
      </c>
      <c r="Q154" s="420" t="s">
        <v>600</v>
      </c>
    </row>
    <row r="155" spans="2:17" s="420" customFormat="1" ht="11.25" x14ac:dyDescent="0.2">
      <c r="B155" s="1287"/>
      <c r="C155" s="1299"/>
      <c r="D155" s="435"/>
      <c r="E155" s="436"/>
      <c r="F155" s="437"/>
      <c r="G155" s="438"/>
      <c r="H155" s="439"/>
      <c r="I155" s="440"/>
      <c r="J155" s="441"/>
      <c r="K155" s="442"/>
      <c r="L155" s="442"/>
      <c r="M155" s="442"/>
      <c r="N155" s="442"/>
      <c r="O155" s="443"/>
      <c r="P155" s="440"/>
    </row>
    <row r="156" spans="2:17" s="420" customFormat="1" ht="11.25" x14ac:dyDescent="0.2">
      <c r="B156" s="1287"/>
      <c r="C156" s="1299"/>
      <c r="D156" s="435" t="s">
        <v>557</v>
      </c>
      <c r="E156" s="436"/>
      <c r="F156" s="437"/>
      <c r="G156" s="438"/>
      <c r="H156" s="439"/>
      <c r="I156" s="440"/>
      <c r="J156" s="441"/>
      <c r="K156" s="442"/>
      <c r="L156" s="442"/>
      <c r="M156" s="442"/>
      <c r="N156" s="442"/>
      <c r="O156" s="443"/>
      <c r="P156" s="440"/>
    </row>
    <row r="157" spans="2:17" s="420" customFormat="1" ht="11.25" x14ac:dyDescent="0.2">
      <c r="B157" s="1287"/>
      <c r="C157" s="1299"/>
      <c r="D157" s="435"/>
      <c r="E157" s="436">
        <v>1</v>
      </c>
      <c r="F157" s="437"/>
      <c r="G157" s="438"/>
      <c r="H157" s="439">
        <f t="shared" ref="H157:H161" si="22">E157*G157</f>
        <v>0</v>
      </c>
      <c r="I157" s="440"/>
      <c r="J157" s="441"/>
      <c r="K157" s="442"/>
      <c r="L157" s="442"/>
      <c r="M157" s="442"/>
      <c r="N157" s="442"/>
      <c r="O157" s="443"/>
      <c r="P157" s="440"/>
    </row>
    <row r="158" spans="2:17" s="420" customFormat="1" ht="11.25" x14ac:dyDescent="0.2">
      <c r="B158" s="1287"/>
      <c r="C158" s="1299"/>
      <c r="D158" s="435"/>
      <c r="E158" s="436">
        <v>1</v>
      </c>
      <c r="F158" s="437"/>
      <c r="G158" s="438"/>
      <c r="H158" s="439">
        <f t="shared" si="22"/>
        <v>0</v>
      </c>
      <c r="I158" s="440"/>
      <c r="J158" s="441"/>
      <c r="K158" s="442"/>
      <c r="L158" s="442"/>
      <c r="M158" s="442"/>
      <c r="N158" s="442"/>
      <c r="O158" s="443"/>
      <c r="P158" s="440"/>
    </row>
    <row r="159" spans="2:17" s="420" customFormat="1" ht="11.25" x14ac:dyDescent="0.2">
      <c r="B159" s="1287"/>
      <c r="C159" s="1299"/>
      <c r="D159" s="435"/>
      <c r="E159" s="436">
        <v>1</v>
      </c>
      <c r="F159" s="437"/>
      <c r="G159" s="438"/>
      <c r="H159" s="439">
        <f t="shared" si="22"/>
        <v>0</v>
      </c>
      <c r="I159" s="440"/>
      <c r="J159" s="441"/>
      <c r="K159" s="442"/>
      <c r="L159" s="442"/>
      <c r="M159" s="442"/>
      <c r="N159" s="442"/>
      <c r="O159" s="443"/>
      <c r="P159" s="440"/>
    </row>
    <row r="160" spans="2:17" s="420" customFormat="1" ht="11.25" x14ac:dyDescent="0.2">
      <c r="B160" s="1287"/>
      <c r="C160" s="1299"/>
      <c r="D160" s="435"/>
      <c r="E160" s="436">
        <v>1</v>
      </c>
      <c r="F160" s="437"/>
      <c r="G160" s="438"/>
      <c r="H160" s="439">
        <f t="shared" si="22"/>
        <v>0</v>
      </c>
      <c r="I160" s="440"/>
      <c r="J160" s="441"/>
      <c r="K160" s="442"/>
      <c r="L160" s="442"/>
      <c r="M160" s="442"/>
      <c r="N160" s="442"/>
      <c r="O160" s="443"/>
      <c r="P160" s="440"/>
    </row>
    <row r="161" spans="2:17" s="420" customFormat="1" ht="11.25" x14ac:dyDescent="0.2">
      <c r="B161" s="1287"/>
      <c r="C161" s="1299"/>
      <c r="D161" s="435" t="s">
        <v>610</v>
      </c>
      <c r="E161" s="436">
        <v>-1</v>
      </c>
      <c r="F161" s="437" t="s">
        <v>576</v>
      </c>
      <c r="G161" s="438">
        <f>I145</f>
        <v>0</v>
      </c>
      <c r="H161" s="439">
        <f t="shared" si="22"/>
        <v>0</v>
      </c>
      <c r="I161" s="865">
        <f>SUM(H156:H161)</f>
        <v>0</v>
      </c>
      <c r="J161" s="441">
        <f>I161*$J$5</f>
        <v>0</v>
      </c>
      <c r="K161" s="442">
        <f>SUM(I161:J161)*$K$5</f>
        <v>0</v>
      </c>
      <c r="L161" s="442">
        <f>SUM(I161:K161)*$L$5</f>
        <v>0</v>
      </c>
      <c r="M161" s="442">
        <f>SUM(I161:L161)*$M$5</f>
        <v>0</v>
      </c>
      <c r="N161" s="442">
        <f>SUM(I161:M161)*$N$5</f>
        <v>0</v>
      </c>
      <c r="O161" s="443">
        <f>SUM(I161:N161)</f>
        <v>0</v>
      </c>
      <c r="P161" s="440">
        <f>ROUND(O161,-3)</f>
        <v>0</v>
      </c>
      <c r="Q161" s="420" t="s">
        <v>600</v>
      </c>
    </row>
    <row r="162" spans="2:17" s="420" customFormat="1" ht="12" thickBot="1" x14ac:dyDescent="0.25">
      <c r="B162" s="1288"/>
      <c r="C162" s="1300"/>
      <c r="D162" s="444"/>
      <c r="E162" s="445"/>
      <c r="F162" s="446"/>
      <c r="G162" s="447"/>
      <c r="H162" s="448"/>
      <c r="I162" s="449"/>
      <c r="J162" s="477"/>
      <c r="K162" s="478"/>
      <c r="L162" s="478"/>
      <c r="M162" s="478"/>
      <c r="N162" s="478"/>
      <c r="O162" s="450"/>
      <c r="P162" s="449"/>
    </row>
    <row r="163" spans="2:17" s="420" customFormat="1" ht="11.25" x14ac:dyDescent="0.2">
      <c r="B163" s="1286" t="str">
        <f>'Detailed Matrix'!E142</f>
        <v>Vibration Control</v>
      </c>
      <c r="C163" s="1298" t="str">
        <f>'Detailed Matrix'!F142</f>
        <v>Stage 01 - BS 6472
Day 0.2 ms-1.75
Night 0.13 ms-1.75</v>
      </c>
      <c r="D163" s="435" t="s">
        <v>556</v>
      </c>
      <c r="E163" s="436">
        <v>1</v>
      </c>
      <c r="F163" s="437"/>
      <c r="G163" s="438"/>
      <c r="H163" s="439">
        <f t="shared" ref="H163:H169" si="23">E163*G163</f>
        <v>0</v>
      </c>
      <c r="I163" s="440"/>
      <c r="J163" s="441"/>
      <c r="K163" s="442"/>
      <c r="L163" s="442"/>
      <c r="M163" s="442"/>
      <c r="N163" s="442"/>
      <c r="O163" s="443"/>
      <c r="P163" s="440"/>
    </row>
    <row r="164" spans="2:17" s="420" customFormat="1" ht="11.25" x14ac:dyDescent="0.2">
      <c r="B164" s="1287"/>
      <c r="C164" s="1299"/>
      <c r="D164" s="435"/>
      <c r="E164" s="436">
        <v>1</v>
      </c>
      <c r="F164" s="437"/>
      <c r="G164" s="438"/>
      <c r="H164" s="439">
        <f t="shared" si="23"/>
        <v>0</v>
      </c>
      <c r="I164" s="440"/>
      <c r="J164" s="441"/>
      <c r="K164" s="442"/>
      <c r="L164" s="442"/>
      <c r="M164" s="442"/>
      <c r="N164" s="442"/>
      <c r="O164" s="443"/>
      <c r="P164" s="440"/>
    </row>
    <row r="165" spans="2:17" s="420" customFormat="1" ht="11.25" x14ac:dyDescent="0.2">
      <c r="B165" s="1287"/>
      <c r="C165" s="1299"/>
      <c r="D165" s="435"/>
      <c r="E165" s="436">
        <v>1</v>
      </c>
      <c r="F165" s="437"/>
      <c r="G165" s="438"/>
      <c r="H165" s="439">
        <f t="shared" si="23"/>
        <v>0</v>
      </c>
      <c r="I165" s="440"/>
      <c r="J165" s="441"/>
      <c r="K165" s="442"/>
      <c r="L165" s="442"/>
      <c r="M165" s="442"/>
      <c r="N165" s="442"/>
      <c r="O165" s="443"/>
      <c r="P165" s="440"/>
    </row>
    <row r="166" spans="2:17" s="420" customFormat="1" ht="11.25" x14ac:dyDescent="0.2">
      <c r="B166" s="1287"/>
      <c r="C166" s="1299"/>
      <c r="D166" s="435"/>
      <c r="E166" s="436">
        <v>1</v>
      </c>
      <c r="F166" s="437"/>
      <c r="G166" s="438"/>
      <c r="H166" s="439">
        <f t="shared" si="23"/>
        <v>0</v>
      </c>
      <c r="I166" s="440"/>
      <c r="J166" s="441"/>
      <c r="K166" s="442"/>
      <c r="L166" s="442"/>
      <c r="M166" s="442"/>
      <c r="N166" s="442"/>
      <c r="O166" s="443"/>
      <c r="P166" s="440"/>
    </row>
    <row r="167" spans="2:17" s="420" customFormat="1" ht="11.25" x14ac:dyDescent="0.2">
      <c r="B167" s="1287"/>
      <c r="C167" s="1299"/>
      <c r="D167" s="435"/>
      <c r="E167" s="436">
        <v>1</v>
      </c>
      <c r="F167" s="437"/>
      <c r="G167" s="438"/>
      <c r="H167" s="439">
        <f t="shared" si="23"/>
        <v>0</v>
      </c>
      <c r="I167" s="440"/>
      <c r="J167" s="441"/>
      <c r="K167" s="442"/>
      <c r="L167" s="442"/>
      <c r="M167" s="442"/>
      <c r="N167" s="442"/>
      <c r="O167" s="443"/>
      <c r="P167" s="440"/>
    </row>
    <row r="168" spans="2:17" s="420" customFormat="1" ht="11.25" x14ac:dyDescent="0.2">
      <c r="B168" s="1287"/>
      <c r="C168" s="1299"/>
      <c r="D168" s="435"/>
      <c r="E168" s="436">
        <v>1</v>
      </c>
      <c r="F168" s="437"/>
      <c r="G168" s="438"/>
      <c r="H168" s="439">
        <f t="shared" si="23"/>
        <v>0</v>
      </c>
      <c r="I168" s="440"/>
      <c r="J168" s="441"/>
      <c r="K168" s="442"/>
      <c r="L168" s="442"/>
      <c r="M168" s="442"/>
      <c r="N168" s="442"/>
      <c r="O168" s="443"/>
      <c r="P168" s="440"/>
    </row>
    <row r="169" spans="2:17" s="420" customFormat="1" ht="11.25" x14ac:dyDescent="0.2">
      <c r="B169" s="1287"/>
      <c r="C169" s="1299"/>
      <c r="D169" s="435" t="s">
        <v>630</v>
      </c>
      <c r="E169" s="436">
        <v>1</v>
      </c>
      <c r="F169" s="437"/>
      <c r="G169" s="438"/>
      <c r="H169" s="439">
        <f t="shared" si="23"/>
        <v>0</v>
      </c>
      <c r="I169" s="863">
        <f>SUM(H163:H169)</f>
        <v>0</v>
      </c>
      <c r="J169" s="441">
        <f>I169*$J$5</f>
        <v>0</v>
      </c>
      <c r="K169" s="442">
        <f>SUM(I169:J169)*$K$5</f>
        <v>0</v>
      </c>
      <c r="L169" s="442">
        <f>SUM(I169:K169)*$L$5</f>
        <v>0</v>
      </c>
      <c r="M169" s="442">
        <f>SUM(I169:L169)*$M$5</f>
        <v>0</v>
      </c>
      <c r="N169" s="442">
        <f>SUM(I169:M169)*$N$5</f>
        <v>0</v>
      </c>
      <c r="O169" s="443">
        <f>SUM(I169:N169)</f>
        <v>0</v>
      </c>
      <c r="P169" s="440">
        <f>ROUND(O169,-3)</f>
        <v>0</v>
      </c>
      <c r="Q169" s="420" t="s">
        <v>600</v>
      </c>
    </row>
    <row r="170" spans="2:17" s="420" customFormat="1" ht="11.25" x14ac:dyDescent="0.2">
      <c r="B170" s="1287"/>
      <c r="C170" s="1299"/>
      <c r="D170" s="435"/>
      <c r="E170" s="436"/>
      <c r="F170" s="437"/>
      <c r="G170" s="438"/>
      <c r="H170" s="439"/>
      <c r="I170" s="440"/>
      <c r="J170" s="441"/>
      <c r="K170" s="442"/>
      <c r="L170" s="442"/>
      <c r="M170" s="442"/>
      <c r="N170" s="442"/>
      <c r="O170" s="443"/>
      <c r="P170" s="440"/>
    </row>
    <row r="171" spans="2:17" s="420" customFormat="1" ht="11.25" x14ac:dyDescent="0.2">
      <c r="B171" s="1287"/>
      <c r="C171" s="1299"/>
      <c r="D171" s="435" t="s">
        <v>557</v>
      </c>
      <c r="E171" s="436">
        <v>1</v>
      </c>
      <c r="F171" s="437"/>
      <c r="G171" s="438"/>
      <c r="H171" s="439">
        <f>E171*G171</f>
        <v>0</v>
      </c>
      <c r="I171" s="440"/>
      <c r="J171" s="441"/>
      <c r="K171" s="442"/>
      <c r="L171" s="442"/>
      <c r="M171" s="442"/>
      <c r="N171" s="442"/>
      <c r="O171" s="443"/>
      <c r="P171" s="440"/>
    </row>
    <row r="172" spans="2:17" s="420" customFormat="1" ht="11.25" x14ac:dyDescent="0.2">
      <c r="B172" s="1287"/>
      <c r="C172" s="1299"/>
      <c r="D172" s="435"/>
      <c r="E172" s="436">
        <v>1</v>
      </c>
      <c r="F172" s="437"/>
      <c r="G172" s="438"/>
      <c r="H172" s="439">
        <f>E172*G172</f>
        <v>0</v>
      </c>
      <c r="I172" s="440"/>
      <c r="J172" s="441"/>
      <c r="K172" s="442"/>
      <c r="L172" s="442"/>
      <c r="M172" s="442"/>
      <c r="N172" s="442"/>
      <c r="O172" s="443"/>
      <c r="P172" s="440"/>
    </row>
    <row r="173" spans="2:17" s="420" customFormat="1" ht="11.25" x14ac:dyDescent="0.2">
      <c r="B173" s="1287"/>
      <c r="C173" s="1299"/>
      <c r="D173" s="435"/>
      <c r="E173" s="436">
        <v>1</v>
      </c>
      <c r="F173" s="437"/>
      <c r="G173" s="438"/>
      <c r="H173" s="439">
        <f>E173*G173</f>
        <v>0</v>
      </c>
      <c r="I173" s="440"/>
      <c r="J173" s="441"/>
      <c r="K173" s="442"/>
      <c r="L173" s="442"/>
      <c r="M173" s="442"/>
      <c r="N173" s="442"/>
      <c r="O173" s="443"/>
      <c r="P173" s="440"/>
    </row>
    <row r="174" spans="2:17" s="420" customFormat="1" ht="11.25" x14ac:dyDescent="0.2">
      <c r="B174" s="1287"/>
      <c r="C174" s="1299"/>
      <c r="D174" s="435"/>
      <c r="E174" s="436">
        <v>1</v>
      </c>
      <c r="F174" s="437"/>
      <c r="G174" s="438"/>
      <c r="H174" s="439">
        <f>E174*G174</f>
        <v>0</v>
      </c>
      <c r="I174" s="440"/>
      <c r="J174" s="441"/>
      <c r="K174" s="442"/>
      <c r="L174" s="442"/>
      <c r="M174" s="442"/>
      <c r="N174" s="442"/>
      <c r="O174" s="443"/>
      <c r="P174" s="440"/>
    </row>
    <row r="175" spans="2:17" s="420" customFormat="1" ht="11.25" x14ac:dyDescent="0.2">
      <c r="B175" s="1287"/>
      <c r="C175" s="1299"/>
      <c r="D175" s="435"/>
      <c r="E175" s="436">
        <v>1</v>
      </c>
      <c r="F175" s="437"/>
      <c r="G175" s="438"/>
      <c r="H175" s="439">
        <f>E175*G175</f>
        <v>0</v>
      </c>
      <c r="I175" s="440"/>
      <c r="J175" s="441"/>
      <c r="K175" s="442"/>
      <c r="L175" s="442"/>
      <c r="M175" s="442"/>
      <c r="N175" s="442"/>
      <c r="O175" s="443"/>
      <c r="P175" s="440"/>
    </row>
    <row r="176" spans="2:17" s="420" customFormat="1" ht="11.25" x14ac:dyDescent="0.2">
      <c r="B176" s="1287"/>
      <c r="C176" s="1299"/>
      <c r="D176" s="435" t="s">
        <v>630</v>
      </c>
      <c r="E176" s="436">
        <v>1</v>
      </c>
      <c r="F176" s="437"/>
      <c r="G176" s="438"/>
      <c r="H176" s="439">
        <f t="shared" ref="H176" si="24">E176*G176</f>
        <v>0</v>
      </c>
      <c r="I176" s="865">
        <f>SUM(H170:H176)</f>
        <v>0</v>
      </c>
      <c r="J176" s="441">
        <f>I176*$J$5</f>
        <v>0</v>
      </c>
      <c r="K176" s="442">
        <f>SUM(I176:J176)*$K$5</f>
        <v>0</v>
      </c>
      <c r="L176" s="442">
        <f>SUM(I176:K176)*$L$5</f>
        <v>0</v>
      </c>
      <c r="M176" s="442">
        <f>SUM(I176:L176)*$M$5</f>
        <v>0</v>
      </c>
      <c r="N176" s="442">
        <f>SUM(I176:M176)*$N$5</f>
        <v>0</v>
      </c>
      <c r="O176" s="443">
        <f>SUM(I176:N176)</f>
        <v>0</v>
      </c>
      <c r="P176" s="440">
        <f>ROUND(O176,-3)</f>
        <v>0</v>
      </c>
      <c r="Q176" s="420" t="s">
        <v>600</v>
      </c>
    </row>
    <row r="177" spans="2:17" s="420" customFormat="1" ht="12" thickBot="1" x14ac:dyDescent="0.25">
      <c r="B177" s="1288"/>
      <c r="C177" s="1300"/>
      <c r="D177" s="444"/>
      <c r="E177" s="445"/>
      <c r="F177" s="446"/>
      <c r="G177" s="447"/>
      <c r="H177" s="448"/>
      <c r="I177" s="449"/>
      <c r="J177" s="477"/>
      <c r="K177" s="478"/>
      <c r="L177" s="478"/>
      <c r="M177" s="478"/>
      <c r="N177" s="478"/>
      <c r="O177" s="450"/>
      <c r="P177" s="449"/>
    </row>
    <row r="178" spans="2:17" s="420" customFormat="1" ht="11.25" x14ac:dyDescent="0.2">
      <c r="B178" s="1286" t="str">
        <f>'Detailed Matrix'!E143</f>
        <v>Vibration Control</v>
      </c>
      <c r="C178" s="1298" t="str">
        <f>'Detailed Matrix'!F143</f>
        <v>Stage 02 - BS 6472
Day 0.2 ms-1.75
Night 0.1 ms-1.75</v>
      </c>
      <c r="D178" s="435" t="s">
        <v>556</v>
      </c>
      <c r="E178" s="436"/>
      <c r="F178" s="437"/>
      <c r="G178" s="438"/>
      <c r="H178" s="439"/>
      <c r="I178" s="440"/>
      <c r="J178" s="441"/>
      <c r="K178" s="442"/>
      <c r="L178" s="442"/>
      <c r="M178" s="442"/>
      <c r="N178" s="442"/>
      <c r="O178" s="443"/>
      <c r="P178" s="440"/>
    </row>
    <row r="179" spans="2:17" s="420" customFormat="1" ht="11.25" x14ac:dyDescent="0.2">
      <c r="B179" s="1287"/>
      <c r="C179" s="1299"/>
      <c r="D179" s="435"/>
      <c r="E179" s="436">
        <v>1</v>
      </c>
      <c r="F179" s="437"/>
      <c r="G179" s="438"/>
      <c r="H179" s="439">
        <f t="shared" ref="H179:H184" si="25">E179*G179</f>
        <v>0</v>
      </c>
      <c r="I179" s="440"/>
      <c r="J179" s="441"/>
      <c r="K179" s="442"/>
      <c r="L179" s="442"/>
      <c r="M179" s="442"/>
      <c r="N179" s="442"/>
      <c r="O179" s="443"/>
      <c r="P179" s="440"/>
    </row>
    <row r="180" spans="2:17" s="420" customFormat="1" ht="11.25" x14ac:dyDescent="0.2">
      <c r="B180" s="1287"/>
      <c r="C180" s="1299"/>
      <c r="D180" s="435"/>
      <c r="E180" s="436">
        <v>1</v>
      </c>
      <c r="F180" s="437"/>
      <c r="G180" s="438"/>
      <c r="H180" s="439">
        <f t="shared" si="25"/>
        <v>0</v>
      </c>
      <c r="I180" s="440"/>
      <c r="J180" s="441"/>
      <c r="K180" s="442"/>
      <c r="L180" s="442"/>
      <c r="M180" s="442"/>
      <c r="N180" s="442"/>
      <c r="O180" s="443"/>
      <c r="P180" s="440"/>
    </row>
    <row r="181" spans="2:17" s="420" customFormat="1" ht="11.25" x14ac:dyDescent="0.2">
      <c r="B181" s="1287"/>
      <c r="C181" s="1299"/>
      <c r="D181" s="435"/>
      <c r="E181" s="436">
        <v>1</v>
      </c>
      <c r="F181" s="437"/>
      <c r="G181" s="438"/>
      <c r="H181" s="439">
        <f t="shared" si="25"/>
        <v>0</v>
      </c>
      <c r="I181" s="440"/>
      <c r="J181" s="441"/>
      <c r="K181" s="442"/>
      <c r="L181" s="442"/>
      <c r="M181" s="442"/>
      <c r="N181" s="442"/>
      <c r="O181" s="443"/>
      <c r="P181" s="440"/>
    </row>
    <row r="182" spans="2:17" s="420" customFormat="1" ht="11.25" x14ac:dyDescent="0.2">
      <c r="B182" s="1287"/>
      <c r="C182" s="1299"/>
      <c r="D182" s="435"/>
      <c r="E182" s="436">
        <v>1</v>
      </c>
      <c r="F182" s="437"/>
      <c r="G182" s="438"/>
      <c r="H182" s="439">
        <f t="shared" si="25"/>
        <v>0</v>
      </c>
      <c r="I182" s="440"/>
      <c r="J182" s="441"/>
      <c r="K182" s="442"/>
      <c r="L182" s="442"/>
      <c r="M182" s="442"/>
      <c r="N182" s="442"/>
      <c r="O182" s="443"/>
      <c r="P182" s="440"/>
    </row>
    <row r="183" spans="2:17" s="420" customFormat="1" ht="11.25" x14ac:dyDescent="0.2">
      <c r="B183" s="1287"/>
      <c r="C183" s="1299"/>
      <c r="D183" s="435" t="s">
        <v>610</v>
      </c>
      <c r="E183" s="436">
        <v>-1</v>
      </c>
      <c r="F183" s="437"/>
      <c r="G183" s="438">
        <f>I169</f>
        <v>0</v>
      </c>
      <c r="H183" s="439">
        <f t="shared" si="25"/>
        <v>0</v>
      </c>
      <c r="I183" s="440"/>
      <c r="J183" s="441"/>
      <c r="K183" s="442"/>
      <c r="L183" s="442"/>
      <c r="M183" s="442"/>
      <c r="N183" s="442"/>
      <c r="O183" s="443"/>
      <c r="P183" s="440"/>
    </row>
    <row r="184" spans="2:17" s="420" customFormat="1" ht="11.25" x14ac:dyDescent="0.2">
      <c r="B184" s="1287"/>
      <c r="C184" s="1299"/>
      <c r="D184" s="435"/>
      <c r="E184" s="436">
        <v>1</v>
      </c>
      <c r="F184" s="437"/>
      <c r="G184" s="438"/>
      <c r="H184" s="439">
        <f t="shared" si="25"/>
        <v>0</v>
      </c>
      <c r="I184" s="440"/>
      <c r="J184" s="441"/>
      <c r="K184" s="442"/>
      <c r="L184" s="442"/>
      <c r="M184" s="442"/>
      <c r="N184" s="442"/>
      <c r="O184" s="443"/>
      <c r="P184" s="440"/>
    </row>
    <row r="185" spans="2:17" s="420" customFormat="1" ht="11.25" x14ac:dyDescent="0.2">
      <c r="B185" s="1287"/>
      <c r="C185" s="1299"/>
      <c r="D185" s="435"/>
      <c r="E185" s="436"/>
      <c r="F185" s="437"/>
      <c r="G185" s="438"/>
      <c r="H185" s="439">
        <f>E185*G185</f>
        <v>0</v>
      </c>
      <c r="I185" s="863">
        <f>SUM(H178:H185)</f>
        <v>0</v>
      </c>
      <c r="J185" s="441">
        <f>I185*$J$5</f>
        <v>0</v>
      </c>
      <c r="K185" s="442">
        <f>SUM(I185:J185)*$K$5</f>
        <v>0</v>
      </c>
      <c r="L185" s="442">
        <f>SUM(I185:K185)*$L$5</f>
        <v>0</v>
      </c>
      <c r="M185" s="442">
        <f>SUM(I185:L185)*$M$5</f>
        <v>0</v>
      </c>
      <c r="N185" s="442">
        <f>SUM(I185:M185)*$N$5</f>
        <v>0</v>
      </c>
      <c r="O185" s="443">
        <f>SUM(I185:N185)</f>
        <v>0</v>
      </c>
      <c r="P185" s="440">
        <f>ROUND(O185,-3)</f>
        <v>0</v>
      </c>
      <c r="Q185" s="420" t="s">
        <v>600</v>
      </c>
    </row>
    <row r="186" spans="2:17" s="420" customFormat="1" ht="11.25" x14ac:dyDescent="0.2">
      <c r="B186" s="1287"/>
      <c r="C186" s="1299"/>
      <c r="D186" s="435"/>
      <c r="E186" s="436"/>
      <c r="F186" s="437"/>
      <c r="G186" s="438"/>
      <c r="H186" s="439"/>
      <c r="I186" s="440"/>
      <c r="J186" s="441"/>
      <c r="K186" s="442"/>
      <c r="L186" s="442"/>
      <c r="M186" s="442"/>
      <c r="N186" s="442"/>
      <c r="O186" s="443"/>
      <c r="P186" s="440"/>
    </row>
    <row r="187" spans="2:17" s="420" customFormat="1" ht="11.25" x14ac:dyDescent="0.2">
      <c r="B187" s="1287"/>
      <c r="C187" s="1299"/>
      <c r="D187" s="435" t="s">
        <v>557</v>
      </c>
      <c r="E187" s="436"/>
      <c r="F187" s="437"/>
      <c r="G187" s="438"/>
      <c r="H187" s="439"/>
      <c r="I187" s="440"/>
      <c r="J187" s="441"/>
      <c r="K187" s="442"/>
      <c r="L187" s="442"/>
      <c r="M187" s="442"/>
      <c r="N187" s="442"/>
      <c r="O187" s="443"/>
      <c r="P187" s="440"/>
    </row>
    <row r="188" spans="2:17" s="420" customFormat="1" ht="11.25" x14ac:dyDescent="0.2">
      <c r="B188" s="1287"/>
      <c r="C188" s="1299"/>
      <c r="D188" s="435"/>
      <c r="E188" s="436">
        <v>1</v>
      </c>
      <c r="F188" s="437"/>
      <c r="G188" s="438"/>
      <c r="H188" s="439">
        <f t="shared" ref="H188:H192" si="26">E188*G188</f>
        <v>0</v>
      </c>
      <c r="I188" s="440"/>
      <c r="J188" s="441"/>
      <c r="K188" s="442"/>
      <c r="L188" s="442"/>
      <c r="M188" s="442"/>
      <c r="N188" s="442"/>
      <c r="O188" s="443"/>
      <c r="P188" s="440"/>
    </row>
    <row r="189" spans="2:17" s="420" customFormat="1" ht="11.25" x14ac:dyDescent="0.2">
      <c r="B189" s="1287"/>
      <c r="C189" s="1299"/>
      <c r="D189" s="435"/>
      <c r="E189" s="436">
        <v>1</v>
      </c>
      <c r="F189" s="437"/>
      <c r="G189" s="438"/>
      <c r="H189" s="439">
        <f t="shared" si="26"/>
        <v>0</v>
      </c>
      <c r="I189" s="440"/>
      <c r="J189" s="441"/>
      <c r="K189" s="442"/>
      <c r="L189" s="442"/>
      <c r="M189" s="442"/>
      <c r="N189" s="442"/>
      <c r="O189" s="443"/>
      <c r="P189" s="440"/>
    </row>
    <row r="190" spans="2:17" s="420" customFormat="1" ht="11.25" x14ac:dyDescent="0.2">
      <c r="B190" s="1287"/>
      <c r="C190" s="1299"/>
      <c r="D190" s="435"/>
      <c r="E190" s="436">
        <v>1</v>
      </c>
      <c r="F190" s="437"/>
      <c r="G190" s="438"/>
      <c r="H190" s="439">
        <f t="shared" si="26"/>
        <v>0</v>
      </c>
      <c r="I190" s="440"/>
      <c r="J190" s="441"/>
      <c r="K190" s="442"/>
      <c r="L190" s="442"/>
      <c r="M190" s="442"/>
      <c r="N190" s="442"/>
      <c r="O190" s="443"/>
      <c r="P190" s="440"/>
    </row>
    <row r="191" spans="2:17" s="420" customFormat="1" ht="11.25" x14ac:dyDescent="0.2">
      <c r="B191" s="1287"/>
      <c r="C191" s="1299"/>
      <c r="D191" s="435"/>
      <c r="E191" s="436">
        <v>1</v>
      </c>
      <c r="F191" s="437"/>
      <c r="G191" s="438"/>
      <c r="H191" s="439">
        <f t="shared" si="26"/>
        <v>0</v>
      </c>
      <c r="I191" s="440"/>
      <c r="J191" s="441"/>
      <c r="K191" s="442"/>
      <c r="L191" s="442"/>
      <c r="M191" s="442"/>
      <c r="N191" s="442"/>
      <c r="O191" s="443"/>
      <c r="P191" s="440"/>
    </row>
    <row r="192" spans="2:17" s="420" customFormat="1" ht="11.25" x14ac:dyDescent="0.2">
      <c r="B192" s="1287"/>
      <c r="C192" s="1299"/>
      <c r="D192" s="435" t="s">
        <v>610</v>
      </c>
      <c r="E192" s="436">
        <v>-1</v>
      </c>
      <c r="F192" s="437" t="s">
        <v>576</v>
      </c>
      <c r="G192" s="438">
        <f>I176</f>
        <v>0</v>
      </c>
      <c r="H192" s="439">
        <f t="shared" si="26"/>
        <v>0</v>
      </c>
      <c r="I192" s="865">
        <f>SUM(H187:H192)</f>
        <v>0</v>
      </c>
      <c r="J192" s="441">
        <f>I192*$J$5</f>
        <v>0</v>
      </c>
      <c r="K192" s="442">
        <f>SUM(I192:J192)*$K$5</f>
        <v>0</v>
      </c>
      <c r="L192" s="442">
        <f>SUM(I192:K192)*$L$5</f>
        <v>0</v>
      </c>
      <c r="M192" s="442">
        <f>SUM(I192:L192)*$M$5</f>
        <v>0</v>
      </c>
      <c r="N192" s="442">
        <f>SUM(I192:M192)*$N$5</f>
        <v>0</v>
      </c>
      <c r="O192" s="443">
        <f>SUM(I192:N192)</f>
        <v>0</v>
      </c>
      <c r="P192" s="440">
        <f>ROUND(O192,-3)</f>
        <v>0</v>
      </c>
      <c r="Q192" s="420" t="s">
        <v>600</v>
      </c>
    </row>
    <row r="193" spans="2:16" s="420" customFormat="1" ht="12" thickBot="1" x14ac:dyDescent="0.25">
      <c r="B193" s="1288"/>
      <c r="C193" s="1300"/>
      <c r="D193" s="444"/>
      <c r="E193" s="445"/>
      <c r="F193" s="446"/>
      <c r="G193" s="447"/>
      <c r="H193" s="448"/>
      <c r="I193" s="449"/>
      <c r="J193" s="477"/>
      <c r="K193" s="478"/>
      <c r="L193" s="478"/>
      <c r="M193" s="478"/>
      <c r="N193" s="478"/>
      <c r="O193" s="450"/>
      <c r="P193" s="449"/>
    </row>
  </sheetData>
  <mergeCells count="25">
    <mergeCell ref="B2:P3"/>
    <mergeCell ref="C100:C115"/>
    <mergeCell ref="C116:C131"/>
    <mergeCell ref="C132:C146"/>
    <mergeCell ref="C147:C162"/>
    <mergeCell ref="B100:B115"/>
    <mergeCell ref="B116:B131"/>
    <mergeCell ref="B132:B146"/>
    <mergeCell ref="B147:B162"/>
    <mergeCell ref="C163:C177"/>
    <mergeCell ref="C178:C193"/>
    <mergeCell ref="C6:C20"/>
    <mergeCell ref="C21:C36"/>
    <mergeCell ref="C37:C52"/>
    <mergeCell ref="C53:C68"/>
    <mergeCell ref="C69:C83"/>
    <mergeCell ref="C84:C99"/>
    <mergeCell ref="B163:B177"/>
    <mergeCell ref="B178:B193"/>
    <mergeCell ref="B6:B20"/>
    <mergeCell ref="B21:B36"/>
    <mergeCell ref="B37:B52"/>
    <mergeCell ref="B53:B68"/>
    <mergeCell ref="B69:B83"/>
    <mergeCell ref="B84:B9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D5C3-E7FA-47F1-B7A0-17E13E9980BC}">
  <sheetPr>
    <tabColor theme="5" tint="0.59999389629810485"/>
  </sheetPr>
  <dimension ref="B2:Q80"/>
  <sheetViews>
    <sheetView topLeftCell="A48" zoomScale="130" zoomScaleNormal="130" workbookViewId="0">
      <selection activeCell="B66" sqref="B66"/>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Outdoor Microclimate</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0.5" customHeight="1" x14ac:dyDescent="0.2">
      <c r="B6" s="933" t="str">
        <f>'Detailed Matrix'!E145</f>
        <v>Survey &amp; Analysis</v>
      </c>
      <c r="C6" s="1316" t="str">
        <f>'Detailed Matrix'!F145</f>
        <v>Review local planning requirements for minimum analysis and thresholds for wind-speed etc. – ensure that the project is compliant. E.g. in the City of London microclimate requirement; Hong Kong, LEED, BREEAM and DGNB-requirements regarding microclimate assessment levels.
If there are no specific planning requirements, provide a desktop study of prevailing local conditions.</v>
      </c>
      <c r="D6" s="492" t="s">
        <v>556</v>
      </c>
      <c r="E6" s="493">
        <v>1</v>
      </c>
      <c r="F6" s="494"/>
      <c r="G6" s="495"/>
      <c r="H6" s="496">
        <f t="shared" ref="H6:H12" si="0">E6*G6</f>
        <v>0</v>
      </c>
      <c r="I6" s="497"/>
      <c r="J6" s="498"/>
      <c r="K6" s="499"/>
      <c r="L6" s="499"/>
      <c r="M6" s="499"/>
      <c r="N6" s="499"/>
      <c r="O6" s="498"/>
      <c r="P6" s="497"/>
    </row>
    <row r="7" spans="2:17" s="420" customFormat="1" ht="14.45" customHeight="1" x14ac:dyDescent="0.2">
      <c r="B7" s="934"/>
      <c r="C7" s="1317"/>
      <c r="D7" s="500"/>
      <c r="E7" s="501">
        <v>1</v>
      </c>
      <c r="F7" s="502"/>
      <c r="G7" s="503"/>
      <c r="H7" s="504">
        <f t="shared" si="0"/>
        <v>0</v>
      </c>
      <c r="I7" s="505"/>
      <c r="J7" s="506"/>
      <c r="K7" s="507"/>
      <c r="L7" s="507"/>
      <c r="M7" s="507"/>
      <c r="N7" s="507"/>
      <c r="O7" s="506"/>
      <c r="P7" s="505"/>
    </row>
    <row r="8" spans="2:17" s="420" customFormat="1" ht="14.45" customHeight="1" x14ac:dyDescent="0.2">
      <c r="B8" s="934"/>
      <c r="C8" s="1317"/>
      <c r="D8" s="500"/>
      <c r="E8" s="501">
        <v>1</v>
      </c>
      <c r="F8" s="502"/>
      <c r="G8" s="503"/>
      <c r="H8" s="504">
        <f t="shared" si="0"/>
        <v>0</v>
      </c>
      <c r="I8" s="505"/>
      <c r="J8" s="506"/>
      <c r="K8" s="507"/>
      <c r="L8" s="507"/>
      <c r="M8" s="507"/>
      <c r="N8" s="507"/>
      <c r="O8" s="506"/>
      <c r="P8" s="505"/>
    </row>
    <row r="9" spans="2:17" s="420" customFormat="1" ht="14.45" customHeight="1" x14ac:dyDescent="0.2">
      <c r="B9" s="934"/>
      <c r="C9" s="1317"/>
      <c r="D9" s="500"/>
      <c r="E9" s="501">
        <v>1</v>
      </c>
      <c r="F9" s="502"/>
      <c r="G9" s="503"/>
      <c r="H9" s="504">
        <f t="shared" si="0"/>
        <v>0</v>
      </c>
      <c r="I9" s="505"/>
      <c r="J9" s="506"/>
      <c r="K9" s="507"/>
      <c r="L9" s="507"/>
      <c r="M9" s="507"/>
      <c r="N9" s="507"/>
      <c r="O9" s="506"/>
      <c r="P9" s="505"/>
    </row>
    <row r="10" spans="2:17" s="420" customFormat="1" ht="14.45" customHeight="1" x14ac:dyDescent="0.2">
      <c r="B10" s="934"/>
      <c r="C10" s="1317"/>
      <c r="D10" s="500"/>
      <c r="E10" s="501">
        <v>1</v>
      </c>
      <c r="F10" s="502"/>
      <c r="G10" s="503"/>
      <c r="H10" s="504">
        <f t="shared" si="0"/>
        <v>0</v>
      </c>
      <c r="I10" s="505"/>
      <c r="J10" s="506"/>
      <c r="K10" s="507"/>
      <c r="L10" s="507"/>
      <c r="M10" s="507"/>
      <c r="N10" s="507"/>
      <c r="O10" s="506"/>
      <c r="P10" s="505"/>
    </row>
    <row r="11" spans="2:17" s="420" customFormat="1" ht="14.45" customHeight="1" x14ac:dyDescent="0.2">
      <c r="B11" s="934"/>
      <c r="C11" s="1317"/>
      <c r="D11" s="500"/>
      <c r="E11" s="501">
        <v>1</v>
      </c>
      <c r="F11" s="502"/>
      <c r="G11" s="503"/>
      <c r="H11" s="504">
        <f t="shared" si="0"/>
        <v>0</v>
      </c>
      <c r="I11" s="505"/>
      <c r="J11" s="506"/>
      <c r="K11" s="507"/>
      <c r="L11" s="507"/>
      <c r="M11" s="507"/>
      <c r="N11" s="507"/>
      <c r="O11" s="506"/>
      <c r="P11" s="505"/>
    </row>
    <row r="12" spans="2:17" s="420" customFormat="1" ht="14.45" customHeight="1" x14ac:dyDescent="0.2">
      <c r="B12" s="934"/>
      <c r="C12" s="1317"/>
      <c r="D12" s="500" t="s">
        <v>581</v>
      </c>
      <c r="E12" s="501"/>
      <c r="F12" s="502"/>
      <c r="G12" s="503"/>
      <c r="H12" s="504">
        <f t="shared" si="0"/>
        <v>0</v>
      </c>
      <c r="I12" s="505">
        <f>SUM(H6:H12)</f>
        <v>0</v>
      </c>
      <c r="J12" s="506">
        <f>I12*$J$5</f>
        <v>0</v>
      </c>
      <c r="K12" s="507">
        <f>SUM(I12:J12)*$K$5</f>
        <v>0</v>
      </c>
      <c r="L12" s="507">
        <f>SUM(I12:K12)*$L$5</f>
        <v>0</v>
      </c>
      <c r="M12" s="507">
        <f>SUM(I12:L12)*$M$5</f>
        <v>0</v>
      </c>
      <c r="N12" s="507">
        <f>SUM(I12:M12)*$N$5</f>
        <v>0</v>
      </c>
      <c r="O12" s="506">
        <f>SUM(I12:N12)</f>
        <v>0</v>
      </c>
      <c r="P12" s="505">
        <f>ROUND(O12,-3)</f>
        <v>0</v>
      </c>
      <c r="Q12" s="420" t="s">
        <v>514</v>
      </c>
    </row>
    <row r="13" spans="2:17" s="420" customFormat="1" ht="14.45" customHeight="1" x14ac:dyDescent="0.2">
      <c r="B13" s="934"/>
      <c r="C13" s="1317"/>
      <c r="D13" s="500"/>
      <c r="E13" s="501"/>
      <c r="F13" s="502"/>
      <c r="G13" s="503"/>
      <c r="H13" s="504"/>
      <c r="I13" s="505"/>
      <c r="J13" s="506"/>
      <c r="K13" s="507"/>
      <c r="L13" s="507"/>
      <c r="M13" s="507"/>
      <c r="N13" s="507"/>
      <c r="O13" s="506"/>
      <c r="P13" s="505"/>
    </row>
    <row r="14" spans="2:17" s="420" customFormat="1" ht="14.45" customHeight="1" x14ac:dyDescent="0.2">
      <c r="B14" s="934"/>
      <c r="C14" s="1317"/>
      <c r="D14" s="500" t="s">
        <v>557</v>
      </c>
      <c r="E14" s="501">
        <v>1</v>
      </c>
      <c r="F14" s="502"/>
      <c r="G14" s="503"/>
      <c r="H14" s="504">
        <f>E14*G14</f>
        <v>0</v>
      </c>
      <c r="I14" s="505"/>
      <c r="J14" s="506"/>
      <c r="K14" s="507"/>
      <c r="L14" s="507"/>
      <c r="M14" s="507"/>
      <c r="N14" s="507"/>
      <c r="O14" s="506"/>
      <c r="P14" s="505"/>
    </row>
    <row r="15" spans="2:17" s="420" customFormat="1" ht="14.45" customHeight="1" x14ac:dyDescent="0.2">
      <c r="B15" s="934"/>
      <c r="C15" s="1317"/>
      <c r="D15" s="500"/>
      <c r="E15" s="501">
        <v>1</v>
      </c>
      <c r="F15" s="502"/>
      <c r="G15" s="503"/>
      <c r="H15" s="504">
        <f>E15*G15</f>
        <v>0</v>
      </c>
      <c r="I15" s="505"/>
      <c r="J15" s="506"/>
      <c r="K15" s="507"/>
      <c r="L15" s="507"/>
      <c r="M15" s="507"/>
      <c r="N15" s="507"/>
      <c r="O15" s="506"/>
      <c r="P15" s="505"/>
    </row>
    <row r="16" spans="2:17" s="420" customFormat="1" ht="14.45" customHeight="1" x14ac:dyDescent="0.2">
      <c r="B16" s="934"/>
      <c r="C16" s="1317"/>
      <c r="D16" s="500"/>
      <c r="E16" s="501">
        <v>1</v>
      </c>
      <c r="F16" s="502"/>
      <c r="G16" s="503"/>
      <c r="H16" s="504">
        <f>E16*G16</f>
        <v>0</v>
      </c>
      <c r="I16" s="505"/>
      <c r="J16" s="506"/>
      <c r="K16" s="507"/>
      <c r="L16" s="507"/>
      <c r="M16" s="507"/>
      <c r="N16" s="507"/>
      <c r="O16" s="506"/>
      <c r="P16" s="505"/>
    </row>
    <row r="17" spans="2:17" s="420" customFormat="1" ht="14.45" customHeight="1" x14ac:dyDescent="0.2">
      <c r="B17" s="934"/>
      <c r="C17" s="1317"/>
      <c r="D17" s="500"/>
      <c r="E17" s="501">
        <v>1</v>
      </c>
      <c r="F17" s="502"/>
      <c r="G17" s="503"/>
      <c r="H17" s="504">
        <f>E17*G17</f>
        <v>0</v>
      </c>
      <c r="I17" s="505"/>
      <c r="J17" s="506"/>
      <c r="K17" s="507"/>
      <c r="L17" s="507"/>
      <c r="M17" s="507"/>
      <c r="N17" s="507"/>
      <c r="O17" s="506"/>
      <c r="P17" s="505"/>
    </row>
    <row r="18" spans="2:17" s="420" customFormat="1" ht="14.45" customHeight="1" x14ac:dyDescent="0.2">
      <c r="B18" s="934"/>
      <c r="C18" s="1317"/>
      <c r="D18" s="500"/>
      <c r="E18" s="501">
        <v>1</v>
      </c>
      <c r="F18" s="502"/>
      <c r="G18" s="503"/>
      <c r="H18" s="504">
        <f>E18*G18</f>
        <v>0</v>
      </c>
      <c r="I18" s="505"/>
      <c r="J18" s="506"/>
      <c r="K18" s="507"/>
      <c r="L18" s="507"/>
      <c r="M18" s="507"/>
      <c r="N18" s="507"/>
      <c r="O18" s="506"/>
      <c r="P18" s="505"/>
    </row>
    <row r="19" spans="2:17" s="420" customFormat="1" ht="14.45" customHeight="1" x14ac:dyDescent="0.2">
      <c r="B19" s="934"/>
      <c r="C19" s="1317"/>
      <c r="D19" s="500" t="s">
        <v>581</v>
      </c>
      <c r="E19" s="501">
        <v>1</v>
      </c>
      <c r="F19" s="502"/>
      <c r="G19" s="503"/>
      <c r="H19" s="504">
        <f t="shared" ref="H19" si="1">E19*G19</f>
        <v>0</v>
      </c>
      <c r="I19" s="505">
        <f>SUM(H13:H19)</f>
        <v>0</v>
      </c>
      <c r="J19" s="506">
        <f>I19*$J$5</f>
        <v>0</v>
      </c>
      <c r="K19" s="507">
        <f>SUM(I19:J19)*$K$5</f>
        <v>0</v>
      </c>
      <c r="L19" s="507">
        <f>SUM(I19:K19)*$L$5</f>
        <v>0</v>
      </c>
      <c r="M19" s="507">
        <f>SUM(I19:L19)*$M$5</f>
        <v>0</v>
      </c>
      <c r="N19" s="507">
        <f>SUM(I19:M19)*$N$5</f>
        <v>0</v>
      </c>
      <c r="O19" s="506">
        <f>SUM(I19:N19)</f>
        <v>0</v>
      </c>
      <c r="P19" s="505">
        <f>ROUND(O19,-3)</f>
        <v>0</v>
      </c>
      <c r="Q19" s="420" t="s">
        <v>514</v>
      </c>
    </row>
    <row r="20" spans="2:17" s="420" customFormat="1" ht="15" customHeight="1" thickBot="1" x14ac:dyDescent="0.25">
      <c r="B20" s="935"/>
      <c r="C20" s="1318"/>
      <c r="D20" s="516"/>
      <c r="E20" s="517"/>
      <c r="F20" s="518"/>
      <c r="G20" s="519"/>
      <c r="H20" s="520"/>
      <c r="I20" s="521"/>
      <c r="J20" s="522"/>
      <c r="K20" s="523"/>
      <c r="L20" s="523"/>
      <c r="M20" s="523"/>
      <c r="N20" s="523"/>
      <c r="O20" s="522"/>
      <c r="P20" s="521"/>
    </row>
    <row r="21" spans="2:17" s="426" customFormat="1" ht="11.25" x14ac:dyDescent="0.2">
      <c r="B21" s="936" t="str">
        <f>'Detailed Matrix'!E146</f>
        <v>Survey &amp; Analysis</v>
      </c>
      <c r="C21" s="1252" t="str">
        <f>'Detailed Matrix'!F146</f>
        <v>Screening level wind study using CFD or wind tunnel for min. 12 directions: analysis of potential wind speed-up issues and highlight of any stagnant area where AQ or outdoor thermal comfort might be a concern (in particular for regions where local wind speeds are in average really low, like far east).
Simplified outdoor thermal comfort assessment based on local climate: identify the need of mitigation strategies for each season, for example shading or wind protection</v>
      </c>
      <c r="D21" s="427" t="s">
        <v>556</v>
      </c>
      <c r="E21" s="428">
        <v>1</v>
      </c>
      <c r="F21" s="429"/>
      <c r="G21" s="430"/>
      <c r="H21" s="431">
        <f t="shared" ref="H21:H27" si="2">E21*G21</f>
        <v>0</v>
      </c>
      <c r="I21" s="432"/>
      <c r="J21" s="433"/>
      <c r="K21" s="434"/>
      <c r="L21" s="434"/>
      <c r="M21" s="434"/>
      <c r="N21" s="434"/>
      <c r="O21" s="433"/>
      <c r="P21" s="432"/>
    </row>
    <row r="22" spans="2:17" s="426" customFormat="1" ht="11.25" x14ac:dyDescent="0.2">
      <c r="B22" s="937"/>
      <c r="C22" s="1253"/>
      <c r="D22" s="482"/>
      <c r="E22" s="483">
        <v>1</v>
      </c>
      <c r="F22" s="484"/>
      <c r="G22" s="485"/>
      <c r="H22" s="486">
        <f t="shared" si="2"/>
        <v>0</v>
      </c>
      <c r="I22" s="487"/>
      <c r="J22" s="488"/>
      <c r="K22" s="489"/>
      <c r="L22" s="489"/>
      <c r="M22" s="489"/>
      <c r="N22" s="489"/>
      <c r="O22" s="488"/>
      <c r="P22" s="487"/>
    </row>
    <row r="23" spans="2:17" s="426" customFormat="1" ht="11.25" x14ac:dyDescent="0.2">
      <c r="B23" s="937"/>
      <c r="C23" s="1253"/>
      <c r="D23" s="482"/>
      <c r="E23" s="483">
        <v>1</v>
      </c>
      <c r="F23" s="484"/>
      <c r="G23" s="485"/>
      <c r="H23" s="486">
        <f t="shared" si="2"/>
        <v>0</v>
      </c>
      <c r="I23" s="487"/>
      <c r="J23" s="488"/>
      <c r="K23" s="489"/>
      <c r="L23" s="489"/>
      <c r="M23" s="489"/>
      <c r="N23" s="489"/>
      <c r="O23" s="488"/>
      <c r="P23" s="487"/>
    </row>
    <row r="24" spans="2:17" s="426" customFormat="1" ht="11.25" x14ac:dyDescent="0.2">
      <c r="B24" s="937"/>
      <c r="C24" s="1253"/>
      <c r="D24" s="482"/>
      <c r="E24" s="483">
        <v>1</v>
      </c>
      <c r="F24" s="484"/>
      <c r="G24" s="485"/>
      <c r="H24" s="486">
        <f t="shared" si="2"/>
        <v>0</v>
      </c>
      <c r="I24" s="487"/>
      <c r="J24" s="488"/>
      <c r="K24" s="489"/>
      <c r="L24" s="489"/>
      <c r="M24" s="489"/>
      <c r="N24" s="489"/>
      <c r="O24" s="488"/>
      <c r="P24" s="487"/>
    </row>
    <row r="25" spans="2:17" s="426" customFormat="1" ht="11.25" x14ac:dyDescent="0.2">
      <c r="B25" s="937"/>
      <c r="C25" s="1253"/>
      <c r="D25" s="482"/>
      <c r="E25" s="483">
        <v>1</v>
      </c>
      <c r="F25" s="484"/>
      <c r="G25" s="485"/>
      <c r="H25" s="486">
        <f t="shared" si="2"/>
        <v>0</v>
      </c>
      <c r="I25" s="487"/>
      <c r="J25" s="488"/>
      <c r="K25" s="489"/>
      <c r="L25" s="489"/>
      <c r="M25" s="489"/>
      <c r="N25" s="489"/>
      <c r="O25" s="488"/>
      <c r="P25" s="487"/>
    </row>
    <row r="26" spans="2:17" s="426" customFormat="1" ht="11.25" x14ac:dyDescent="0.2">
      <c r="B26" s="937"/>
      <c r="C26" s="1253"/>
      <c r="D26" s="482"/>
      <c r="E26" s="483">
        <v>1</v>
      </c>
      <c r="F26" s="484"/>
      <c r="G26" s="485"/>
      <c r="H26" s="486">
        <f t="shared" si="2"/>
        <v>0</v>
      </c>
      <c r="I26" s="487"/>
      <c r="J26" s="488"/>
      <c r="K26" s="489"/>
      <c r="L26" s="489"/>
      <c r="M26" s="489"/>
      <c r="N26" s="489"/>
      <c r="O26" s="488"/>
      <c r="P26" s="487"/>
    </row>
    <row r="27" spans="2:17" s="426" customFormat="1" ht="11.25" x14ac:dyDescent="0.2">
      <c r="B27" s="937"/>
      <c r="C27" s="1253"/>
      <c r="D27" s="482" t="s">
        <v>621</v>
      </c>
      <c r="E27" s="483"/>
      <c r="F27" s="484"/>
      <c r="G27" s="485"/>
      <c r="H27" s="486">
        <f t="shared" si="2"/>
        <v>0</v>
      </c>
      <c r="I27" s="487">
        <f>SUM(H21:H27)</f>
        <v>0</v>
      </c>
      <c r="J27" s="488">
        <f>I27*$J$5</f>
        <v>0</v>
      </c>
      <c r="K27" s="489">
        <f>SUM(I27:J27)*$K$5</f>
        <v>0</v>
      </c>
      <c r="L27" s="489">
        <f>SUM(I27:K27)*$L$5</f>
        <v>0</v>
      </c>
      <c r="M27" s="489">
        <f>SUM(I27:L27)*$M$5</f>
        <v>0</v>
      </c>
      <c r="N27" s="489">
        <f>SUM(I27:M27)*$N$5</f>
        <v>0</v>
      </c>
      <c r="O27" s="488">
        <f>SUM(I27:N27)</f>
        <v>0</v>
      </c>
      <c r="P27" s="487">
        <f>ROUND(O27,-3)</f>
        <v>0</v>
      </c>
      <c r="Q27" s="426" t="s">
        <v>600</v>
      </c>
    </row>
    <row r="28" spans="2:17" s="426" customFormat="1" ht="11.25" x14ac:dyDescent="0.2">
      <c r="B28" s="937"/>
      <c r="C28" s="1253"/>
      <c r="D28" s="482"/>
      <c r="E28" s="483"/>
      <c r="F28" s="484"/>
      <c r="G28" s="485"/>
      <c r="H28" s="486"/>
      <c r="I28" s="487"/>
      <c r="J28" s="488"/>
      <c r="K28" s="489"/>
      <c r="L28" s="489"/>
      <c r="M28" s="489"/>
      <c r="N28" s="489"/>
      <c r="O28" s="488"/>
      <c r="P28" s="487"/>
    </row>
    <row r="29" spans="2:17" s="426" customFormat="1" ht="11.25" x14ac:dyDescent="0.2">
      <c r="B29" s="937"/>
      <c r="C29" s="1253"/>
      <c r="D29" s="482" t="s">
        <v>557</v>
      </c>
      <c r="E29" s="483">
        <v>1</v>
      </c>
      <c r="F29" s="484"/>
      <c r="G29" s="485"/>
      <c r="H29" s="486">
        <f>E29*G29</f>
        <v>0</v>
      </c>
      <c r="I29" s="487"/>
      <c r="J29" s="488"/>
      <c r="K29" s="489"/>
      <c r="L29" s="489"/>
      <c r="M29" s="489"/>
      <c r="N29" s="489"/>
      <c r="O29" s="488"/>
      <c r="P29" s="487"/>
    </row>
    <row r="30" spans="2:17" s="426" customFormat="1" ht="11.25" x14ac:dyDescent="0.2">
      <c r="B30" s="937"/>
      <c r="C30" s="1253"/>
      <c r="D30" s="482"/>
      <c r="E30" s="483">
        <v>1</v>
      </c>
      <c r="F30" s="484"/>
      <c r="G30" s="485"/>
      <c r="H30" s="486">
        <f>E30*G30</f>
        <v>0</v>
      </c>
      <c r="I30" s="487"/>
      <c r="J30" s="488"/>
      <c r="K30" s="489"/>
      <c r="L30" s="489"/>
      <c r="M30" s="489"/>
      <c r="N30" s="489"/>
      <c r="O30" s="488"/>
      <c r="P30" s="487"/>
    </row>
    <row r="31" spans="2:17" s="426" customFormat="1" ht="11.25" x14ac:dyDescent="0.2">
      <c r="B31" s="937"/>
      <c r="C31" s="1253"/>
      <c r="D31" s="482"/>
      <c r="E31" s="483">
        <v>1</v>
      </c>
      <c r="F31" s="484"/>
      <c r="G31" s="485"/>
      <c r="H31" s="486">
        <f>E31*G31</f>
        <v>0</v>
      </c>
      <c r="I31" s="487"/>
      <c r="J31" s="488"/>
      <c r="K31" s="489"/>
      <c r="L31" s="489"/>
      <c r="M31" s="489"/>
      <c r="N31" s="489"/>
      <c r="O31" s="488"/>
      <c r="P31" s="487"/>
    </row>
    <row r="32" spans="2:17" s="426" customFormat="1" ht="11.25" x14ac:dyDescent="0.2">
      <c r="B32" s="937"/>
      <c r="C32" s="1253"/>
      <c r="D32" s="482"/>
      <c r="E32" s="483">
        <v>1</v>
      </c>
      <c r="F32" s="484"/>
      <c r="G32" s="485"/>
      <c r="H32" s="486">
        <f>E32*G32</f>
        <v>0</v>
      </c>
      <c r="I32" s="487"/>
      <c r="J32" s="488"/>
      <c r="K32" s="489"/>
      <c r="L32" s="489"/>
      <c r="M32" s="489"/>
      <c r="N32" s="489"/>
      <c r="O32" s="488"/>
      <c r="P32" s="487"/>
    </row>
    <row r="33" spans="2:17" s="426" customFormat="1" ht="11.25" x14ac:dyDescent="0.2">
      <c r="B33" s="937"/>
      <c r="C33" s="1253"/>
      <c r="D33" s="482"/>
      <c r="E33" s="483">
        <v>1</v>
      </c>
      <c r="F33" s="484"/>
      <c r="G33" s="485"/>
      <c r="H33" s="486">
        <f>E33*G33</f>
        <v>0</v>
      </c>
      <c r="I33" s="487"/>
      <c r="J33" s="488"/>
      <c r="K33" s="489"/>
      <c r="L33" s="489"/>
      <c r="M33" s="489"/>
      <c r="N33" s="489"/>
      <c r="O33" s="488"/>
      <c r="P33" s="487"/>
    </row>
    <row r="34" spans="2:17" s="426" customFormat="1" ht="11.25" x14ac:dyDescent="0.2">
      <c r="B34" s="937"/>
      <c r="C34" s="1253"/>
      <c r="D34" s="482" t="s">
        <v>621</v>
      </c>
      <c r="E34" s="483">
        <v>1</v>
      </c>
      <c r="F34" s="484"/>
      <c r="G34" s="485"/>
      <c r="H34" s="486">
        <f t="shared" ref="H34" si="3">E34*G34</f>
        <v>0</v>
      </c>
      <c r="I34" s="487">
        <f>SUM(H28:H34)</f>
        <v>0</v>
      </c>
      <c r="J34" s="488">
        <f>I34*$J$5</f>
        <v>0</v>
      </c>
      <c r="K34" s="489">
        <f>SUM(I34:J34)*$K$5</f>
        <v>0</v>
      </c>
      <c r="L34" s="489">
        <f>SUM(I34:K34)*$L$5</f>
        <v>0</v>
      </c>
      <c r="M34" s="489">
        <f>SUM(I34:L34)*$M$5</f>
        <v>0</v>
      </c>
      <c r="N34" s="489">
        <f>SUM(I34:M34)*$N$5</f>
        <v>0</v>
      </c>
      <c r="O34" s="488">
        <f>SUM(I34:N34)</f>
        <v>0</v>
      </c>
      <c r="P34" s="487">
        <f>ROUND(O34,-3)</f>
        <v>0</v>
      </c>
      <c r="Q34" s="426" t="s">
        <v>600</v>
      </c>
    </row>
    <row r="35" spans="2:17" s="426" customFormat="1" ht="12" thickBot="1" x14ac:dyDescent="0.25">
      <c r="B35" s="938"/>
      <c r="C35" s="1254"/>
      <c r="D35" s="444"/>
      <c r="E35" s="445"/>
      <c r="F35" s="446"/>
      <c r="G35" s="447"/>
      <c r="H35" s="448"/>
      <c r="I35" s="449"/>
      <c r="J35" s="450"/>
      <c r="K35" s="451"/>
      <c r="L35" s="451"/>
      <c r="M35" s="451"/>
      <c r="N35" s="451"/>
      <c r="O35" s="450"/>
      <c r="P35" s="449"/>
    </row>
    <row r="36" spans="2:17" s="420" customFormat="1" ht="11.25" x14ac:dyDescent="0.2">
      <c r="B36" s="936" t="str">
        <f>'Detailed Matrix'!E147</f>
        <v>Survey &amp; Analysis</v>
      </c>
      <c r="C36" s="1252" t="str">
        <f>'Detailed Matrix'!F147</f>
        <v>Assessing Pedestrian level Wind comfort and safety involving CFD or wind tunnel using min. 16 wind directions to comply with DGNB wind requirement of potential problems on site Compare existing scenario with proposed scenario to identify potential wind acceleration issues or stagnant areas
Identify the need for urban furniture and wind mitigation measures to improve local microclimate condition so that wind any uncomfortable or unsafe conditions on site are controlled and minimized.
Run a seasonal solar exposure analysis to identify the areas fulfilling the thermal comfort suggested strategies outlined in level 2.</v>
      </c>
      <c r="D36" s="427" t="s">
        <v>556</v>
      </c>
      <c r="E36" s="428">
        <v>1</v>
      </c>
      <c r="F36" s="429"/>
      <c r="G36" s="430"/>
      <c r="H36" s="431">
        <f t="shared" ref="H36:H42" si="4">E36*G36</f>
        <v>0</v>
      </c>
      <c r="I36" s="432"/>
      <c r="J36" s="433"/>
      <c r="K36" s="434"/>
      <c r="L36" s="434"/>
      <c r="M36" s="434"/>
      <c r="N36" s="434"/>
      <c r="O36" s="433"/>
      <c r="P36" s="432"/>
    </row>
    <row r="37" spans="2:17" s="420" customFormat="1" ht="11.25" x14ac:dyDescent="0.2">
      <c r="B37" s="937"/>
      <c r="C37" s="1253"/>
      <c r="D37" s="482"/>
      <c r="E37" s="483">
        <v>1</v>
      </c>
      <c r="F37" s="484"/>
      <c r="G37" s="485"/>
      <c r="H37" s="486">
        <f t="shared" si="4"/>
        <v>0</v>
      </c>
      <c r="I37" s="487"/>
      <c r="J37" s="488"/>
      <c r="K37" s="489"/>
      <c r="L37" s="489"/>
      <c r="M37" s="489"/>
      <c r="N37" s="489"/>
      <c r="O37" s="488"/>
      <c r="P37" s="487"/>
    </row>
    <row r="38" spans="2:17" s="420" customFormat="1" ht="11.25" x14ac:dyDescent="0.2">
      <c r="B38" s="937"/>
      <c r="C38" s="1253"/>
      <c r="D38" s="482"/>
      <c r="E38" s="483">
        <v>1</v>
      </c>
      <c r="F38" s="484"/>
      <c r="G38" s="485"/>
      <c r="H38" s="486">
        <f t="shared" si="4"/>
        <v>0</v>
      </c>
      <c r="I38" s="487"/>
      <c r="J38" s="488"/>
      <c r="K38" s="489"/>
      <c r="L38" s="489"/>
      <c r="M38" s="489"/>
      <c r="N38" s="489"/>
      <c r="O38" s="488"/>
      <c r="P38" s="487"/>
    </row>
    <row r="39" spans="2:17" s="420" customFormat="1" ht="11.25" x14ac:dyDescent="0.2">
      <c r="B39" s="937"/>
      <c r="C39" s="1253"/>
      <c r="D39" s="482"/>
      <c r="E39" s="483">
        <v>1</v>
      </c>
      <c r="F39" s="484"/>
      <c r="G39" s="485"/>
      <c r="H39" s="486">
        <f t="shared" si="4"/>
        <v>0</v>
      </c>
      <c r="I39" s="487"/>
      <c r="J39" s="488"/>
      <c r="K39" s="489"/>
      <c r="L39" s="489"/>
      <c r="M39" s="489"/>
      <c r="N39" s="489"/>
      <c r="O39" s="488"/>
      <c r="P39" s="487"/>
    </row>
    <row r="40" spans="2:17" s="420" customFormat="1" ht="11.25" x14ac:dyDescent="0.2">
      <c r="B40" s="937"/>
      <c r="C40" s="1253"/>
      <c r="D40" s="482"/>
      <c r="E40" s="483">
        <v>1</v>
      </c>
      <c r="F40" s="484"/>
      <c r="G40" s="485"/>
      <c r="H40" s="486">
        <f t="shared" si="4"/>
        <v>0</v>
      </c>
      <c r="I40" s="487"/>
      <c r="J40" s="488"/>
      <c r="K40" s="489"/>
      <c r="L40" s="489"/>
      <c r="M40" s="489"/>
      <c r="N40" s="489"/>
      <c r="O40" s="488"/>
      <c r="P40" s="487"/>
    </row>
    <row r="41" spans="2:17" s="420" customFormat="1" ht="11.25" x14ac:dyDescent="0.2">
      <c r="B41" s="937"/>
      <c r="C41" s="1253"/>
      <c r="D41" s="482"/>
      <c r="E41" s="483">
        <v>1</v>
      </c>
      <c r="F41" s="484"/>
      <c r="G41" s="485"/>
      <c r="H41" s="486">
        <f t="shared" si="4"/>
        <v>0</v>
      </c>
      <c r="I41" s="487"/>
      <c r="J41" s="488"/>
      <c r="K41" s="489"/>
      <c r="L41" s="489"/>
      <c r="M41" s="489"/>
      <c r="N41" s="489"/>
      <c r="O41" s="488"/>
      <c r="P41" s="487"/>
    </row>
    <row r="42" spans="2:17" s="420" customFormat="1" ht="11.25" x14ac:dyDescent="0.2">
      <c r="B42" s="937"/>
      <c r="C42" s="1253"/>
      <c r="D42" s="482" t="s">
        <v>621</v>
      </c>
      <c r="E42" s="483"/>
      <c r="F42" s="484"/>
      <c r="G42" s="485"/>
      <c r="H42" s="486">
        <f t="shared" si="4"/>
        <v>0</v>
      </c>
      <c r="I42" s="487">
        <f>SUM(H36:H42)</f>
        <v>0</v>
      </c>
      <c r="J42" s="488">
        <f>I42*$J$5</f>
        <v>0</v>
      </c>
      <c r="K42" s="489">
        <f>SUM(I42:J42)*$K$5</f>
        <v>0</v>
      </c>
      <c r="L42" s="489">
        <f>SUM(I42:K42)*$L$5</f>
        <v>0</v>
      </c>
      <c r="M42" s="489">
        <f>SUM(I42:L42)*$M$5</f>
        <v>0</v>
      </c>
      <c r="N42" s="489">
        <f>SUM(I42:M42)*$N$5</f>
        <v>0</v>
      </c>
      <c r="O42" s="488">
        <f>SUM(I42:N42)</f>
        <v>0</v>
      </c>
      <c r="P42" s="487">
        <f>ROUND(O42,-3)</f>
        <v>0</v>
      </c>
      <c r="Q42" s="420" t="s">
        <v>600</v>
      </c>
    </row>
    <row r="43" spans="2:17" s="420" customFormat="1" ht="11.25" x14ac:dyDescent="0.2">
      <c r="B43" s="937"/>
      <c r="C43" s="1253"/>
      <c r="D43" s="482"/>
      <c r="E43" s="483"/>
      <c r="F43" s="484"/>
      <c r="G43" s="485"/>
      <c r="H43" s="486"/>
      <c r="I43" s="487"/>
      <c r="J43" s="488"/>
      <c r="K43" s="489"/>
      <c r="L43" s="489"/>
      <c r="M43" s="489"/>
      <c r="N43" s="489"/>
      <c r="O43" s="488"/>
      <c r="P43" s="487"/>
    </row>
    <row r="44" spans="2:17" s="420" customFormat="1" ht="11.25" x14ac:dyDescent="0.2">
      <c r="B44" s="937"/>
      <c r="C44" s="1253"/>
      <c r="D44" s="482" t="s">
        <v>557</v>
      </c>
      <c r="E44" s="483">
        <v>1</v>
      </c>
      <c r="F44" s="484"/>
      <c r="G44" s="485"/>
      <c r="H44" s="486">
        <f>E44*G44</f>
        <v>0</v>
      </c>
      <c r="I44" s="487"/>
      <c r="J44" s="488"/>
      <c r="K44" s="489"/>
      <c r="L44" s="489"/>
      <c r="M44" s="489"/>
      <c r="N44" s="489"/>
      <c r="O44" s="488"/>
      <c r="P44" s="487"/>
    </row>
    <row r="45" spans="2:17" s="420" customFormat="1" ht="11.25" x14ac:dyDescent="0.2">
      <c r="B45" s="937"/>
      <c r="C45" s="1253"/>
      <c r="D45" s="482"/>
      <c r="E45" s="483">
        <v>1</v>
      </c>
      <c r="F45" s="484"/>
      <c r="G45" s="485"/>
      <c r="H45" s="486">
        <f>E45*G45</f>
        <v>0</v>
      </c>
      <c r="I45" s="487"/>
      <c r="J45" s="488"/>
      <c r="K45" s="489"/>
      <c r="L45" s="489"/>
      <c r="M45" s="489"/>
      <c r="N45" s="489"/>
      <c r="O45" s="488"/>
      <c r="P45" s="487"/>
    </row>
    <row r="46" spans="2:17" s="420" customFormat="1" ht="11.25" x14ac:dyDescent="0.2">
      <c r="B46" s="937"/>
      <c r="C46" s="1253"/>
      <c r="D46" s="482"/>
      <c r="E46" s="483">
        <v>1</v>
      </c>
      <c r="F46" s="484"/>
      <c r="G46" s="485"/>
      <c r="H46" s="486">
        <f>E46*G46</f>
        <v>0</v>
      </c>
      <c r="I46" s="487"/>
      <c r="J46" s="488"/>
      <c r="K46" s="489"/>
      <c r="L46" s="489"/>
      <c r="M46" s="489"/>
      <c r="N46" s="489"/>
      <c r="O46" s="488"/>
      <c r="P46" s="487"/>
    </row>
    <row r="47" spans="2:17" s="420" customFormat="1" ht="11.25" x14ac:dyDescent="0.2">
      <c r="B47" s="937"/>
      <c r="C47" s="1253"/>
      <c r="D47" s="482"/>
      <c r="E47" s="483">
        <v>1</v>
      </c>
      <c r="F47" s="484"/>
      <c r="G47" s="485"/>
      <c r="H47" s="486">
        <f>E47*G47</f>
        <v>0</v>
      </c>
      <c r="I47" s="487"/>
      <c r="J47" s="488"/>
      <c r="K47" s="489"/>
      <c r="L47" s="489"/>
      <c r="M47" s="489"/>
      <c r="N47" s="489"/>
      <c r="O47" s="488"/>
      <c r="P47" s="487"/>
    </row>
    <row r="48" spans="2:17" s="420" customFormat="1" ht="11.25" x14ac:dyDescent="0.2">
      <c r="B48" s="937"/>
      <c r="C48" s="1253"/>
      <c r="D48" s="482"/>
      <c r="E48" s="483">
        <v>1</v>
      </c>
      <c r="F48" s="484"/>
      <c r="G48" s="485"/>
      <c r="H48" s="486">
        <f>E48*G48</f>
        <v>0</v>
      </c>
      <c r="I48" s="487"/>
      <c r="J48" s="488"/>
      <c r="K48" s="489"/>
      <c r="L48" s="489"/>
      <c r="M48" s="489"/>
      <c r="N48" s="489"/>
      <c r="O48" s="488"/>
      <c r="P48" s="487"/>
    </row>
    <row r="49" spans="2:17" s="420" customFormat="1" ht="11.25" x14ac:dyDescent="0.2">
      <c r="B49" s="937"/>
      <c r="C49" s="1253"/>
      <c r="D49" s="482" t="s">
        <v>621</v>
      </c>
      <c r="E49" s="483">
        <v>1</v>
      </c>
      <c r="F49" s="484"/>
      <c r="G49" s="485"/>
      <c r="H49" s="486">
        <f t="shared" ref="H49" si="5">E49*G49</f>
        <v>0</v>
      </c>
      <c r="I49" s="487">
        <f>SUM(H43:H49)</f>
        <v>0</v>
      </c>
      <c r="J49" s="488">
        <f>I49*$J$5</f>
        <v>0</v>
      </c>
      <c r="K49" s="489">
        <f>SUM(I49:J49)*$K$5</f>
        <v>0</v>
      </c>
      <c r="L49" s="489">
        <f>SUM(I49:K49)*$L$5</f>
        <v>0</v>
      </c>
      <c r="M49" s="489">
        <f>SUM(I49:L49)*$M$5</f>
        <v>0</v>
      </c>
      <c r="N49" s="489">
        <f>SUM(I49:M49)*$N$5</f>
        <v>0</v>
      </c>
      <c r="O49" s="488">
        <f>SUM(I49:N49)</f>
        <v>0</v>
      </c>
      <c r="P49" s="487">
        <f>ROUND(O49,-3)</f>
        <v>0</v>
      </c>
      <c r="Q49" s="420" t="s">
        <v>600</v>
      </c>
    </row>
    <row r="50" spans="2:17" s="420" customFormat="1" ht="12" thickBot="1" x14ac:dyDescent="0.25">
      <c r="B50" s="938"/>
      <c r="C50" s="1254"/>
      <c r="D50" s="444"/>
      <c r="E50" s="445"/>
      <c r="F50" s="446"/>
      <c r="G50" s="447"/>
      <c r="H50" s="448"/>
      <c r="I50" s="449"/>
      <c r="J50" s="450"/>
      <c r="K50" s="451"/>
      <c r="L50" s="451"/>
      <c r="M50" s="451"/>
      <c r="N50" s="451"/>
      <c r="O50" s="450"/>
      <c r="P50" s="449"/>
    </row>
    <row r="51" spans="2:17" s="426" customFormat="1" ht="11.25" x14ac:dyDescent="0.2">
      <c r="B51" s="936" t="str">
        <f>'Detailed Matrix'!E148</f>
        <v>Survey &amp; Analysis</v>
      </c>
      <c r="C51" s="1252" t="str">
        <f>'Detailed Matrix'!F148</f>
        <v>Conduct wind comfort assessment with vegetation and mitigation option included (min 16 wind directions) DGNB+ on microclimate as level 3 plus testing the mitigation steps on site – follow-up after handover and measuring the efficiency of the measures.
Outdoor thermal comfort detailed analysis predicting hourly felt temperature values for the final design during the most critical parts of the year.</v>
      </c>
      <c r="D51" s="427" t="s">
        <v>556</v>
      </c>
      <c r="E51" s="428">
        <v>1</v>
      </c>
      <c r="F51" s="429"/>
      <c r="G51" s="430"/>
      <c r="H51" s="431">
        <f t="shared" ref="H51:H57" si="6">E51*G51</f>
        <v>0</v>
      </c>
      <c r="I51" s="432"/>
      <c r="J51" s="433"/>
      <c r="K51" s="434"/>
      <c r="L51" s="434"/>
      <c r="M51" s="434"/>
      <c r="N51" s="434"/>
      <c r="O51" s="433"/>
      <c r="P51" s="432"/>
    </row>
    <row r="52" spans="2:17" s="426" customFormat="1" ht="11.25" x14ac:dyDescent="0.2">
      <c r="B52" s="937"/>
      <c r="C52" s="1253"/>
      <c r="D52" s="482"/>
      <c r="E52" s="483">
        <v>1</v>
      </c>
      <c r="F52" s="484"/>
      <c r="G52" s="485"/>
      <c r="H52" s="486">
        <f t="shared" si="6"/>
        <v>0</v>
      </c>
      <c r="I52" s="487"/>
      <c r="J52" s="488"/>
      <c r="K52" s="489"/>
      <c r="L52" s="489"/>
      <c r="M52" s="489"/>
      <c r="N52" s="489"/>
      <c r="O52" s="488"/>
      <c r="P52" s="487"/>
    </row>
    <row r="53" spans="2:17" s="426" customFormat="1" ht="11.25" x14ac:dyDescent="0.2">
      <c r="B53" s="937"/>
      <c r="C53" s="1253"/>
      <c r="D53" s="482"/>
      <c r="E53" s="483">
        <v>1</v>
      </c>
      <c r="F53" s="484"/>
      <c r="G53" s="485"/>
      <c r="H53" s="486">
        <f t="shared" si="6"/>
        <v>0</v>
      </c>
      <c r="I53" s="487"/>
      <c r="J53" s="488"/>
      <c r="K53" s="489"/>
      <c r="L53" s="489"/>
      <c r="M53" s="489"/>
      <c r="N53" s="489"/>
      <c r="O53" s="488"/>
      <c r="P53" s="487"/>
    </row>
    <row r="54" spans="2:17" s="426" customFormat="1" ht="11.25" x14ac:dyDescent="0.2">
      <c r="B54" s="937"/>
      <c r="C54" s="1253"/>
      <c r="D54" s="482"/>
      <c r="E54" s="483">
        <v>1</v>
      </c>
      <c r="F54" s="484"/>
      <c r="G54" s="485"/>
      <c r="H54" s="486">
        <f t="shared" si="6"/>
        <v>0</v>
      </c>
      <c r="I54" s="487"/>
      <c r="J54" s="488"/>
      <c r="K54" s="489"/>
      <c r="L54" s="489"/>
      <c r="M54" s="489"/>
      <c r="N54" s="489"/>
      <c r="O54" s="488"/>
      <c r="P54" s="487"/>
    </row>
    <row r="55" spans="2:17" s="426" customFormat="1" ht="11.25" x14ac:dyDescent="0.2">
      <c r="B55" s="937"/>
      <c r="C55" s="1253"/>
      <c r="D55" s="482"/>
      <c r="E55" s="483">
        <v>1</v>
      </c>
      <c r="F55" s="484"/>
      <c r="G55" s="485"/>
      <c r="H55" s="486">
        <f t="shared" si="6"/>
        <v>0</v>
      </c>
      <c r="I55" s="487"/>
      <c r="J55" s="488"/>
      <c r="K55" s="489"/>
      <c r="L55" s="489"/>
      <c r="M55" s="489"/>
      <c r="N55" s="489"/>
      <c r="O55" s="488"/>
      <c r="P55" s="487"/>
    </row>
    <row r="56" spans="2:17" s="426" customFormat="1" ht="11.25" x14ac:dyDescent="0.2">
      <c r="B56" s="937"/>
      <c r="C56" s="1253"/>
      <c r="D56" s="482"/>
      <c r="E56" s="483">
        <v>1</v>
      </c>
      <c r="F56" s="484"/>
      <c r="G56" s="485"/>
      <c r="H56" s="486">
        <f t="shared" si="6"/>
        <v>0</v>
      </c>
      <c r="I56" s="487"/>
      <c r="J56" s="488"/>
      <c r="K56" s="489"/>
      <c r="L56" s="489"/>
      <c r="M56" s="489"/>
      <c r="N56" s="489"/>
      <c r="O56" s="488"/>
      <c r="P56" s="487"/>
    </row>
    <row r="57" spans="2:17" s="426" customFormat="1" ht="11.25" x14ac:dyDescent="0.2">
      <c r="B57" s="937"/>
      <c r="C57" s="1253"/>
      <c r="D57" s="482" t="s">
        <v>621</v>
      </c>
      <c r="E57" s="483"/>
      <c r="F57" s="484"/>
      <c r="G57" s="485"/>
      <c r="H57" s="486">
        <f t="shared" si="6"/>
        <v>0</v>
      </c>
      <c r="I57" s="487">
        <f>SUM(H51:H57)</f>
        <v>0</v>
      </c>
      <c r="J57" s="488">
        <f>I57*$J$5</f>
        <v>0</v>
      </c>
      <c r="K57" s="489">
        <f>SUM(I57:J57)*$K$5</f>
        <v>0</v>
      </c>
      <c r="L57" s="489">
        <f>SUM(I57:K57)*$L$5</f>
        <v>0</v>
      </c>
      <c r="M57" s="489">
        <f>SUM(I57:L57)*$M$5</f>
        <v>0</v>
      </c>
      <c r="N57" s="489">
        <f>SUM(I57:M57)*$N$5</f>
        <v>0</v>
      </c>
      <c r="O57" s="488">
        <f>SUM(I57:N57)</f>
        <v>0</v>
      </c>
      <c r="P57" s="487">
        <f>ROUND(O57,-3)</f>
        <v>0</v>
      </c>
      <c r="Q57" s="426" t="s">
        <v>600</v>
      </c>
    </row>
    <row r="58" spans="2:17" s="426" customFormat="1" ht="11.25" x14ac:dyDescent="0.2">
      <c r="B58" s="937"/>
      <c r="C58" s="1253"/>
      <c r="D58" s="482"/>
      <c r="E58" s="483"/>
      <c r="F58" s="484"/>
      <c r="G58" s="485"/>
      <c r="H58" s="486"/>
      <c r="I58" s="487"/>
      <c r="J58" s="488"/>
      <c r="K58" s="489"/>
      <c r="L58" s="489"/>
      <c r="M58" s="489"/>
      <c r="N58" s="489"/>
      <c r="O58" s="488"/>
      <c r="P58" s="487"/>
    </row>
    <row r="59" spans="2:17" s="426" customFormat="1" ht="11.25" x14ac:dyDescent="0.2">
      <c r="B59" s="937"/>
      <c r="C59" s="1253"/>
      <c r="D59" s="482" t="s">
        <v>557</v>
      </c>
      <c r="E59" s="483">
        <v>1</v>
      </c>
      <c r="F59" s="484"/>
      <c r="G59" s="485"/>
      <c r="H59" s="486">
        <f>E59*G59</f>
        <v>0</v>
      </c>
      <c r="I59" s="487"/>
      <c r="J59" s="488"/>
      <c r="K59" s="489"/>
      <c r="L59" s="489"/>
      <c r="M59" s="489"/>
      <c r="N59" s="489"/>
      <c r="O59" s="488"/>
      <c r="P59" s="487"/>
    </row>
    <row r="60" spans="2:17" s="426" customFormat="1" ht="11.25" x14ac:dyDescent="0.2">
      <c r="B60" s="937"/>
      <c r="C60" s="1253"/>
      <c r="D60" s="482"/>
      <c r="E60" s="483">
        <v>1</v>
      </c>
      <c r="F60" s="484"/>
      <c r="G60" s="485"/>
      <c r="H60" s="486">
        <f>E60*G60</f>
        <v>0</v>
      </c>
      <c r="I60" s="487"/>
      <c r="J60" s="488"/>
      <c r="K60" s="489"/>
      <c r="L60" s="489"/>
      <c r="M60" s="489"/>
      <c r="N60" s="489"/>
      <c r="O60" s="488"/>
      <c r="P60" s="487"/>
    </row>
    <row r="61" spans="2:17" s="426" customFormat="1" ht="11.25" x14ac:dyDescent="0.2">
      <c r="B61" s="937"/>
      <c r="C61" s="1253"/>
      <c r="D61" s="482"/>
      <c r="E61" s="483">
        <v>1</v>
      </c>
      <c r="F61" s="484"/>
      <c r="G61" s="485"/>
      <c r="H61" s="486">
        <f>E61*G61</f>
        <v>0</v>
      </c>
      <c r="I61" s="487"/>
      <c r="J61" s="488"/>
      <c r="K61" s="489"/>
      <c r="L61" s="489"/>
      <c r="M61" s="489"/>
      <c r="N61" s="489"/>
      <c r="O61" s="488"/>
      <c r="P61" s="487"/>
    </row>
    <row r="62" spans="2:17" s="426" customFormat="1" ht="11.25" x14ac:dyDescent="0.2">
      <c r="B62" s="937"/>
      <c r="C62" s="1253"/>
      <c r="D62" s="482"/>
      <c r="E62" s="483">
        <v>1</v>
      </c>
      <c r="F62" s="484"/>
      <c r="G62" s="485"/>
      <c r="H62" s="486">
        <f>E62*G62</f>
        <v>0</v>
      </c>
      <c r="I62" s="487"/>
      <c r="J62" s="488"/>
      <c r="K62" s="489"/>
      <c r="L62" s="489"/>
      <c r="M62" s="489"/>
      <c r="N62" s="489"/>
      <c r="O62" s="488"/>
      <c r="P62" s="487"/>
    </row>
    <row r="63" spans="2:17" s="426" customFormat="1" ht="11.25" x14ac:dyDescent="0.2">
      <c r="B63" s="937"/>
      <c r="C63" s="1253"/>
      <c r="D63" s="482"/>
      <c r="E63" s="483">
        <v>1</v>
      </c>
      <c r="F63" s="484"/>
      <c r="G63" s="485"/>
      <c r="H63" s="486">
        <f>E63*G63</f>
        <v>0</v>
      </c>
      <c r="I63" s="487"/>
      <c r="J63" s="488"/>
      <c r="K63" s="489"/>
      <c r="L63" s="489"/>
      <c r="M63" s="489"/>
      <c r="N63" s="489"/>
      <c r="O63" s="488"/>
      <c r="P63" s="487"/>
    </row>
    <row r="64" spans="2:17" s="426" customFormat="1" ht="11.25" x14ac:dyDescent="0.2">
      <c r="B64" s="937"/>
      <c r="C64" s="1253"/>
      <c r="D64" s="482" t="s">
        <v>621</v>
      </c>
      <c r="E64" s="483">
        <v>1</v>
      </c>
      <c r="F64" s="484"/>
      <c r="G64" s="485"/>
      <c r="H64" s="486">
        <f t="shared" ref="H64" si="7">E64*G64</f>
        <v>0</v>
      </c>
      <c r="I64" s="487">
        <f>SUM(H58:H64)</f>
        <v>0</v>
      </c>
      <c r="J64" s="488">
        <f>I64*$J$5</f>
        <v>0</v>
      </c>
      <c r="K64" s="489">
        <f>SUM(I64:J64)*$K$5</f>
        <v>0</v>
      </c>
      <c r="L64" s="489">
        <f>SUM(I64:K64)*$L$5</f>
        <v>0</v>
      </c>
      <c r="M64" s="489">
        <f>SUM(I64:L64)*$M$5</f>
        <v>0</v>
      </c>
      <c r="N64" s="489">
        <f>SUM(I64:M64)*$N$5</f>
        <v>0</v>
      </c>
      <c r="O64" s="488">
        <f>SUM(I64:N64)</f>
        <v>0</v>
      </c>
      <c r="P64" s="487">
        <f>ROUND(O64,-3)</f>
        <v>0</v>
      </c>
      <c r="Q64" s="426" t="s">
        <v>600</v>
      </c>
    </row>
    <row r="65" spans="2:17" s="426" customFormat="1" ht="12" thickBot="1" x14ac:dyDescent="0.25">
      <c r="B65" s="938"/>
      <c r="C65" s="1254"/>
      <c r="D65" s="444"/>
      <c r="E65" s="445"/>
      <c r="F65" s="446"/>
      <c r="G65" s="447"/>
      <c r="H65" s="448"/>
      <c r="I65" s="449"/>
      <c r="J65" s="450"/>
      <c r="K65" s="451"/>
      <c r="L65" s="451"/>
      <c r="M65" s="451"/>
      <c r="N65" s="451"/>
      <c r="O65" s="450"/>
      <c r="P65" s="449"/>
    </row>
    <row r="66" spans="2:17" s="420" customFormat="1" ht="11.25" x14ac:dyDescent="0.2">
      <c r="B66" s="936" t="str">
        <f>'Detailed Matrix'!E149</f>
        <v>Survey &amp; Analysis</v>
      </c>
      <c r="C66" s="1252" t="str">
        <f>'Detailed Matrix'!F149</f>
        <v>Conduct outdoor thermal and wind comfort assessment including air quality assessment, if relevant, for achieving best DGNB ratings. Including assessment of potential extreme heat and wind events for evaluating level of mitigation requirement with testing.
Open for sharing data, challenges and learnings with academia/global construction industry and publication of assessment and outcome of design to enhanced market exposure.</v>
      </c>
      <c r="D66" s="427" t="s">
        <v>556</v>
      </c>
      <c r="E66" s="428">
        <v>1</v>
      </c>
      <c r="F66" s="429"/>
      <c r="G66" s="430"/>
      <c r="H66" s="431">
        <f t="shared" ref="H66:H72" si="8">E66*G66</f>
        <v>0</v>
      </c>
      <c r="I66" s="432"/>
      <c r="J66" s="433"/>
      <c r="K66" s="434"/>
      <c r="L66" s="434"/>
      <c r="M66" s="434"/>
      <c r="N66" s="434"/>
      <c r="O66" s="433"/>
      <c r="P66" s="432"/>
    </row>
    <row r="67" spans="2:17" s="420" customFormat="1" ht="11.25" x14ac:dyDescent="0.2">
      <c r="B67" s="937"/>
      <c r="C67" s="1253"/>
      <c r="D67" s="482"/>
      <c r="E67" s="483">
        <v>1</v>
      </c>
      <c r="F67" s="484"/>
      <c r="G67" s="485"/>
      <c r="H67" s="486">
        <f t="shared" si="8"/>
        <v>0</v>
      </c>
      <c r="I67" s="487"/>
      <c r="J67" s="488"/>
      <c r="K67" s="489"/>
      <c r="L67" s="489"/>
      <c r="M67" s="489"/>
      <c r="N67" s="489"/>
      <c r="O67" s="488"/>
      <c r="P67" s="487"/>
    </row>
    <row r="68" spans="2:17" s="420" customFormat="1" ht="11.25" x14ac:dyDescent="0.2">
      <c r="B68" s="937"/>
      <c r="C68" s="1253"/>
      <c r="D68" s="482"/>
      <c r="E68" s="483">
        <v>1</v>
      </c>
      <c r="F68" s="484"/>
      <c r="G68" s="485"/>
      <c r="H68" s="486">
        <f t="shared" si="8"/>
        <v>0</v>
      </c>
      <c r="I68" s="487"/>
      <c r="J68" s="488"/>
      <c r="K68" s="489"/>
      <c r="L68" s="489"/>
      <c r="M68" s="489"/>
      <c r="N68" s="489"/>
      <c r="O68" s="488"/>
      <c r="P68" s="487"/>
    </row>
    <row r="69" spans="2:17" s="420" customFormat="1" ht="11.25" x14ac:dyDescent="0.2">
      <c r="B69" s="937"/>
      <c r="C69" s="1253"/>
      <c r="D69" s="482"/>
      <c r="E69" s="483">
        <v>1</v>
      </c>
      <c r="F69" s="484"/>
      <c r="G69" s="485"/>
      <c r="H69" s="486">
        <f t="shared" si="8"/>
        <v>0</v>
      </c>
      <c r="I69" s="487"/>
      <c r="J69" s="488"/>
      <c r="K69" s="489"/>
      <c r="L69" s="489"/>
      <c r="M69" s="489"/>
      <c r="N69" s="489"/>
      <c r="O69" s="488"/>
      <c r="P69" s="487"/>
    </row>
    <row r="70" spans="2:17" s="420" customFormat="1" ht="11.25" x14ac:dyDescent="0.2">
      <c r="B70" s="937"/>
      <c r="C70" s="1253"/>
      <c r="D70" s="482"/>
      <c r="E70" s="483">
        <v>1</v>
      </c>
      <c r="F70" s="484"/>
      <c r="G70" s="485"/>
      <c r="H70" s="486">
        <f t="shared" si="8"/>
        <v>0</v>
      </c>
      <c r="I70" s="487"/>
      <c r="J70" s="488"/>
      <c r="K70" s="489"/>
      <c r="L70" s="489"/>
      <c r="M70" s="489"/>
      <c r="N70" s="489"/>
      <c r="O70" s="488"/>
      <c r="P70" s="487"/>
    </row>
    <row r="71" spans="2:17" s="420" customFormat="1" ht="11.25" x14ac:dyDescent="0.2">
      <c r="B71" s="937"/>
      <c r="C71" s="1253"/>
      <c r="D71" s="482"/>
      <c r="E71" s="483">
        <v>1</v>
      </c>
      <c r="F71" s="484"/>
      <c r="G71" s="485"/>
      <c r="H71" s="486">
        <f t="shared" si="8"/>
        <v>0</v>
      </c>
      <c r="I71" s="487"/>
      <c r="J71" s="488"/>
      <c r="K71" s="489"/>
      <c r="L71" s="489"/>
      <c r="M71" s="489"/>
      <c r="N71" s="489"/>
      <c r="O71" s="488"/>
      <c r="P71" s="487"/>
    </row>
    <row r="72" spans="2:17" s="420" customFormat="1" ht="11.25" x14ac:dyDescent="0.2">
      <c r="B72" s="937"/>
      <c r="C72" s="1253"/>
      <c r="D72" s="482" t="s">
        <v>621</v>
      </c>
      <c r="E72" s="483"/>
      <c r="F72" s="484"/>
      <c r="G72" s="485"/>
      <c r="H72" s="486">
        <f t="shared" si="8"/>
        <v>0</v>
      </c>
      <c r="I72" s="487">
        <f>SUM(H66:H72)</f>
        <v>0</v>
      </c>
      <c r="J72" s="488">
        <f>I72*$J$5</f>
        <v>0</v>
      </c>
      <c r="K72" s="489">
        <f>SUM(I72:J72)*$K$5</f>
        <v>0</v>
      </c>
      <c r="L72" s="489">
        <f>SUM(I72:K72)*$L$5</f>
        <v>0</v>
      </c>
      <c r="M72" s="489">
        <f>SUM(I72:L72)*$M$5</f>
        <v>0</v>
      </c>
      <c r="N72" s="489">
        <f>SUM(I72:M72)*$N$5</f>
        <v>0</v>
      </c>
      <c r="O72" s="488">
        <f>SUM(I72:N72)</f>
        <v>0</v>
      </c>
      <c r="P72" s="487">
        <f>ROUND(O72,-3)</f>
        <v>0</v>
      </c>
      <c r="Q72" s="420" t="s">
        <v>600</v>
      </c>
    </row>
    <row r="73" spans="2:17" s="420" customFormat="1" ht="11.25" x14ac:dyDescent="0.2">
      <c r="B73" s="937"/>
      <c r="C73" s="1253"/>
      <c r="D73" s="482"/>
      <c r="E73" s="483"/>
      <c r="F73" s="484"/>
      <c r="G73" s="485"/>
      <c r="H73" s="486"/>
      <c r="I73" s="487"/>
      <c r="J73" s="488"/>
      <c r="K73" s="489"/>
      <c r="L73" s="489"/>
      <c r="M73" s="489"/>
      <c r="N73" s="489"/>
      <c r="O73" s="488"/>
      <c r="P73" s="487"/>
    </row>
    <row r="74" spans="2:17" s="420" customFormat="1" ht="11.25" x14ac:dyDescent="0.2">
      <c r="B74" s="937"/>
      <c r="C74" s="1253"/>
      <c r="D74" s="482" t="s">
        <v>557</v>
      </c>
      <c r="E74" s="483">
        <v>1</v>
      </c>
      <c r="F74" s="484"/>
      <c r="G74" s="485"/>
      <c r="H74" s="486">
        <f>E74*G74</f>
        <v>0</v>
      </c>
      <c r="I74" s="487"/>
      <c r="J74" s="488"/>
      <c r="K74" s="489"/>
      <c r="L74" s="489"/>
      <c r="M74" s="489"/>
      <c r="N74" s="489"/>
      <c r="O74" s="488"/>
      <c r="P74" s="487"/>
    </row>
    <row r="75" spans="2:17" s="420" customFormat="1" ht="11.25" x14ac:dyDescent="0.2">
      <c r="B75" s="937"/>
      <c r="C75" s="1253"/>
      <c r="D75" s="482"/>
      <c r="E75" s="483">
        <v>1</v>
      </c>
      <c r="F75" s="484"/>
      <c r="G75" s="485"/>
      <c r="H75" s="486">
        <f>E75*G75</f>
        <v>0</v>
      </c>
      <c r="I75" s="487"/>
      <c r="J75" s="488"/>
      <c r="K75" s="489"/>
      <c r="L75" s="489"/>
      <c r="M75" s="489"/>
      <c r="N75" s="489"/>
      <c r="O75" s="488"/>
      <c r="P75" s="487"/>
    </row>
    <row r="76" spans="2:17" s="420" customFormat="1" ht="11.25" x14ac:dyDescent="0.2">
      <c r="B76" s="937"/>
      <c r="C76" s="1253"/>
      <c r="D76" s="482"/>
      <c r="E76" s="483">
        <v>1</v>
      </c>
      <c r="F76" s="484"/>
      <c r="G76" s="485"/>
      <c r="H76" s="486">
        <f>E76*G76</f>
        <v>0</v>
      </c>
      <c r="I76" s="487"/>
      <c r="J76" s="488"/>
      <c r="K76" s="489"/>
      <c r="L76" s="489"/>
      <c r="M76" s="489"/>
      <c r="N76" s="489"/>
      <c r="O76" s="488"/>
      <c r="P76" s="487"/>
    </row>
    <row r="77" spans="2:17" s="420" customFormat="1" ht="11.25" x14ac:dyDescent="0.2">
      <c r="B77" s="937"/>
      <c r="C77" s="1253"/>
      <c r="D77" s="482"/>
      <c r="E77" s="483">
        <v>1</v>
      </c>
      <c r="F77" s="484"/>
      <c r="G77" s="485"/>
      <c r="H77" s="486">
        <f>E77*G77</f>
        <v>0</v>
      </c>
      <c r="I77" s="487"/>
      <c r="J77" s="488"/>
      <c r="K77" s="489"/>
      <c r="L77" s="489"/>
      <c r="M77" s="489"/>
      <c r="N77" s="489"/>
      <c r="O77" s="488"/>
      <c r="P77" s="487"/>
    </row>
    <row r="78" spans="2:17" s="420" customFormat="1" ht="11.25" x14ac:dyDescent="0.2">
      <c r="B78" s="937"/>
      <c r="C78" s="1253"/>
      <c r="D78" s="482"/>
      <c r="E78" s="483">
        <v>1</v>
      </c>
      <c r="F78" s="484"/>
      <c r="G78" s="485"/>
      <c r="H78" s="486">
        <f>E78*G78</f>
        <v>0</v>
      </c>
      <c r="I78" s="487"/>
      <c r="J78" s="488"/>
      <c r="K78" s="489"/>
      <c r="L78" s="489"/>
      <c r="M78" s="489"/>
      <c r="N78" s="489"/>
      <c r="O78" s="488"/>
      <c r="P78" s="487"/>
    </row>
    <row r="79" spans="2:17" s="420" customFormat="1" ht="11.25" x14ac:dyDescent="0.2">
      <c r="B79" s="937"/>
      <c r="C79" s="1253"/>
      <c r="D79" s="482" t="s">
        <v>621</v>
      </c>
      <c r="E79" s="483">
        <v>1</v>
      </c>
      <c r="F79" s="484"/>
      <c r="G79" s="485"/>
      <c r="H79" s="486">
        <f t="shared" ref="H79" si="9">E79*G79</f>
        <v>0</v>
      </c>
      <c r="I79" s="487">
        <f>SUM(H73:H79)</f>
        <v>0</v>
      </c>
      <c r="J79" s="488">
        <f>I79*$J$5</f>
        <v>0</v>
      </c>
      <c r="K79" s="489">
        <f>SUM(I79:J79)*$K$5</f>
        <v>0</v>
      </c>
      <c r="L79" s="489">
        <f>SUM(I79:K79)*$L$5</f>
        <v>0</v>
      </c>
      <c r="M79" s="489">
        <f>SUM(I79:L79)*$M$5</f>
        <v>0</v>
      </c>
      <c r="N79" s="489">
        <f>SUM(I79:M79)*$N$5</f>
        <v>0</v>
      </c>
      <c r="O79" s="488">
        <f>SUM(I79:N79)</f>
        <v>0</v>
      </c>
      <c r="P79" s="487">
        <f>ROUND(O79,-3)</f>
        <v>0</v>
      </c>
      <c r="Q79" s="420" t="s">
        <v>600</v>
      </c>
    </row>
    <row r="80" spans="2:17" s="420" customFormat="1" ht="12" thickBot="1" x14ac:dyDescent="0.25">
      <c r="B80" s="938"/>
      <c r="C80" s="1254"/>
      <c r="D80" s="444"/>
      <c r="E80" s="445"/>
      <c r="F80" s="446"/>
      <c r="G80" s="447"/>
      <c r="H80" s="448"/>
      <c r="I80" s="449"/>
      <c r="J80" s="450"/>
      <c r="K80" s="451"/>
      <c r="L80" s="451"/>
      <c r="M80" s="451"/>
      <c r="N80" s="451"/>
      <c r="O80" s="450"/>
      <c r="P80" s="449"/>
    </row>
  </sheetData>
  <mergeCells count="6">
    <mergeCell ref="C51:C65"/>
    <mergeCell ref="C66:C80"/>
    <mergeCell ref="B2:P3"/>
    <mergeCell ref="C6:C20"/>
    <mergeCell ref="C21:C35"/>
    <mergeCell ref="C36:C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0C0EF-178A-4E73-9063-99FCF8710763}">
  <sheetPr>
    <tabColor theme="5" tint="0.59999389629810485"/>
  </sheetPr>
  <dimension ref="B2:Q103"/>
  <sheetViews>
    <sheetView topLeftCell="B73" zoomScale="130" zoomScaleNormal="130" workbookViewId="0">
      <selection activeCell="G100" sqref="G100"/>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Physical Activity</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1.25" x14ac:dyDescent="0.2">
      <c r="B6" s="1240" t="str">
        <f>'Detailed Matrix'!E165</f>
        <v>Accessibility</v>
      </c>
      <c r="C6" s="1292" t="str">
        <f>'Detailed Matrix'!F165</f>
        <v>Safe, aesthetically designed and accessible stairs and ramps, servicing all floors</v>
      </c>
      <c r="D6" s="492" t="s">
        <v>556</v>
      </c>
      <c r="E6" s="493">
        <v>1</v>
      </c>
      <c r="F6" s="494"/>
      <c r="G6" s="495"/>
      <c r="H6" s="496">
        <f t="shared" ref="H6:H12" si="0">E6*G6</f>
        <v>0</v>
      </c>
      <c r="I6" s="497"/>
      <c r="J6" s="498"/>
      <c r="K6" s="499"/>
      <c r="L6" s="499"/>
      <c r="M6" s="499"/>
      <c r="N6" s="499"/>
      <c r="O6" s="498"/>
      <c r="P6" s="497"/>
    </row>
    <row r="7" spans="2:17" s="420" customFormat="1" ht="11.25" x14ac:dyDescent="0.2">
      <c r="B7" s="1241"/>
      <c r="C7" s="1293"/>
      <c r="D7" s="500"/>
      <c r="E7" s="501">
        <v>1</v>
      </c>
      <c r="F7" s="502"/>
      <c r="G7" s="503"/>
      <c r="H7" s="504">
        <f t="shared" si="0"/>
        <v>0</v>
      </c>
      <c r="I7" s="505"/>
      <c r="J7" s="506"/>
      <c r="K7" s="507"/>
      <c r="L7" s="507"/>
      <c r="M7" s="507"/>
      <c r="N7" s="507"/>
      <c r="O7" s="506"/>
      <c r="P7" s="505"/>
    </row>
    <row r="8" spans="2:17" s="420" customFormat="1" ht="11.25" x14ac:dyDescent="0.2">
      <c r="B8" s="1241"/>
      <c r="C8" s="1293"/>
      <c r="D8" s="500"/>
      <c r="E8" s="501">
        <v>1</v>
      </c>
      <c r="F8" s="502"/>
      <c r="G8" s="503"/>
      <c r="H8" s="504">
        <f t="shared" si="0"/>
        <v>0</v>
      </c>
      <c r="I8" s="505"/>
      <c r="J8" s="506"/>
      <c r="K8" s="507"/>
      <c r="L8" s="507"/>
      <c r="M8" s="507"/>
      <c r="N8" s="507"/>
      <c r="O8" s="506"/>
      <c r="P8" s="505"/>
    </row>
    <row r="9" spans="2:17" s="420" customFormat="1" ht="11.25" x14ac:dyDescent="0.2">
      <c r="B9" s="1241"/>
      <c r="C9" s="1293"/>
      <c r="D9" s="500"/>
      <c r="E9" s="501">
        <v>1</v>
      </c>
      <c r="F9" s="502"/>
      <c r="G9" s="503"/>
      <c r="H9" s="504">
        <f t="shared" si="0"/>
        <v>0</v>
      </c>
      <c r="I9" s="505"/>
      <c r="J9" s="506"/>
      <c r="K9" s="507"/>
      <c r="L9" s="507"/>
      <c r="M9" s="507"/>
      <c r="N9" s="507"/>
      <c r="O9" s="506"/>
      <c r="P9" s="505"/>
    </row>
    <row r="10" spans="2:17" s="420" customFormat="1" ht="11.25" x14ac:dyDescent="0.2">
      <c r="B10" s="1241"/>
      <c r="C10" s="1293"/>
      <c r="D10" s="500"/>
      <c r="E10" s="501">
        <v>1</v>
      </c>
      <c r="F10" s="502"/>
      <c r="G10" s="503"/>
      <c r="H10" s="504">
        <f t="shared" si="0"/>
        <v>0</v>
      </c>
      <c r="I10" s="505"/>
      <c r="J10" s="506"/>
      <c r="K10" s="507"/>
      <c r="L10" s="507"/>
      <c r="M10" s="507"/>
      <c r="N10" s="507"/>
      <c r="O10" s="506"/>
      <c r="P10" s="505"/>
    </row>
    <row r="11" spans="2:17" s="420" customFormat="1" ht="11.25" x14ac:dyDescent="0.2">
      <c r="B11" s="1241"/>
      <c r="C11" s="1293"/>
      <c r="D11" s="500"/>
      <c r="E11" s="501">
        <v>1</v>
      </c>
      <c r="F11" s="502"/>
      <c r="G11" s="503"/>
      <c r="H11" s="504">
        <f t="shared" si="0"/>
        <v>0</v>
      </c>
      <c r="I11" s="505"/>
      <c r="J11" s="506"/>
      <c r="K11" s="507"/>
      <c r="L11" s="507"/>
      <c r="M11" s="507"/>
      <c r="N11" s="507"/>
      <c r="O11" s="506"/>
      <c r="P11" s="505"/>
    </row>
    <row r="12" spans="2:17" s="420" customFormat="1" ht="11.25" x14ac:dyDescent="0.2">
      <c r="B12" s="1241"/>
      <c r="C12" s="1293"/>
      <c r="D12" s="500" t="s">
        <v>581</v>
      </c>
      <c r="E12" s="501"/>
      <c r="F12" s="502"/>
      <c r="G12" s="503"/>
      <c r="H12" s="504">
        <f t="shared" si="0"/>
        <v>0</v>
      </c>
      <c r="I12" s="505">
        <f>SUM(H6:H12)</f>
        <v>0</v>
      </c>
      <c r="J12" s="506">
        <f>I12*$J$5</f>
        <v>0</v>
      </c>
      <c r="K12" s="507">
        <f>SUM(I12:J12)*$K$5</f>
        <v>0</v>
      </c>
      <c r="L12" s="507">
        <f>SUM(I12:K12)*$L$5</f>
        <v>0</v>
      </c>
      <c r="M12" s="507">
        <f>SUM(I12:L12)*$M$5</f>
        <v>0</v>
      </c>
      <c r="N12" s="507">
        <f>SUM(I12:M12)*$N$5</f>
        <v>0</v>
      </c>
      <c r="O12" s="506">
        <f>SUM(I12:N12)</f>
        <v>0</v>
      </c>
      <c r="P12" s="505">
        <f>ROUND(O12,-3)</f>
        <v>0</v>
      </c>
      <c r="Q12" s="420" t="s">
        <v>514</v>
      </c>
    </row>
    <row r="13" spans="2:17" s="420" customFormat="1" ht="11.25" x14ac:dyDescent="0.2">
      <c r="B13" s="1241"/>
      <c r="C13" s="1293"/>
      <c r="D13" s="500"/>
      <c r="E13" s="501"/>
      <c r="F13" s="502"/>
      <c r="G13" s="503"/>
      <c r="H13" s="504"/>
      <c r="I13" s="505"/>
      <c r="J13" s="506"/>
      <c r="K13" s="507"/>
      <c r="L13" s="507"/>
      <c r="M13" s="507"/>
      <c r="N13" s="507"/>
      <c r="O13" s="506"/>
      <c r="P13" s="505"/>
    </row>
    <row r="14" spans="2:17" s="420" customFormat="1" ht="11.25" x14ac:dyDescent="0.2">
      <c r="B14" s="1241"/>
      <c r="C14" s="1293"/>
      <c r="D14" s="500" t="s">
        <v>557</v>
      </c>
      <c r="E14" s="501">
        <v>1</v>
      </c>
      <c r="F14" s="502"/>
      <c r="G14" s="503"/>
      <c r="H14" s="504">
        <f>E14*G14</f>
        <v>0</v>
      </c>
      <c r="I14" s="505"/>
      <c r="J14" s="506"/>
      <c r="K14" s="507"/>
      <c r="L14" s="507"/>
      <c r="M14" s="507"/>
      <c r="N14" s="507"/>
      <c r="O14" s="506"/>
      <c r="P14" s="505"/>
    </row>
    <row r="15" spans="2:17" s="420" customFormat="1" ht="11.25" x14ac:dyDescent="0.2">
      <c r="B15" s="1241"/>
      <c r="C15" s="1293"/>
      <c r="D15" s="500"/>
      <c r="E15" s="501">
        <v>1</v>
      </c>
      <c r="F15" s="502"/>
      <c r="G15" s="503"/>
      <c r="H15" s="504">
        <f>E15*G15</f>
        <v>0</v>
      </c>
      <c r="I15" s="505"/>
      <c r="J15" s="506"/>
      <c r="K15" s="507"/>
      <c r="L15" s="507"/>
      <c r="M15" s="507"/>
      <c r="N15" s="507"/>
      <c r="O15" s="506"/>
      <c r="P15" s="505"/>
    </row>
    <row r="16" spans="2:17" s="420" customFormat="1" ht="11.25" x14ac:dyDescent="0.2">
      <c r="B16" s="1241"/>
      <c r="C16" s="1293"/>
      <c r="D16" s="500"/>
      <c r="E16" s="501">
        <v>1</v>
      </c>
      <c r="F16" s="502"/>
      <c r="G16" s="503"/>
      <c r="H16" s="504">
        <f>E16*G16</f>
        <v>0</v>
      </c>
      <c r="I16" s="505"/>
      <c r="J16" s="506"/>
      <c r="K16" s="507"/>
      <c r="L16" s="507"/>
      <c r="M16" s="507"/>
      <c r="N16" s="507"/>
      <c r="O16" s="506"/>
      <c r="P16" s="505"/>
    </row>
    <row r="17" spans="2:17" s="420" customFormat="1" ht="11.25" x14ac:dyDescent="0.2">
      <c r="B17" s="1241"/>
      <c r="C17" s="1293"/>
      <c r="D17" s="500"/>
      <c r="E17" s="501">
        <v>1</v>
      </c>
      <c r="F17" s="502"/>
      <c r="G17" s="503"/>
      <c r="H17" s="504">
        <f>E17*G17</f>
        <v>0</v>
      </c>
      <c r="I17" s="505"/>
      <c r="J17" s="506"/>
      <c r="K17" s="507"/>
      <c r="L17" s="507"/>
      <c r="M17" s="507"/>
      <c r="N17" s="507"/>
      <c r="O17" s="506"/>
      <c r="P17" s="505"/>
    </row>
    <row r="18" spans="2:17" s="420" customFormat="1" ht="11.25" x14ac:dyDescent="0.2">
      <c r="B18" s="1241"/>
      <c r="C18" s="1293"/>
      <c r="D18" s="500"/>
      <c r="E18" s="501">
        <v>1</v>
      </c>
      <c r="F18" s="502"/>
      <c r="G18" s="503"/>
      <c r="H18" s="504">
        <f>E18*G18</f>
        <v>0</v>
      </c>
      <c r="I18" s="505"/>
      <c r="J18" s="506"/>
      <c r="K18" s="507"/>
      <c r="L18" s="507"/>
      <c r="M18" s="507"/>
      <c r="N18" s="507"/>
      <c r="O18" s="506"/>
      <c r="P18" s="505"/>
    </row>
    <row r="19" spans="2:17" s="420" customFormat="1" ht="11.25" x14ac:dyDescent="0.2">
      <c r="B19" s="1241"/>
      <c r="C19" s="1293"/>
      <c r="D19" s="500" t="s">
        <v>581</v>
      </c>
      <c r="E19" s="501">
        <v>1</v>
      </c>
      <c r="F19" s="502"/>
      <c r="G19" s="503"/>
      <c r="H19" s="504">
        <f t="shared" ref="H19" si="1">E19*G19</f>
        <v>0</v>
      </c>
      <c r="I19" s="505">
        <f>SUM(H13:H19)</f>
        <v>0</v>
      </c>
      <c r="J19" s="506">
        <f>I19*$J$5</f>
        <v>0</v>
      </c>
      <c r="K19" s="507">
        <f>SUM(I19:J19)*$K$5</f>
        <v>0</v>
      </c>
      <c r="L19" s="507">
        <f>SUM(I19:K19)*$L$5</f>
        <v>0</v>
      </c>
      <c r="M19" s="507">
        <f>SUM(I19:L19)*$M$5</f>
        <v>0</v>
      </c>
      <c r="N19" s="507">
        <f>SUM(I19:M19)*$N$5</f>
        <v>0</v>
      </c>
      <c r="O19" s="506">
        <f>SUM(I19:N19)</f>
        <v>0</v>
      </c>
      <c r="P19" s="505">
        <f>ROUND(O19,-3)</f>
        <v>0</v>
      </c>
      <c r="Q19" s="420" t="s">
        <v>514</v>
      </c>
    </row>
    <row r="20" spans="2:17" s="420" customFormat="1" ht="12" thickBot="1" x14ac:dyDescent="0.25">
      <c r="B20" s="1242"/>
      <c r="C20" s="1294"/>
      <c r="D20" s="516"/>
      <c r="E20" s="517"/>
      <c r="F20" s="518"/>
      <c r="G20" s="519"/>
      <c r="H20" s="520"/>
      <c r="I20" s="521"/>
      <c r="J20" s="522"/>
      <c r="K20" s="523"/>
      <c r="L20" s="523"/>
      <c r="M20" s="523"/>
      <c r="N20" s="523"/>
      <c r="O20" s="522"/>
      <c r="P20" s="521"/>
    </row>
    <row r="21" spans="2:17" s="426" customFormat="1" ht="11.25" x14ac:dyDescent="0.2">
      <c r="B21" s="1240" t="str">
        <f>'Detailed Matrix'!E166</f>
        <v>Wayfinding Signage</v>
      </c>
      <c r="C21" s="1292" t="str">
        <f>'Detailed Matrix'!F166</f>
        <v>Encourage the use of stairs and guide users to the stairs, bicycle racks or storage</v>
      </c>
      <c r="D21" s="492" t="s">
        <v>556</v>
      </c>
      <c r="E21" s="493">
        <v>1</v>
      </c>
      <c r="F21" s="494"/>
      <c r="G21" s="495"/>
      <c r="H21" s="496">
        <f t="shared" ref="H21:H27" si="2">E21*G21</f>
        <v>0</v>
      </c>
      <c r="I21" s="497"/>
      <c r="J21" s="498"/>
      <c r="K21" s="499"/>
      <c r="L21" s="499"/>
      <c r="M21" s="499"/>
      <c r="N21" s="499"/>
      <c r="O21" s="498"/>
      <c r="P21" s="497"/>
    </row>
    <row r="22" spans="2:17" s="426" customFormat="1" ht="11.25" x14ac:dyDescent="0.2">
      <c r="B22" s="1241"/>
      <c r="C22" s="1293"/>
      <c r="D22" s="500"/>
      <c r="E22" s="501">
        <v>1</v>
      </c>
      <c r="F22" s="502"/>
      <c r="G22" s="503"/>
      <c r="H22" s="504">
        <f t="shared" si="2"/>
        <v>0</v>
      </c>
      <c r="I22" s="505"/>
      <c r="J22" s="506"/>
      <c r="K22" s="507"/>
      <c r="L22" s="507"/>
      <c r="M22" s="507"/>
      <c r="N22" s="507"/>
      <c r="O22" s="506"/>
      <c r="P22" s="505"/>
    </row>
    <row r="23" spans="2:17" s="426" customFormat="1" ht="11.25" x14ac:dyDescent="0.2">
      <c r="B23" s="1241"/>
      <c r="C23" s="1293"/>
      <c r="D23" s="500"/>
      <c r="E23" s="501">
        <v>1</v>
      </c>
      <c r="F23" s="502"/>
      <c r="G23" s="503"/>
      <c r="H23" s="504">
        <f t="shared" si="2"/>
        <v>0</v>
      </c>
      <c r="I23" s="505"/>
      <c r="J23" s="506"/>
      <c r="K23" s="507"/>
      <c r="L23" s="507"/>
      <c r="M23" s="507"/>
      <c r="N23" s="507"/>
      <c r="O23" s="506"/>
      <c r="P23" s="505"/>
    </row>
    <row r="24" spans="2:17" s="426" customFormat="1" ht="11.25" x14ac:dyDescent="0.2">
      <c r="B24" s="1241"/>
      <c r="C24" s="1293"/>
      <c r="D24" s="500"/>
      <c r="E24" s="501">
        <v>1</v>
      </c>
      <c r="F24" s="502"/>
      <c r="G24" s="503"/>
      <c r="H24" s="504">
        <f t="shared" si="2"/>
        <v>0</v>
      </c>
      <c r="I24" s="505"/>
      <c r="J24" s="506"/>
      <c r="K24" s="507"/>
      <c r="L24" s="507"/>
      <c r="M24" s="507"/>
      <c r="N24" s="507"/>
      <c r="O24" s="506"/>
      <c r="P24" s="505"/>
    </row>
    <row r="25" spans="2:17" s="426" customFormat="1" ht="11.25" x14ac:dyDescent="0.2">
      <c r="B25" s="1241"/>
      <c r="C25" s="1293"/>
      <c r="D25" s="500"/>
      <c r="E25" s="501">
        <v>1</v>
      </c>
      <c r="F25" s="502"/>
      <c r="G25" s="503"/>
      <c r="H25" s="504">
        <f t="shared" si="2"/>
        <v>0</v>
      </c>
      <c r="I25" s="505"/>
      <c r="J25" s="506"/>
      <c r="K25" s="507"/>
      <c r="L25" s="507"/>
      <c r="M25" s="507"/>
      <c r="N25" s="507"/>
      <c r="O25" s="506"/>
      <c r="P25" s="505"/>
    </row>
    <row r="26" spans="2:17" s="426" customFormat="1" ht="11.25" x14ac:dyDescent="0.2">
      <c r="B26" s="1241"/>
      <c r="C26" s="1293"/>
      <c r="D26" s="500"/>
      <c r="E26" s="501">
        <v>1</v>
      </c>
      <c r="F26" s="502"/>
      <c r="G26" s="503"/>
      <c r="H26" s="504">
        <f t="shared" si="2"/>
        <v>0</v>
      </c>
      <c r="I26" s="505"/>
      <c r="J26" s="506"/>
      <c r="K26" s="507"/>
      <c r="L26" s="507"/>
      <c r="M26" s="507"/>
      <c r="N26" s="507"/>
      <c r="O26" s="506"/>
      <c r="P26" s="505"/>
    </row>
    <row r="27" spans="2:17" s="426" customFormat="1" ht="11.25" x14ac:dyDescent="0.2">
      <c r="B27" s="1241"/>
      <c r="C27" s="1293"/>
      <c r="D27" s="500" t="s">
        <v>581</v>
      </c>
      <c r="E27" s="501"/>
      <c r="F27" s="502"/>
      <c r="G27" s="503"/>
      <c r="H27" s="504">
        <f t="shared" si="2"/>
        <v>0</v>
      </c>
      <c r="I27" s="505">
        <f>SUM(H21:H27)</f>
        <v>0</v>
      </c>
      <c r="J27" s="506">
        <f>I27*$J$5</f>
        <v>0</v>
      </c>
      <c r="K27" s="507">
        <f>SUM(I27:J27)*$K$5</f>
        <v>0</v>
      </c>
      <c r="L27" s="507">
        <f>SUM(I27:K27)*$L$5</f>
        <v>0</v>
      </c>
      <c r="M27" s="507">
        <f>SUM(I27:L27)*$M$5</f>
        <v>0</v>
      </c>
      <c r="N27" s="507">
        <f>SUM(I27:M27)*$N$5</f>
        <v>0</v>
      </c>
      <c r="O27" s="506">
        <f>SUM(I27:N27)</f>
        <v>0</v>
      </c>
      <c r="P27" s="505">
        <f>ROUND(O27,-3)</f>
        <v>0</v>
      </c>
      <c r="Q27" s="426" t="s">
        <v>514</v>
      </c>
    </row>
    <row r="28" spans="2:17" s="426" customFormat="1" ht="11.25" x14ac:dyDescent="0.2">
      <c r="B28" s="1241"/>
      <c r="C28" s="1293"/>
      <c r="D28" s="500"/>
      <c r="E28" s="501"/>
      <c r="F28" s="502"/>
      <c r="G28" s="503"/>
      <c r="H28" s="504"/>
      <c r="I28" s="505"/>
      <c r="J28" s="506"/>
      <c r="K28" s="507"/>
      <c r="L28" s="507"/>
      <c r="M28" s="507"/>
      <c r="N28" s="507"/>
      <c r="O28" s="506"/>
      <c r="P28" s="505"/>
    </row>
    <row r="29" spans="2:17" s="426" customFormat="1" ht="11.25" x14ac:dyDescent="0.2">
      <c r="B29" s="1241"/>
      <c r="C29" s="1293"/>
      <c r="D29" s="500" t="s">
        <v>557</v>
      </c>
      <c r="E29" s="501">
        <v>1</v>
      </c>
      <c r="F29" s="502"/>
      <c r="G29" s="503"/>
      <c r="H29" s="504">
        <f>E29*G29</f>
        <v>0</v>
      </c>
      <c r="I29" s="505"/>
      <c r="J29" s="506"/>
      <c r="K29" s="507"/>
      <c r="L29" s="507"/>
      <c r="M29" s="507"/>
      <c r="N29" s="507"/>
      <c r="O29" s="506"/>
      <c r="P29" s="505"/>
    </row>
    <row r="30" spans="2:17" s="426" customFormat="1" ht="11.25" x14ac:dyDescent="0.2">
      <c r="B30" s="1241"/>
      <c r="C30" s="1293"/>
      <c r="D30" s="500"/>
      <c r="E30" s="501">
        <v>1</v>
      </c>
      <c r="F30" s="502"/>
      <c r="G30" s="503"/>
      <c r="H30" s="504">
        <f>E30*G30</f>
        <v>0</v>
      </c>
      <c r="I30" s="505"/>
      <c r="J30" s="506"/>
      <c r="K30" s="507"/>
      <c r="L30" s="507"/>
      <c r="M30" s="507"/>
      <c r="N30" s="507"/>
      <c r="O30" s="506"/>
      <c r="P30" s="505"/>
    </row>
    <row r="31" spans="2:17" s="426" customFormat="1" ht="11.25" x14ac:dyDescent="0.2">
      <c r="B31" s="1241"/>
      <c r="C31" s="1293"/>
      <c r="D31" s="500"/>
      <c r="E31" s="501">
        <v>1</v>
      </c>
      <c r="F31" s="502"/>
      <c r="G31" s="503"/>
      <c r="H31" s="504">
        <f>E31*G31</f>
        <v>0</v>
      </c>
      <c r="I31" s="505"/>
      <c r="J31" s="506"/>
      <c r="K31" s="507"/>
      <c r="L31" s="507"/>
      <c r="M31" s="507"/>
      <c r="N31" s="507"/>
      <c r="O31" s="506"/>
      <c r="P31" s="505"/>
    </row>
    <row r="32" spans="2:17" s="426" customFormat="1" ht="11.25" x14ac:dyDescent="0.2">
      <c r="B32" s="1241"/>
      <c r="C32" s="1293"/>
      <c r="D32" s="500"/>
      <c r="E32" s="501">
        <v>1</v>
      </c>
      <c r="F32" s="502"/>
      <c r="G32" s="503"/>
      <c r="H32" s="504">
        <f>E32*G32</f>
        <v>0</v>
      </c>
      <c r="I32" s="505"/>
      <c r="J32" s="506"/>
      <c r="K32" s="507"/>
      <c r="L32" s="507"/>
      <c r="M32" s="507"/>
      <c r="N32" s="507"/>
      <c r="O32" s="506"/>
      <c r="P32" s="505"/>
    </row>
    <row r="33" spans="2:17" s="426" customFormat="1" ht="11.25" x14ac:dyDescent="0.2">
      <c r="B33" s="1241"/>
      <c r="C33" s="1293"/>
      <c r="D33" s="500"/>
      <c r="E33" s="501">
        <v>1</v>
      </c>
      <c r="F33" s="502"/>
      <c r="G33" s="503"/>
      <c r="H33" s="504">
        <f>E33*G33</f>
        <v>0</v>
      </c>
      <c r="I33" s="505"/>
      <c r="J33" s="506"/>
      <c r="K33" s="507"/>
      <c r="L33" s="507"/>
      <c r="M33" s="507"/>
      <c r="N33" s="507"/>
      <c r="O33" s="506"/>
      <c r="P33" s="505"/>
    </row>
    <row r="34" spans="2:17" s="426" customFormat="1" ht="11.25" x14ac:dyDescent="0.2">
      <c r="B34" s="1241"/>
      <c r="C34" s="1293"/>
      <c r="D34" s="500" t="s">
        <v>581</v>
      </c>
      <c r="E34" s="501">
        <v>1</v>
      </c>
      <c r="F34" s="502"/>
      <c r="G34" s="503"/>
      <c r="H34" s="504">
        <f t="shared" ref="H34" si="3">E34*G34</f>
        <v>0</v>
      </c>
      <c r="I34" s="505">
        <f>SUM(H28:H34)</f>
        <v>0</v>
      </c>
      <c r="J34" s="506">
        <f>I34*$J$5</f>
        <v>0</v>
      </c>
      <c r="K34" s="507">
        <f>SUM(I34:J34)*$K$5</f>
        <v>0</v>
      </c>
      <c r="L34" s="507">
        <f>SUM(I34:K34)*$L$5</f>
        <v>0</v>
      </c>
      <c r="M34" s="507">
        <f>SUM(I34:L34)*$M$5</f>
        <v>0</v>
      </c>
      <c r="N34" s="507">
        <f>SUM(I34:M34)*$N$5</f>
        <v>0</v>
      </c>
      <c r="O34" s="506">
        <f>SUM(I34:N34)</f>
        <v>0</v>
      </c>
      <c r="P34" s="505">
        <f>ROUND(O34,-3)</f>
        <v>0</v>
      </c>
      <c r="Q34" s="426" t="s">
        <v>514</v>
      </c>
    </row>
    <row r="35" spans="2:17" s="426" customFormat="1" ht="12" thickBot="1" x14ac:dyDescent="0.25">
      <c r="B35" s="1242"/>
      <c r="C35" s="1294"/>
      <c r="D35" s="516"/>
      <c r="E35" s="517"/>
      <c r="F35" s="518"/>
      <c r="G35" s="519"/>
      <c r="H35" s="520"/>
      <c r="I35" s="521"/>
      <c r="J35" s="522"/>
      <c r="K35" s="523"/>
      <c r="L35" s="523"/>
      <c r="M35" s="523"/>
      <c r="N35" s="523"/>
      <c r="O35" s="522"/>
      <c r="P35" s="521"/>
    </row>
    <row r="36" spans="2:17" s="420" customFormat="1" ht="11.25" x14ac:dyDescent="0.2">
      <c r="B36" s="1304" t="str">
        <f>'Detailed Matrix'!E167</f>
        <v>Indoor Act`ivity Spaces</v>
      </c>
      <c r="C36" s="1307" t="str">
        <f>'Detailed Matrix'!F167</f>
        <v>Multipurpose rooms and changing facilities</v>
      </c>
      <c r="D36" s="528" t="s">
        <v>556</v>
      </c>
      <c r="E36" s="529">
        <v>1</v>
      </c>
      <c r="F36" s="530"/>
      <c r="G36" s="531"/>
      <c r="H36" s="532">
        <f t="shared" ref="H36:H42" si="4">E36*G36</f>
        <v>0</v>
      </c>
      <c r="I36" s="533"/>
      <c r="J36" s="534"/>
      <c r="K36" s="535"/>
      <c r="L36" s="535"/>
      <c r="M36" s="535"/>
      <c r="N36" s="535"/>
      <c r="O36" s="534"/>
      <c r="P36" s="533"/>
    </row>
    <row r="37" spans="2:17" s="420" customFormat="1" ht="11.25" x14ac:dyDescent="0.2">
      <c r="B37" s="1305"/>
      <c r="C37" s="1308"/>
      <c r="D37" s="554"/>
      <c r="E37" s="555">
        <v>1</v>
      </c>
      <c r="F37" s="553"/>
      <c r="G37" s="556"/>
      <c r="H37" s="557">
        <f t="shared" si="4"/>
        <v>0</v>
      </c>
      <c r="I37" s="558"/>
      <c r="J37" s="559"/>
      <c r="K37" s="560"/>
      <c r="L37" s="560"/>
      <c r="M37" s="560"/>
      <c r="N37" s="560"/>
      <c r="O37" s="559"/>
      <c r="P37" s="558"/>
    </row>
    <row r="38" spans="2:17" s="420" customFormat="1" ht="11.25" x14ac:dyDescent="0.2">
      <c r="B38" s="1305"/>
      <c r="C38" s="1308"/>
      <c r="D38" s="554"/>
      <c r="E38" s="555">
        <v>1</v>
      </c>
      <c r="F38" s="553"/>
      <c r="G38" s="556"/>
      <c r="H38" s="557">
        <f t="shared" si="4"/>
        <v>0</v>
      </c>
      <c r="I38" s="558"/>
      <c r="J38" s="559"/>
      <c r="K38" s="560"/>
      <c r="L38" s="560"/>
      <c r="M38" s="560"/>
      <c r="N38" s="560"/>
      <c r="O38" s="559"/>
      <c r="P38" s="558"/>
    </row>
    <row r="39" spans="2:17" s="420" customFormat="1" ht="11.25" x14ac:dyDescent="0.2">
      <c r="B39" s="1305"/>
      <c r="C39" s="1308"/>
      <c r="D39" s="554"/>
      <c r="E39" s="555">
        <v>1</v>
      </c>
      <c r="F39" s="553"/>
      <c r="G39" s="556"/>
      <c r="H39" s="557">
        <f t="shared" si="4"/>
        <v>0</v>
      </c>
      <c r="I39" s="558"/>
      <c r="J39" s="559"/>
      <c r="K39" s="560"/>
      <c r="L39" s="560"/>
      <c r="M39" s="560"/>
      <c r="N39" s="560"/>
      <c r="O39" s="559"/>
      <c r="P39" s="558"/>
    </row>
    <row r="40" spans="2:17" s="420" customFormat="1" ht="11.25" x14ac:dyDescent="0.2">
      <c r="B40" s="1305"/>
      <c r="C40" s="1308"/>
      <c r="D40" s="554"/>
      <c r="E40" s="555">
        <v>1</v>
      </c>
      <c r="F40" s="553"/>
      <c r="G40" s="556"/>
      <c r="H40" s="557">
        <f t="shared" si="4"/>
        <v>0</v>
      </c>
      <c r="I40" s="558"/>
      <c r="J40" s="559"/>
      <c r="K40" s="560"/>
      <c r="L40" s="560"/>
      <c r="M40" s="560"/>
      <c r="N40" s="560"/>
      <c r="O40" s="559"/>
      <c r="P40" s="558"/>
    </row>
    <row r="41" spans="2:17" s="420" customFormat="1" ht="11.25" x14ac:dyDescent="0.2">
      <c r="B41" s="1305"/>
      <c r="C41" s="1308"/>
      <c r="D41" s="554"/>
      <c r="E41" s="555">
        <v>1</v>
      </c>
      <c r="F41" s="553"/>
      <c r="G41" s="556"/>
      <c r="H41" s="557">
        <f t="shared" si="4"/>
        <v>0</v>
      </c>
      <c r="I41" s="558"/>
      <c r="J41" s="559"/>
      <c r="K41" s="560"/>
      <c r="L41" s="560"/>
      <c r="M41" s="560"/>
      <c r="N41" s="560"/>
      <c r="O41" s="559"/>
      <c r="P41" s="558"/>
    </row>
    <row r="42" spans="2:17" s="420" customFormat="1" ht="11.25" x14ac:dyDescent="0.2">
      <c r="B42" s="1305"/>
      <c r="C42" s="1308"/>
      <c r="D42" s="554" t="s">
        <v>631</v>
      </c>
      <c r="E42" s="555"/>
      <c r="F42" s="553"/>
      <c r="G42" s="556"/>
      <c r="H42" s="557">
        <f t="shared" si="4"/>
        <v>0</v>
      </c>
      <c r="I42" s="558">
        <f>SUM(H36:H42)</f>
        <v>0</v>
      </c>
      <c r="J42" s="559">
        <f>I42*$J$5</f>
        <v>0</v>
      </c>
      <c r="K42" s="560">
        <f>SUM(I42:J42)*$K$5</f>
        <v>0</v>
      </c>
      <c r="L42" s="560">
        <f>SUM(I42:K42)*$L$5</f>
        <v>0</v>
      </c>
      <c r="M42" s="560">
        <f>SUM(I42:L42)*$M$5</f>
        <v>0</v>
      </c>
      <c r="N42" s="560">
        <f>SUM(I42:M42)*$N$5</f>
        <v>0</v>
      </c>
      <c r="O42" s="559">
        <f>SUM(I42:N42)</f>
        <v>0</v>
      </c>
      <c r="P42" s="558">
        <f>ROUND(O42,-3)</f>
        <v>0</v>
      </c>
      <c r="Q42" s="420" t="s">
        <v>600</v>
      </c>
    </row>
    <row r="43" spans="2:17" s="420" customFormat="1" ht="11.25" x14ac:dyDescent="0.2">
      <c r="B43" s="1305"/>
      <c r="C43" s="1308"/>
      <c r="D43" s="554"/>
      <c r="E43" s="555"/>
      <c r="F43" s="553"/>
      <c r="G43" s="556"/>
      <c r="H43" s="557"/>
      <c r="I43" s="558"/>
      <c r="J43" s="559"/>
      <c r="K43" s="560"/>
      <c r="L43" s="560"/>
      <c r="M43" s="560"/>
      <c r="N43" s="560"/>
      <c r="O43" s="559"/>
      <c r="P43" s="558"/>
    </row>
    <row r="44" spans="2:17" s="420" customFormat="1" ht="11.25" x14ac:dyDescent="0.2">
      <c r="B44" s="1305"/>
      <c r="C44" s="1308"/>
      <c r="D44" s="554" t="s">
        <v>557</v>
      </c>
      <c r="E44" s="555">
        <v>1</v>
      </c>
      <c r="F44" s="553"/>
      <c r="G44" s="556"/>
      <c r="H44" s="557">
        <f>E44*G44</f>
        <v>0</v>
      </c>
      <c r="I44" s="558"/>
      <c r="J44" s="559"/>
      <c r="K44" s="560"/>
      <c r="L44" s="560"/>
      <c r="M44" s="560"/>
      <c r="N44" s="560"/>
      <c r="O44" s="559"/>
      <c r="P44" s="558"/>
    </row>
    <row r="45" spans="2:17" s="420" customFormat="1" ht="11.25" x14ac:dyDescent="0.2">
      <c r="B45" s="1305"/>
      <c r="C45" s="1308"/>
      <c r="D45" s="554"/>
      <c r="E45" s="555">
        <v>1</v>
      </c>
      <c r="F45" s="553"/>
      <c r="G45" s="556"/>
      <c r="H45" s="557">
        <f>E45*G45</f>
        <v>0</v>
      </c>
      <c r="I45" s="558"/>
      <c r="J45" s="559"/>
      <c r="K45" s="560"/>
      <c r="L45" s="560"/>
      <c r="M45" s="560"/>
      <c r="N45" s="560"/>
      <c r="O45" s="559"/>
      <c r="P45" s="558"/>
    </row>
    <row r="46" spans="2:17" s="420" customFormat="1" ht="11.25" x14ac:dyDescent="0.2">
      <c r="B46" s="1305"/>
      <c r="C46" s="1308"/>
      <c r="D46" s="554"/>
      <c r="E46" s="555">
        <v>1</v>
      </c>
      <c r="F46" s="553"/>
      <c r="G46" s="556"/>
      <c r="H46" s="557">
        <f>E46*G46</f>
        <v>0</v>
      </c>
      <c r="I46" s="558"/>
      <c r="J46" s="559"/>
      <c r="K46" s="560"/>
      <c r="L46" s="560"/>
      <c r="M46" s="560"/>
      <c r="N46" s="560"/>
      <c r="O46" s="559"/>
      <c r="P46" s="558"/>
    </row>
    <row r="47" spans="2:17" s="420" customFormat="1" ht="11.25" x14ac:dyDescent="0.2">
      <c r="B47" s="1305"/>
      <c r="C47" s="1308"/>
      <c r="D47" s="554"/>
      <c r="E47" s="555">
        <v>1</v>
      </c>
      <c r="F47" s="553"/>
      <c r="G47" s="556"/>
      <c r="H47" s="557">
        <f>E47*G47</f>
        <v>0</v>
      </c>
      <c r="I47" s="558"/>
      <c r="J47" s="559"/>
      <c r="K47" s="560"/>
      <c r="L47" s="560"/>
      <c r="M47" s="560"/>
      <c r="N47" s="560"/>
      <c r="O47" s="559"/>
      <c r="P47" s="558"/>
    </row>
    <row r="48" spans="2:17" s="420" customFormat="1" ht="11.25" x14ac:dyDescent="0.2">
      <c r="B48" s="1305"/>
      <c r="C48" s="1308"/>
      <c r="D48" s="554"/>
      <c r="E48" s="555">
        <v>1</v>
      </c>
      <c r="F48" s="553"/>
      <c r="G48" s="556"/>
      <c r="H48" s="557">
        <f>E48*G48</f>
        <v>0</v>
      </c>
      <c r="I48" s="558"/>
      <c r="J48" s="559"/>
      <c r="K48" s="560"/>
      <c r="L48" s="560"/>
      <c r="M48" s="560"/>
      <c r="N48" s="560"/>
      <c r="O48" s="559"/>
      <c r="P48" s="558"/>
    </row>
    <row r="49" spans="2:17" s="420" customFormat="1" ht="11.25" x14ac:dyDescent="0.2">
      <c r="B49" s="1305"/>
      <c r="C49" s="1308"/>
      <c r="D49" s="554" t="s">
        <v>631</v>
      </c>
      <c r="E49" s="555">
        <v>1</v>
      </c>
      <c r="F49" s="553"/>
      <c r="G49" s="556"/>
      <c r="H49" s="557">
        <f t="shared" ref="H49" si="5">E49*G49</f>
        <v>0</v>
      </c>
      <c r="I49" s="558">
        <f>SUM(H43:H49)</f>
        <v>0</v>
      </c>
      <c r="J49" s="559">
        <f>I49*$J$5</f>
        <v>0</v>
      </c>
      <c r="K49" s="560">
        <f>SUM(I49:J49)*$K$5</f>
        <v>0</v>
      </c>
      <c r="L49" s="560">
        <f>SUM(I49:K49)*$L$5</f>
        <v>0</v>
      </c>
      <c r="M49" s="560">
        <f>SUM(I49:L49)*$M$5</f>
        <v>0</v>
      </c>
      <c r="N49" s="560">
        <f>SUM(I49:M49)*$N$5</f>
        <v>0</v>
      </c>
      <c r="O49" s="559">
        <f>SUM(I49:N49)</f>
        <v>0</v>
      </c>
      <c r="P49" s="558">
        <f>ROUND(O49,-3)</f>
        <v>0</v>
      </c>
      <c r="Q49" s="420" t="s">
        <v>600</v>
      </c>
    </row>
    <row r="50" spans="2:17" s="420" customFormat="1" ht="12" thickBot="1" x14ac:dyDescent="0.25">
      <c r="B50" s="1306"/>
      <c r="C50" s="1309"/>
      <c r="D50" s="545"/>
      <c r="E50" s="546"/>
      <c r="F50" s="547"/>
      <c r="G50" s="548"/>
      <c r="H50" s="549"/>
      <c r="I50" s="550"/>
      <c r="J50" s="551"/>
      <c r="K50" s="552"/>
      <c r="L50" s="552"/>
      <c r="M50" s="552"/>
      <c r="N50" s="552"/>
      <c r="O50" s="551"/>
      <c r="P50" s="550"/>
    </row>
    <row r="51" spans="2:17" s="426" customFormat="1" ht="11.25" x14ac:dyDescent="0.2">
      <c r="B51" s="1304" t="str">
        <f>'Detailed Matrix'!E168</f>
        <v>Promotion of Activity</v>
      </c>
      <c r="C51" s="1307" t="str">
        <f>'Detailed Matrix'!F168</f>
        <v>Safe Cycling and Pedestrians Network</v>
      </c>
      <c r="D51" s="528" t="s">
        <v>556</v>
      </c>
      <c r="E51" s="529">
        <v>1</v>
      </c>
      <c r="F51" s="530"/>
      <c r="G51" s="531"/>
      <c r="H51" s="532">
        <f t="shared" ref="H51:H57" si="6">E51*G51</f>
        <v>0</v>
      </c>
      <c r="I51" s="533"/>
      <c r="J51" s="534"/>
      <c r="K51" s="535"/>
      <c r="L51" s="535"/>
      <c r="M51" s="535"/>
      <c r="N51" s="535"/>
      <c r="O51" s="534"/>
      <c r="P51" s="533"/>
    </row>
    <row r="52" spans="2:17" s="426" customFormat="1" ht="11.25" x14ac:dyDescent="0.2">
      <c r="B52" s="1305"/>
      <c r="C52" s="1308"/>
      <c r="D52" s="554"/>
      <c r="E52" s="555">
        <v>1</v>
      </c>
      <c r="F52" s="553"/>
      <c r="G52" s="556"/>
      <c r="H52" s="557">
        <f t="shared" si="6"/>
        <v>0</v>
      </c>
      <c r="I52" s="558"/>
      <c r="J52" s="559"/>
      <c r="K52" s="560"/>
      <c r="L52" s="560"/>
      <c r="M52" s="560"/>
      <c r="N52" s="560"/>
      <c r="O52" s="559"/>
      <c r="P52" s="558"/>
    </row>
    <row r="53" spans="2:17" s="426" customFormat="1" ht="11.25" x14ac:dyDescent="0.2">
      <c r="B53" s="1305"/>
      <c r="C53" s="1308"/>
      <c r="D53" s="554"/>
      <c r="E53" s="555">
        <v>1</v>
      </c>
      <c r="F53" s="553"/>
      <c r="G53" s="556"/>
      <c r="H53" s="557">
        <f t="shared" si="6"/>
        <v>0</v>
      </c>
      <c r="I53" s="558"/>
      <c r="J53" s="559"/>
      <c r="K53" s="560"/>
      <c r="L53" s="560"/>
      <c r="M53" s="560"/>
      <c r="N53" s="560"/>
      <c r="O53" s="559"/>
      <c r="P53" s="558"/>
    </row>
    <row r="54" spans="2:17" s="426" customFormat="1" ht="11.25" x14ac:dyDescent="0.2">
      <c r="B54" s="1305"/>
      <c r="C54" s="1308"/>
      <c r="D54" s="554"/>
      <c r="E54" s="555">
        <v>1</v>
      </c>
      <c r="F54" s="553"/>
      <c r="G54" s="556"/>
      <c r="H54" s="557">
        <f t="shared" si="6"/>
        <v>0</v>
      </c>
      <c r="I54" s="558"/>
      <c r="J54" s="559"/>
      <c r="K54" s="560"/>
      <c r="L54" s="560"/>
      <c r="M54" s="560"/>
      <c r="N54" s="560"/>
      <c r="O54" s="559"/>
      <c r="P54" s="558"/>
    </row>
    <row r="55" spans="2:17" s="426" customFormat="1" ht="11.25" x14ac:dyDescent="0.2">
      <c r="B55" s="1305"/>
      <c r="C55" s="1308"/>
      <c r="D55" s="554"/>
      <c r="E55" s="555">
        <v>1</v>
      </c>
      <c r="F55" s="553"/>
      <c r="G55" s="556"/>
      <c r="H55" s="557">
        <f t="shared" si="6"/>
        <v>0</v>
      </c>
      <c r="I55" s="558"/>
      <c r="J55" s="559"/>
      <c r="K55" s="560"/>
      <c r="L55" s="560"/>
      <c r="M55" s="560"/>
      <c r="N55" s="560"/>
      <c r="O55" s="559"/>
      <c r="P55" s="558"/>
    </row>
    <row r="56" spans="2:17" s="426" customFormat="1" ht="11.25" x14ac:dyDescent="0.2">
      <c r="B56" s="1305"/>
      <c r="C56" s="1308"/>
      <c r="D56" s="554"/>
      <c r="E56" s="555">
        <v>1</v>
      </c>
      <c r="F56" s="553"/>
      <c r="G56" s="556"/>
      <c r="H56" s="557">
        <f t="shared" si="6"/>
        <v>0</v>
      </c>
      <c r="I56" s="558"/>
      <c r="J56" s="559"/>
      <c r="K56" s="560"/>
      <c r="L56" s="560"/>
      <c r="M56" s="560"/>
      <c r="N56" s="560"/>
      <c r="O56" s="559"/>
      <c r="P56" s="558"/>
    </row>
    <row r="57" spans="2:17" s="426" customFormat="1" ht="11.25" x14ac:dyDescent="0.2">
      <c r="B57" s="1305"/>
      <c r="C57" s="1308"/>
      <c r="D57" s="554" t="s">
        <v>632</v>
      </c>
      <c r="E57" s="555"/>
      <c r="F57" s="553"/>
      <c r="G57" s="556"/>
      <c r="H57" s="557">
        <f t="shared" si="6"/>
        <v>0</v>
      </c>
      <c r="I57" s="558">
        <f>SUM(H51:H57)</f>
        <v>0</v>
      </c>
      <c r="J57" s="559">
        <f>I57*$J$5</f>
        <v>0</v>
      </c>
      <c r="K57" s="560">
        <f>SUM(I57:J57)*$K$5</f>
        <v>0</v>
      </c>
      <c r="L57" s="560">
        <f>SUM(I57:K57)*$L$5</f>
        <v>0</v>
      </c>
      <c r="M57" s="560">
        <f>SUM(I57:L57)*$M$5</f>
        <v>0</v>
      </c>
      <c r="N57" s="560">
        <f>SUM(I57:M57)*$N$5</f>
        <v>0</v>
      </c>
      <c r="O57" s="559">
        <f>SUM(I57:N57)</f>
        <v>0</v>
      </c>
      <c r="P57" s="558">
        <f>ROUND(O57,-3)</f>
        <v>0</v>
      </c>
      <c r="Q57" s="426" t="s">
        <v>600</v>
      </c>
    </row>
    <row r="58" spans="2:17" s="426" customFormat="1" ht="11.25" x14ac:dyDescent="0.2">
      <c r="B58" s="1305"/>
      <c r="C58" s="1308"/>
      <c r="D58" s="554"/>
      <c r="E58" s="555"/>
      <c r="F58" s="553"/>
      <c r="G58" s="556"/>
      <c r="H58" s="557"/>
      <c r="I58" s="558"/>
      <c r="J58" s="559"/>
      <c r="K58" s="560"/>
      <c r="L58" s="560"/>
      <c r="M58" s="560"/>
      <c r="N58" s="560"/>
      <c r="O58" s="559"/>
      <c r="P58" s="558"/>
    </row>
    <row r="59" spans="2:17" s="426" customFormat="1" ht="11.25" x14ac:dyDescent="0.2">
      <c r="B59" s="1305"/>
      <c r="C59" s="1308"/>
      <c r="D59" s="554" t="s">
        <v>557</v>
      </c>
      <c r="E59" s="555">
        <v>1</v>
      </c>
      <c r="F59" s="553"/>
      <c r="G59" s="556"/>
      <c r="H59" s="557">
        <f>E59*G59</f>
        <v>0</v>
      </c>
      <c r="I59" s="558"/>
      <c r="J59" s="559"/>
      <c r="K59" s="560"/>
      <c r="L59" s="560"/>
      <c r="M59" s="560"/>
      <c r="N59" s="560"/>
      <c r="O59" s="559"/>
      <c r="P59" s="558"/>
    </row>
    <row r="60" spans="2:17" s="426" customFormat="1" ht="11.25" x14ac:dyDescent="0.2">
      <c r="B60" s="1305"/>
      <c r="C60" s="1308"/>
      <c r="D60" s="554"/>
      <c r="E60" s="555">
        <v>1</v>
      </c>
      <c r="F60" s="553"/>
      <c r="G60" s="556"/>
      <c r="H60" s="557">
        <f>E60*G60</f>
        <v>0</v>
      </c>
      <c r="I60" s="558"/>
      <c r="J60" s="559"/>
      <c r="K60" s="560"/>
      <c r="L60" s="560"/>
      <c r="M60" s="560"/>
      <c r="N60" s="560"/>
      <c r="O60" s="559"/>
      <c r="P60" s="558"/>
    </row>
    <row r="61" spans="2:17" s="426" customFormat="1" ht="11.25" x14ac:dyDescent="0.2">
      <c r="B61" s="1305"/>
      <c r="C61" s="1308"/>
      <c r="D61" s="554"/>
      <c r="E61" s="555">
        <v>1</v>
      </c>
      <c r="F61" s="553"/>
      <c r="G61" s="556"/>
      <c r="H61" s="557">
        <f>E61*G61</f>
        <v>0</v>
      </c>
      <c r="I61" s="558"/>
      <c r="J61" s="559"/>
      <c r="K61" s="560"/>
      <c r="L61" s="560"/>
      <c r="M61" s="560"/>
      <c r="N61" s="560"/>
      <c r="O61" s="559"/>
      <c r="P61" s="558"/>
    </row>
    <row r="62" spans="2:17" s="426" customFormat="1" ht="11.25" x14ac:dyDescent="0.2">
      <c r="B62" s="1305"/>
      <c r="C62" s="1308"/>
      <c r="D62" s="554"/>
      <c r="E62" s="555">
        <v>1</v>
      </c>
      <c r="F62" s="553"/>
      <c r="G62" s="556"/>
      <c r="H62" s="557">
        <f>E62*G62</f>
        <v>0</v>
      </c>
      <c r="I62" s="558"/>
      <c r="J62" s="559"/>
      <c r="K62" s="560"/>
      <c r="L62" s="560"/>
      <c r="M62" s="560"/>
      <c r="N62" s="560"/>
      <c r="O62" s="559"/>
      <c r="P62" s="558"/>
    </row>
    <row r="63" spans="2:17" s="426" customFormat="1" ht="11.25" x14ac:dyDescent="0.2">
      <c r="B63" s="1305"/>
      <c r="C63" s="1308"/>
      <c r="D63" s="554"/>
      <c r="E63" s="555">
        <v>1</v>
      </c>
      <c r="F63" s="553"/>
      <c r="G63" s="556"/>
      <c r="H63" s="557">
        <f>E63*G63</f>
        <v>0</v>
      </c>
      <c r="I63" s="558"/>
      <c r="J63" s="559"/>
      <c r="K63" s="560"/>
      <c r="L63" s="560"/>
      <c r="M63" s="560"/>
      <c r="N63" s="560"/>
      <c r="O63" s="559"/>
      <c r="P63" s="558"/>
    </row>
    <row r="64" spans="2:17" s="426" customFormat="1" ht="11.25" x14ac:dyDescent="0.2">
      <c r="B64" s="1305"/>
      <c r="C64" s="1308"/>
      <c r="D64" s="554" t="s">
        <v>632</v>
      </c>
      <c r="E64" s="555">
        <v>1</v>
      </c>
      <c r="F64" s="553"/>
      <c r="G64" s="556"/>
      <c r="H64" s="557">
        <f t="shared" ref="H64" si="7">E64*G64</f>
        <v>0</v>
      </c>
      <c r="I64" s="558">
        <f>SUM(H58:H64)</f>
        <v>0</v>
      </c>
      <c r="J64" s="559">
        <f>I64*$J$5</f>
        <v>0</v>
      </c>
      <c r="K64" s="560">
        <f>SUM(I64:J64)*$K$5</f>
        <v>0</v>
      </c>
      <c r="L64" s="560">
        <f>SUM(I64:K64)*$L$5</f>
        <v>0</v>
      </c>
      <c r="M64" s="560">
        <f>SUM(I64:L64)*$M$5</f>
        <v>0</v>
      </c>
      <c r="N64" s="560">
        <f>SUM(I64:M64)*$N$5</f>
        <v>0</v>
      </c>
      <c r="O64" s="559">
        <f>SUM(I64:N64)</f>
        <v>0</v>
      </c>
      <c r="P64" s="558">
        <f>ROUND(O64,-3)</f>
        <v>0</v>
      </c>
      <c r="Q64" s="426" t="s">
        <v>600</v>
      </c>
    </row>
    <row r="65" spans="2:17" s="426" customFormat="1" ht="12" thickBot="1" x14ac:dyDescent="0.25">
      <c r="B65" s="1306"/>
      <c r="C65" s="1309"/>
      <c r="D65" s="545"/>
      <c r="E65" s="546"/>
      <c r="F65" s="547"/>
      <c r="G65" s="548"/>
      <c r="H65" s="549"/>
      <c r="I65" s="550"/>
      <c r="J65" s="551"/>
      <c r="K65" s="552"/>
      <c r="L65" s="552"/>
      <c r="M65" s="552"/>
      <c r="N65" s="552"/>
      <c r="O65" s="551"/>
      <c r="P65" s="550"/>
    </row>
    <row r="66" spans="2:17" s="420" customFormat="1" ht="11.25" x14ac:dyDescent="0.2">
      <c r="B66" s="1263" t="str">
        <f>'Detailed Matrix'!E169</f>
        <v>Promotion of Activity</v>
      </c>
      <c r="C66" s="1289" t="str">
        <f>'Detailed Matrix'!F169</f>
        <v>Exercise mat or equipment in room with pre-loaded stretching or training workouts.</v>
      </c>
      <c r="D66" s="390"/>
      <c r="E66" s="391"/>
      <c r="F66" s="392"/>
      <c r="G66" s="393"/>
      <c r="H66" s="394"/>
      <c r="I66" s="395"/>
      <c r="J66" s="396"/>
      <c r="K66" s="397"/>
      <c r="L66" s="397"/>
      <c r="M66" s="397"/>
      <c r="N66" s="397"/>
      <c r="O66" s="396"/>
      <c r="P66" s="395"/>
    </row>
    <row r="67" spans="2:17" s="420" customFormat="1" ht="11.25" x14ac:dyDescent="0.2">
      <c r="B67" s="1264"/>
      <c r="C67" s="1290"/>
      <c r="D67" s="752" t="s">
        <v>556</v>
      </c>
      <c r="E67" s="399"/>
      <c r="F67" s="400"/>
      <c r="G67" s="401"/>
      <c r="H67" s="722"/>
      <c r="I67" s="723"/>
      <c r="J67" s="724"/>
      <c r="K67" s="725"/>
      <c r="L67" s="725"/>
      <c r="M67" s="725"/>
      <c r="N67" s="725"/>
      <c r="O67" s="724"/>
      <c r="P67" s="723"/>
    </row>
    <row r="68" spans="2:17" s="420" customFormat="1" ht="11.25" x14ac:dyDescent="0.2">
      <c r="B68" s="1264"/>
      <c r="C68" s="1290"/>
      <c r="D68" s="398" t="s">
        <v>633</v>
      </c>
      <c r="E68" s="399">
        <f>'Key Data'!$B$25</f>
        <v>261</v>
      </c>
      <c r="F68" s="400" t="s">
        <v>12</v>
      </c>
      <c r="G68" s="401">
        <v>150</v>
      </c>
      <c r="H68" s="402">
        <f t="shared" ref="H68" si="8">E68*G68</f>
        <v>39150</v>
      </c>
      <c r="I68" s="403">
        <f>SUM(H66:H68)</f>
        <v>39150</v>
      </c>
      <c r="J68" s="404">
        <f>I68*$J$5</f>
        <v>5089.5</v>
      </c>
      <c r="K68" s="405">
        <f>SUM(I68:J68)*$K$5</f>
        <v>1990.7774999999999</v>
      </c>
      <c r="L68" s="405">
        <f>SUM(I68:K68)*$L$5</f>
        <v>2542.6652624999997</v>
      </c>
      <c r="M68" s="405">
        <f>SUM(I68:L68)*$M$5</f>
        <v>2926.3765657499998</v>
      </c>
      <c r="N68" s="405">
        <f>SUM(I68:M68)*$N$5</f>
        <v>5169.9319328249994</v>
      </c>
      <c r="O68" s="406">
        <f>SUM(I68:N68)</f>
        <v>56869.251261074991</v>
      </c>
      <c r="P68" s="403">
        <f>ROUND(O68,-3)</f>
        <v>57000</v>
      </c>
      <c r="Q68" s="420" t="s">
        <v>514</v>
      </c>
    </row>
    <row r="69" spans="2:17" s="420" customFormat="1" ht="11.25" x14ac:dyDescent="0.2">
      <c r="B69" s="1264"/>
      <c r="C69" s="1290"/>
      <c r="D69" s="713"/>
      <c r="E69" s="714"/>
      <c r="F69" s="715"/>
      <c r="G69" s="716"/>
      <c r="H69" s="717"/>
      <c r="I69" s="718"/>
      <c r="J69" s="719"/>
      <c r="K69" s="720"/>
      <c r="L69" s="720"/>
      <c r="M69" s="720"/>
      <c r="N69" s="720"/>
      <c r="O69" s="721"/>
      <c r="P69" s="718"/>
    </row>
    <row r="70" spans="2:17" s="420" customFormat="1" ht="11.25" x14ac:dyDescent="0.2">
      <c r="B70" s="1264"/>
      <c r="C70" s="1290"/>
      <c r="D70" s="752" t="s">
        <v>557</v>
      </c>
      <c r="E70" s="714"/>
      <c r="F70" s="715"/>
      <c r="G70" s="716"/>
      <c r="H70" s="717"/>
      <c r="I70" s="718"/>
      <c r="J70" s="719"/>
      <c r="K70" s="720"/>
      <c r="L70" s="720"/>
      <c r="M70" s="720"/>
      <c r="N70" s="720"/>
      <c r="O70" s="721"/>
      <c r="P70" s="718"/>
    </row>
    <row r="71" spans="2:17" s="420" customFormat="1" ht="11.25" x14ac:dyDescent="0.2">
      <c r="B71" s="1264"/>
      <c r="C71" s="1290"/>
      <c r="D71" s="398" t="s">
        <v>633</v>
      </c>
      <c r="E71" s="399">
        <f>'Key Data'!$B$25</f>
        <v>261</v>
      </c>
      <c r="F71" s="400" t="s">
        <v>12</v>
      </c>
      <c r="G71" s="401">
        <v>500</v>
      </c>
      <c r="H71" s="402">
        <f t="shared" ref="H71" si="9">E71*G71</f>
        <v>130500</v>
      </c>
      <c r="I71" s="403">
        <f>SUM(H69:H71)</f>
        <v>130500</v>
      </c>
      <c r="J71" s="404">
        <f>I71*$J$5</f>
        <v>16965</v>
      </c>
      <c r="K71" s="405">
        <f>SUM(I71:J71)*$K$5</f>
        <v>6635.9250000000002</v>
      </c>
      <c r="L71" s="405">
        <f>SUM(I71:K71)*$L$5</f>
        <v>8475.550874999999</v>
      </c>
      <c r="M71" s="405">
        <f>SUM(I71:L71)*$M$5</f>
        <v>9754.5885524999976</v>
      </c>
      <c r="N71" s="405">
        <f>SUM(I71:M71)*$N$5</f>
        <v>17233.106442749999</v>
      </c>
      <c r="O71" s="406">
        <f>SUM(I71:N71)</f>
        <v>189564.17087024997</v>
      </c>
      <c r="P71" s="403">
        <f>ROUND(O71,-3)</f>
        <v>190000</v>
      </c>
    </row>
    <row r="72" spans="2:17" s="420" customFormat="1" ht="11.25" x14ac:dyDescent="0.2">
      <c r="B72" s="1264"/>
      <c r="C72" s="1290"/>
      <c r="D72" s="713"/>
      <c r="E72" s="714"/>
      <c r="F72" s="715"/>
      <c r="G72" s="716"/>
      <c r="H72" s="717"/>
      <c r="I72" s="718"/>
      <c r="J72" s="719"/>
      <c r="K72" s="720"/>
      <c r="L72" s="720"/>
      <c r="M72" s="720"/>
      <c r="N72" s="720"/>
      <c r="O72" s="721"/>
      <c r="P72" s="718"/>
    </row>
    <row r="73" spans="2:17" s="420" customFormat="1" ht="12" thickBot="1" x14ac:dyDescent="0.25">
      <c r="B73" s="1265"/>
      <c r="C73" s="1291"/>
      <c r="D73" s="407"/>
      <c r="E73" s="408"/>
      <c r="F73" s="409"/>
      <c r="G73" s="410"/>
      <c r="H73" s="411"/>
      <c r="I73" s="412"/>
      <c r="J73" s="413"/>
      <c r="K73" s="414"/>
      <c r="L73" s="414"/>
      <c r="M73" s="414"/>
      <c r="N73" s="414"/>
      <c r="O73" s="413"/>
      <c r="P73" s="412"/>
    </row>
    <row r="74" spans="2:17" s="426" customFormat="1" ht="11.25" x14ac:dyDescent="0.2">
      <c r="B74" s="1304" t="str">
        <f>'Detailed Matrix'!E170</f>
        <v>Promotion of Activity</v>
      </c>
      <c r="C74" s="1307" t="str">
        <f>'Detailed Matrix'!F170</f>
        <v>Rewards linked to ‘steps’.</v>
      </c>
      <c r="D74" s="528" t="s">
        <v>556</v>
      </c>
      <c r="E74" s="529">
        <v>1</v>
      </c>
      <c r="F74" s="530"/>
      <c r="G74" s="531"/>
      <c r="H74" s="532">
        <f t="shared" ref="H74:H80" si="10">E74*G74</f>
        <v>0</v>
      </c>
      <c r="I74" s="533"/>
      <c r="J74" s="534"/>
      <c r="K74" s="535"/>
      <c r="L74" s="535"/>
      <c r="M74" s="535"/>
      <c r="N74" s="535"/>
      <c r="O74" s="534"/>
      <c r="P74" s="533"/>
    </row>
    <row r="75" spans="2:17" s="426" customFormat="1" ht="11.25" x14ac:dyDescent="0.2">
      <c r="B75" s="1305"/>
      <c r="C75" s="1308"/>
      <c r="D75" s="554"/>
      <c r="E75" s="555">
        <v>1</v>
      </c>
      <c r="F75" s="553"/>
      <c r="G75" s="556"/>
      <c r="H75" s="557">
        <f t="shared" si="10"/>
        <v>0</v>
      </c>
      <c r="I75" s="558"/>
      <c r="J75" s="559"/>
      <c r="K75" s="560"/>
      <c r="L75" s="560"/>
      <c r="M75" s="560"/>
      <c r="N75" s="560"/>
      <c r="O75" s="559"/>
      <c r="P75" s="558"/>
    </row>
    <row r="76" spans="2:17" s="426" customFormat="1" ht="11.25" x14ac:dyDescent="0.2">
      <c r="B76" s="1305"/>
      <c r="C76" s="1308"/>
      <c r="D76" s="554"/>
      <c r="E76" s="555">
        <v>1</v>
      </c>
      <c r="F76" s="553"/>
      <c r="G76" s="556"/>
      <c r="H76" s="557">
        <f t="shared" si="10"/>
        <v>0</v>
      </c>
      <c r="I76" s="558"/>
      <c r="J76" s="559"/>
      <c r="K76" s="560"/>
      <c r="L76" s="560"/>
      <c r="M76" s="560"/>
      <c r="N76" s="560"/>
      <c r="O76" s="559"/>
      <c r="P76" s="558"/>
    </row>
    <row r="77" spans="2:17" s="426" customFormat="1" ht="11.25" x14ac:dyDescent="0.2">
      <c r="B77" s="1305"/>
      <c r="C77" s="1308"/>
      <c r="D77" s="554"/>
      <c r="E77" s="555">
        <v>1</v>
      </c>
      <c r="F77" s="553"/>
      <c r="G77" s="556"/>
      <c r="H77" s="557">
        <f t="shared" si="10"/>
        <v>0</v>
      </c>
      <c r="I77" s="558"/>
      <c r="J77" s="559"/>
      <c r="K77" s="560"/>
      <c r="L77" s="560"/>
      <c r="M77" s="560"/>
      <c r="N77" s="560"/>
      <c r="O77" s="559"/>
      <c r="P77" s="558"/>
    </row>
    <row r="78" spans="2:17" s="426" customFormat="1" ht="11.25" x14ac:dyDescent="0.2">
      <c r="B78" s="1305"/>
      <c r="C78" s="1308"/>
      <c r="D78" s="554"/>
      <c r="E78" s="555">
        <v>1</v>
      </c>
      <c r="F78" s="553"/>
      <c r="G78" s="556"/>
      <c r="H78" s="557">
        <f t="shared" si="10"/>
        <v>0</v>
      </c>
      <c r="I78" s="558"/>
      <c r="J78" s="559"/>
      <c r="K78" s="560"/>
      <c r="L78" s="560"/>
      <c r="M78" s="560"/>
      <c r="N78" s="560"/>
      <c r="O78" s="559"/>
      <c r="P78" s="558"/>
    </row>
    <row r="79" spans="2:17" s="426" customFormat="1" ht="11.25" x14ac:dyDescent="0.2">
      <c r="B79" s="1305"/>
      <c r="C79" s="1308"/>
      <c r="D79" s="554"/>
      <c r="E79" s="555">
        <v>1</v>
      </c>
      <c r="F79" s="553"/>
      <c r="G79" s="556"/>
      <c r="H79" s="557">
        <f t="shared" si="10"/>
        <v>0</v>
      </c>
      <c r="I79" s="558"/>
      <c r="J79" s="559"/>
      <c r="K79" s="560"/>
      <c r="L79" s="560"/>
      <c r="M79" s="560"/>
      <c r="N79" s="560"/>
      <c r="O79" s="559"/>
      <c r="P79" s="558"/>
    </row>
    <row r="80" spans="2:17" s="426" customFormat="1" ht="11.25" x14ac:dyDescent="0.2">
      <c r="B80" s="1305"/>
      <c r="C80" s="1308"/>
      <c r="D80" s="554" t="s">
        <v>598</v>
      </c>
      <c r="E80" s="555"/>
      <c r="F80" s="553"/>
      <c r="G80" s="556"/>
      <c r="H80" s="557">
        <f t="shared" si="10"/>
        <v>0</v>
      </c>
      <c r="I80" s="558">
        <f>SUM(H74:H80)</f>
        <v>0</v>
      </c>
      <c r="J80" s="559">
        <f>I80*$J$5</f>
        <v>0</v>
      </c>
      <c r="K80" s="560">
        <f>SUM(I80:J80)*$K$5</f>
        <v>0</v>
      </c>
      <c r="L80" s="560">
        <f>SUM(I80:K80)*$L$5</f>
        <v>0</v>
      </c>
      <c r="M80" s="560">
        <f>SUM(I80:L80)*$M$5</f>
        <v>0</v>
      </c>
      <c r="N80" s="560">
        <f>SUM(I80:M80)*$N$5</f>
        <v>0</v>
      </c>
      <c r="O80" s="559">
        <f>SUM(I80:N80)</f>
        <v>0</v>
      </c>
      <c r="P80" s="558">
        <f>ROUND(O80,-3)</f>
        <v>0</v>
      </c>
      <c r="Q80" s="426" t="s">
        <v>600</v>
      </c>
    </row>
    <row r="81" spans="2:17" s="426" customFormat="1" ht="11.25" x14ac:dyDescent="0.2">
      <c r="B81" s="1305"/>
      <c r="C81" s="1308"/>
      <c r="D81" s="554"/>
      <c r="E81" s="555"/>
      <c r="F81" s="553"/>
      <c r="G81" s="556"/>
      <c r="H81" s="557"/>
      <c r="I81" s="558"/>
      <c r="J81" s="559"/>
      <c r="K81" s="560"/>
      <c r="L81" s="560"/>
      <c r="M81" s="560"/>
      <c r="N81" s="560"/>
      <c r="O81" s="559"/>
      <c r="P81" s="558"/>
    </row>
    <row r="82" spans="2:17" s="426" customFormat="1" ht="11.25" x14ac:dyDescent="0.2">
      <c r="B82" s="1305"/>
      <c r="C82" s="1308"/>
      <c r="D82" s="554" t="s">
        <v>557</v>
      </c>
      <c r="E82" s="555">
        <v>1</v>
      </c>
      <c r="F82" s="553"/>
      <c r="G82" s="556"/>
      <c r="H82" s="557">
        <f>E82*G82</f>
        <v>0</v>
      </c>
      <c r="I82" s="558"/>
      <c r="J82" s="559"/>
      <c r="K82" s="560"/>
      <c r="L82" s="560"/>
      <c r="M82" s="560"/>
      <c r="N82" s="560"/>
      <c r="O82" s="559"/>
      <c r="P82" s="558"/>
    </row>
    <row r="83" spans="2:17" s="426" customFormat="1" ht="11.25" x14ac:dyDescent="0.2">
      <c r="B83" s="1305"/>
      <c r="C83" s="1308"/>
      <c r="D83" s="554"/>
      <c r="E83" s="555">
        <v>1</v>
      </c>
      <c r="F83" s="553"/>
      <c r="G83" s="556"/>
      <c r="H83" s="557">
        <f>E83*G83</f>
        <v>0</v>
      </c>
      <c r="I83" s="558"/>
      <c r="J83" s="559"/>
      <c r="K83" s="560"/>
      <c r="L83" s="560"/>
      <c r="M83" s="560"/>
      <c r="N83" s="560"/>
      <c r="O83" s="559"/>
      <c r="P83" s="558"/>
    </row>
    <row r="84" spans="2:17" s="426" customFormat="1" ht="11.25" x14ac:dyDescent="0.2">
      <c r="B84" s="1305"/>
      <c r="C84" s="1308"/>
      <c r="D84" s="554"/>
      <c r="E84" s="555">
        <v>1</v>
      </c>
      <c r="F84" s="553"/>
      <c r="G84" s="556"/>
      <c r="H84" s="557">
        <f>E84*G84</f>
        <v>0</v>
      </c>
      <c r="I84" s="558"/>
      <c r="J84" s="559"/>
      <c r="K84" s="560"/>
      <c r="L84" s="560"/>
      <c r="M84" s="560"/>
      <c r="N84" s="560"/>
      <c r="O84" s="559"/>
      <c r="P84" s="558"/>
    </row>
    <row r="85" spans="2:17" s="426" customFormat="1" ht="11.25" x14ac:dyDescent="0.2">
      <c r="B85" s="1305"/>
      <c r="C85" s="1308"/>
      <c r="D85" s="554"/>
      <c r="E85" s="555">
        <v>1</v>
      </c>
      <c r="F85" s="553"/>
      <c r="G85" s="556"/>
      <c r="H85" s="557">
        <f>E85*G85</f>
        <v>0</v>
      </c>
      <c r="I85" s="558"/>
      <c r="J85" s="559"/>
      <c r="K85" s="560"/>
      <c r="L85" s="560"/>
      <c r="M85" s="560"/>
      <c r="N85" s="560"/>
      <c r="O85" s="559"/>
      <c r="P85" s="558"/>
    </row>
    <row r="86" spans="2:17" s="426" customFormat="1" ht="11.25" x14ac:dyDescent="0.2">
      <c r="B86" s="1305"/>
      <c r="C86" s="1308"/>
      <c r="D86" s="554"/>
      <c r="E86" s="555">
        <v>1</v>
      </c>
      <c r="F86" s="553"/>
      <c r="G86" s="556"/>
      <c r="H86" s="557">
        <f>E86*G86</f>
        <v>0</v>
      </c>
      <c r="I86" s="558"/>
      <c r="J86" s="559"/>
      <c r="K86" s="560"/>
      <c r="L86" s="560"/>
      <c r="M86" s="560"/>
      <c r="N86" s="560"/>
      <c r="O86" s="559"/>
      <c r="P86" s="558"/>
    </row>
    <row r="87" spans="2:17" s="426" customFormat="1" ht="11.25" x14ac:dyDescent="0.2">
      <c r="B87" s="1305"/>
      <c r="C87" s="1308"/>
      <c r="D87" s="554" t="s">
        <v>598</v>
      </c>
      <c r="E87" s="555">
        <v>1</v>
      </c>
      <c r="F87" s="553"/>
      <c r="G87" s="556"/>
      <c r="H87" s="557">
        <f t="shared" ref="H87" si="11">E87*G87</f>
        <v>0</v>
      </c>
      <c r="I87" s="558">
        <f>SUM(H81:H87)</f>
        <v>0</v>
      </c>
      <c r="J87" s="559">
        <f>I87*$J$5</f>
        <v>0</v>
      </c>
      <c r="K87" s="560">
        <f>SUM(I87:J87)*$K$5</f>
        <v>0</v>
      </c>
      <c r="L87" s="560">
        <f>SUM(I87:K87)*$L$5</f>
        <v>0</v>
      </c>
      <c r="M87" s="560">
        <f>SUM(I87:L87)*$M$5</f>
        <v>0</v>
      </c>
      <c r="N87" s="560">
        <f>SUM(I87:M87)*$N$5</f>
        <v>0</v>
      </c>
      <c r="O87" s="559">
        <f>SUM(I87:N87)</f>
        <v>0</v>
      </c>
      <c r="P87" s="558">
        <f>ROUND(O87,-3)</f>
        <v>0</v>
      </c>
      <c r="Q87" s="426" t="s">
        <v>600</v>
      </c>
    </row>
    <row r="88" spans="2:17" s="426" customFormat="1" ht="12" thickBot="1" x14ac:dyDescent="0.25">
      <c r="B88" s="1306"/>
      <c r="C88" s="1309"/>
      <c r="D88" s="545"/>
      <c r="E88" s="546"/>
      <c r="F88" s="547"/>
      <c r="G88" s="548"/>
      <c r="H88" s="549"/>
      <c r="I88" s="550"/>
      <c r="J88" s="551"/>
      <c r="K88" s="552"/>
      <c r="L88" s="552"/>
      <c r="M88" s="552"/>
      <c r="N88" s="552"/>
      <c r="O88" s="551"/>
      <c r="P88" s="550"/>
    </row>
    <row r="89" spans="2:17" s="420" customFormat="1" ht="11.25" x14ac:dyDescent="0.2">
      <c r="B89" s="1304" t="str">
        <f>'Detailed Matrix'!E171</f>
        <v>Staircase Use</v>
      </c>
      <c r="C89" s="1307" t="str">
        <f>'Detailed Matrix'!F171</f>
        <v>Enhanced Stairs with High Quality design</v>
      </c>
      <c r="D89" s="528" t="s">
        <v>556</v>
      </c>
      <c r="E89" s="529">
        <v>1</v>
      </c>
      <c r="F89" s="530"/>
      <c r="G89" s="531"/>
      <c r="H89" s="532">
        <f t="shared" ref="H89:H95" si="12">E89*G89</f>
        <v>0</v>
      </c>
      <c r="I89" s="533"/>
      <c r="J89" s="534"/>
      <c r="K89" s="535"/>
      <c r="L89" s="535"/>
      <c r="M89" s="535"/>
      <c r="N89" s="535"/>
      <c r="O89" s="534"/>
      <c r="P89" s="533"/>
    </row>
    <row r="90" spans="2:17" s="420" customFormat="1" ht="11.25" x14ac:dyDescent="0.2">
      <c r="B90" s="1305"/>
      <c r="C90" s="1308"/>
      <c r="D90" s="554"/>
      <c r="E90" s="555">
        <v>1</v>
      </c>
      <c r="F90" s="553"/>
      <c r="G90" s="556"/>
      <c r="H90" s="557">
        <f t="shared" si="12"/>
        <v>0</v>
      </c>
      <c r="I90" s="558"/>
      <c r="J90" s="559"/>
      <c r="K90" s="560"/>
      <c r="L90" s="560"/>
      <c r="M90" s="560"/>
      <c r="N90" s="560"/>
      <c r="O90" s="559"/>
      <c r="P90" s="558"/>
    </row>
    <row r="91" spans="2:17" s="420" customFormat="1" ht="11.25" x14ac:dyDescent="0.2">
      <c r="B91" s="1305"/>
      <c r="C91" s="1308"/>
      <c r="D91" s="554"/>
      <c r="E91" s="555">
        <v>1</v>
      </c>
      <c r="F91" s="553"/>
      <c r="G91" s="556"/>
      <c r="H91" s="557">
        <f t="shared" si="12"/>
        <v>0</v>
      </c>
      <c r="I91" s="558"/>
      <c r="J91" s="559"/>
      <c r="K91" s="560"/>
      <c r="L91" s="560"/>
      <c r="M91" s="560"/>
      <c r="N91" s="560"/>
      <c r="O91" s="559"/>
      <c r="P91" s="558"/>
    </row>
    <row r="92" spans="2:17" s="420" customFormat="1" ht="11.25" x14ac:dyDescent="0.2">
      <c r="B92" s="1305"/>
      <c r="C92" s="1308"/>
      <c r="D92" s="554" t="s">
        <v>586</v>
      </c>
      <c r="E92" s="555">
        <f>'Key Data'!$B$14*2</f>
        <v>48</v>
      </c>
      <c r="F92" s="553" t="s">
        <v>634</v>
      </c>
      <c r="G92" s="556">
        <v>2500</v>
      </c>
      <c r="H92" s="557">
        <f t="shared" si="12"/>
        <v>120000</v>
      </c>
      <c r="I92" s="558"/>
      <c r="J92" s="559"/>
      <c r="K92" s="560"/>
      <c r="L92" s="560"/>
      <c r="M92" s="560"/>
      <c r="N92" s="560"/>
      <c r="O92" s="559"/>
      <c r="P92" s="558"/>
    </row>
    <row r="93" spans="2:17" s="420" customFormat="1" ht="11.25" x14ac:dyDescent="0.2">
      <c r="B93" s="1305"/>
      <c r="C93" s="1308"/>
      <c r="D93" s="554"/>
      <c r="E93" s="555">
        <v>1</v>
      </c>
      <c r="F93" s="553"/>
      <c r="G93" s="556"/>
      <c r="H93" s="557">
        <f t="shared" si="12"/>
        <v>0</v>
      </c>
      <c r="I93" s="558"/>
      <c r="J93" s="559"/>
      <c r="K93" s="560"/>
      <c r="L93" s="560"/>
      <c r="M93" s="560"/>
      <c r="N93" s="560"/>
      <c r="O93" s="559"/>
      <c r="P93" s="558"/>
    </row>
    <row r="94" spans="2:17" s="420" customFormat="1" ht="11.25" x14ac:dyDescent="0.2">
      <c r="B94" s="1305"/>
      <c r="C94" s="1308"/>
      <c r="D94" s="554"/>
      <c r="E94" s="555">
        <v>1</v>
      </c>
      <c r="F94" s="553"/>
      <c r="G94" s="556"/>
      <c r="H94" s="557">
        <f t="shared" si="12"/>
        <v>0</v>
      </c>
      <c r="I94" s="558"/>
      <c r="J94" s="559"/>
      <c r="K94" s="560"/>
      <c r="L94" s="560"/>
      <c r="M94" s="560"/>
      <c r="N94" s="560"/>
      <c r="O94" s="559"/>
      <c r="P94" s="558"/>
    </row>
    <row r="95" spans="2:17" s="420" customFormat="1" ht="11.25" x14ac:dyDescent="0.2">
      <c r="B95" s="1305"/>
      <c r="C95" s="1308"/>
      <c r="D95" s="554" t="s">
        <v>635</v>
      </c>
      <c r="E95" s="555"/>
      <c r="F95" s="553"/>
      <c r="G95" s="556"/>
      <c r="H95" s="557">
        <f t="shared" si="12"/>
        <v>0</v>
      </c>
      <c r="I95" s="558">
        <f>SUM(H89:H95)</f>
        <v>120000</v>
      </c>
      <c r="J95" s="559">
        <f>I95*$J$5</f>
        <v>15600</v>
      </c>
      <c r="K95" s="560">
        <f>SUM(I95:J95)*$K$5</f>
        <v>6102</v>
      </c>
      <c r="L95" s="560">
        <f>SUM(I95:K95)*$L$5</f>
        <v>7793.61</v>
      </c>
      <c r="M95" s="560">
        <f>SUM(I95:L95)*$M$5</f>
        <v>8969.7365999999984</v>
      </c>
      <c r="N95" s="560">
        <f>SUM(I95:M95)*$N$5</f>
        <v>15846.534659999999</v>
      </c>
      <c r="O95" s="559">
        <f>SUM(I95:N95)</f>
        <v>174311.88125999999</v>
      </c>
      <c r="P95" s="558">
        <f>ROUND(O95,-3)</f>
        <v>174000</v>
      </c>
      <c r="Q95" s="420" t="s">
        <v>600</v>
      </c>
    </row>
    <row r="96" spans="2:17" s="420" customFormat="1" ht="11.25" x14ac:dyDescent="0.2">
      <c r="B96" s="1305"/>
      <c r="C96" s="1308"/>
      <c r="D96" s="554"/>
      <c r="E96" s="555"/>
      <c r="F96" s="553"/>
      <c r="G96" s="556"/>
      <c r="H96" s="557"/>
      <c r="I96" s="558"/>
      <c r="J96" s="559"/>
      <c r="K96" s="560"/>
      <c r="L96" s="560"/>
      <c r="M96" s="560"/>
      <c r="N96" s="560"/>
      <c r="O96" s="559"/>
      <c r="P96" s="558"/>
    </row>
    <row r="97" spans="2:17" s="420" customFormat="1" ht="11.25" x14ac:dyDescent="0.2">
      <c r="B97" s="1305"/>
      <c r="C97" s="1308"/>
      <c r="D97" s="554" t="s">
        <v>557</v>
      </c>
      <c r="E97" s="555">
        <v>1</v>
      </c>
      <c r="F97" s="553"/>
      <c r="G97" s="556"/>
      <c r="H97" s="557">
        <f>E97*G97</f>
        <v>0</v>
      </c>
      <c r="I97" s="558"/>
      <c r="J97" s="559"/>
      <c r="K97" s="560"/>
      <c r="L97" s="560"/>
      <c r="M97" s="560"/>
      <c r="N97" s="560"/>
      <c r="O97" s="559"/>
      <c r="P97" s="558"/>
    </row>
    <row r="98" spans="2:17" s="420" customFormat="1" ht="11.25" x14ac:dyDescent="0.2">
      <c r="B98" s="1305"/>
      <c r="C98" s="1308"/>
      <c r="D98" s="554"/>
      <c r="E98" s="555">
        <v>1</v>
      </c>
      <c r="F98" s="553"/>
      <c r="G98" s="556"/>
      <c r="H98" s="557">
        <f>E98*G98</f>
        <v>0</v>
      </c>
      <c r="I98" s="558"/>
      <c r="J98" s="559"/>
      <c r="K98" s="560"/>
      <c r="L98" s="560"/>
      <c r="M98" s="560"/>
      <c r="N98" s="560"/>
      <c r="O98" s="559"/>
      <c r="P98" s="558"/>
    </row>
    <row r="99" spans="2:17" s="420" customFormat="1" ht="11.25" x14ac:dyDescent="0.2">
      <c r="B99" s="1305"/>
      <c r="C99" s="1308"/>
      <c r="D99" s="554" t="s">
        <v>586</v>
      </c>
      <c r="E99" s="555">
        <f>'Key Data'!$B$14*2</f>
        <v>48</v>
      </c>
      <c r="F99" s="553" t="s">
        <v>634</v>
      </c>
      <c r="G99" s="556">
        <v>10000</v>
      </c>
      <c r="H99" s="557">
        <f>E99*G99</f>
        <v>480000</v>
      </c>
      <c r="I99" s="558"/>
      <c r="J99" s="559"/>
      <c r="K99" s="560"/>
      <c r="L99" s="560"/>
      <c r="M99" s="560"/>
      <c r="N99" s="560"/>
      <c r="O99" s="559"/>
      <c r="P99" s="558"/>
    </row>
    <row r="100" spans="2:17" s="420" customFormat="1" ht="11.25" x14ac:dyDescent="0.2">
      <c r="B100" s="1305"/>
      <c r="C100" s="1308"/>
      <c r="D100" s="554"/>
      <c r="E100" s="555">
        <v>1</v>
      </c>
      <c r="F100" s="553"/>
      <c r="G100" s="556"/>
      <c r="H100" s="557">
        <f>E100*G100</f>
        <v>0</v>
      </c>
      <c r="I100" s="558"/>
      <c r="J100" s="559"/>
      <c r="K100" s="560"/>
      <c r="L100" s="560"/>
      <c r="M100" s="560"/>
      <c r="N100" s="560"/>
      <c r="O100" s="559"/>
      <c r="P100" s="558"/>
    </row>
    <row r="101" spans="2:17" s="420" customFormat="1" ht="11.25" x14ac:dyDescent="0.2">
      <c r="B101" s="1305"/>
      <c r="C101" s="1308"/>
      <c r="D101" s="554"/>
      <c r="E101" s="555">
        <v>1</v>
      </c>
      <c r="F101" s="553"/>
      <c r="G101" s="556"/>
      <c r="H101" s="557">
        <f>E101*G101</f>
        <v>0</v>
      </c>
      <c r="I101" s="558"/>
      <c r="J101" s="559"/>
      <c r="K101" s="560"/>
      <c r="L101" s="560"/>
      <c r="M101" s="560"/>
      <c r="N101" s="560"/>
      <c r="O101" s="559"/>
      <c r="P101" s="558"/>
    </row>
    <row r="102" spans="2:17" s="420" customFormat="1" ht="11.25" x14ac:dyDescent="0.2">
      <c r="B102" s="1305"/>
      <c r="C102" s="1308"/>
      <c r="D102" s="554" t="s">
        <v>635</v>
      </c>
      <c r="E102" s="555">
        <v>1</v>
      </c>
      <c r="F102" s="553"/>
      <c r="G102" s="556"/>
      <c r="H102" s="557">
        <f t="shared" ref="H102" si="13">E102*G102</f>
        <v>0</v>
      </c>
      <c r="I102" s="558">
        <f>SUM(H96:H102)</f>
        <v>480000</v>
      </c>
      <c r="J102" s="559">
        <f>I102*$J$5</f>
        <v>62400</v>
      </c>
      <c r="K102" s="560">
        <f>SUM(I102:J102)*$K$5</f>
        <v>24408</v>
      </c>
      <c r="L102" s="560">
        <f>SUM(I102:K102)*$L$5</f>
        <v>31174.44</v>
      </c>
      <c r="M102" s="560">
        <f>SUM(I102:L102)*$M$5</f>
        <v>35878.946399999993</v>
      </c>
      <c r="N102" s="560">
        <f>SUM(I102:M102)*$N$5</f>
        <v>63386.138639999997</v>
      </c>
      <c r="O102" s="559">
        <f>SUM(I102:N102)</f>
        <v>697247.52503999998</v>
      </c>
      <c r="P102" s="558">
        <f>ROUND(O102,-3)</f>
        <v>697000</v>
      </c>
      <c r="Q102" s="420" t="s">
        <v>600</v>
      </c>
    </row>
    <row r="103" spans="2:17" s="420" customFormat="1" ht="12" thickBot="1" x14ac:dyDescent="0.25">
      <c r="B103" s="1306"/>
      <c r="C103" s="1309"/>
      <c r="D103" s="545"/>
      <c r="E103" s="546"/>
      <c r="F103" s="547"/>
      <c r="G103" s="548"/>
      <c r="H103" s="549"/>
      <c r="I103" s="550"/>
      <c r="J103" s="551"/>
      <c r="K103" s="552"/>
      <c r="L103" s="552"/>
      <c r="M103" s="552"/>
      <c r="N103" s="552"/>
      <c r="O103" s="551"/>
      <c r="P103" s="550"/>
    </row>
  </sheetData>
  <mergeCells count="15">
    <mergeCell ref="B89:B103"/>
    <mergeCell ref="C89:C103"/>
    <mergeCell ref="B2:P3"/>
    <mergeCell ref="B51:B65"/>
    <mergeCell ref="C51:C65"/>
    <mergeCell ref="B66:B73"/>
    <mergeCell ref="C66:C73"/>
    <mergeCell ref="B74:B88"/>
    <mergeCell ref="C74:C88"/>
    <mergeCell ref="B6:B20"/>
    <mergeCell ref="C6:C20"/>
    <mergeCell ref="B21:B35"/>
    <mergeCell ref="C21:C35"/>
    <mergeCell ref="B36:B50"/>
    <mergeCell ref="C36:C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69DE2-420C-4F0E-9106-156AF4A549D1}">
  <sheetPr>
    <tabColor theme="5" tint="0.59999389629810485"/>
  </sheetPr>
  <dimension ref="B2:P44"/>
  <sheetViews>
    <sheetView workbookViewId="0">
      <selection activeCell="C42" sqref="B6:C44"/>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6" ht="15.6" customHeight="1" x14ac:dyDescent="0.25">
      <c r="B2" s="1243" t="str" cm="1">
        <f t="array" aca="1" ref="B2" ca="1">MID(CELL("filename",A1),FIND("]",CELL("filename",A1))+1,256)</f>
        <v>Personal Security</v>
      </c>
      <c r="C2" s="1244"/>
      <c r="D2" s="1244"/>
      <c r="E2" s="1244"/>
      <c r="F2" s="1244"/>
      <c r="G2" s="1244"/>
      <c r="H2" s="1244"/>
      <c r="I2" s="1244"/>
      <c r="J2" s="1244"/>
      <c r="K2" s="1244"/>
      <c r="L2" s="1244"/>
      <c r="M2" s="1244"/>
      <c r="N2" s="1244"/>
      <c r="O2" s="1244"/>
      <c r="P2" s="1284"/>
    </row>
    <row r="3" spans="2:16" ht="15" customHeight="1" thickBot="1" x14ac:dyDescent="0.3">
      <c r="B3" s="1246"/>
      <c r="C3" s="1247"/>
      <c r="D3" s="1247"/>
      <c r="E3" s="1247"/>
      <c r="F3" s="1247"/>
      <c r="G3" s="1247"/>
      <c r="H3" s="1247"/>
      <c r="I3" s="1247"/>
      <c r="J3" s="1247"/>
      <c r="K3" s="1247"/>
      <c r="L3" s="1247"/>
      <c r="M3" s="1247"/>
      <c r="N3" s="1247"/>
      <c r="O3" s="1247"/>
      <c r="P3" s="1285"/>
    </row>
    <row r="4" spans="2:16"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6"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6" s="420" customFormat="1" ht="11.25" x14ac:dyDescent="0.2">
      <c r="B6" s="1240" t="s">
        <v>353</v>
      </c>
      <c r="C6" s="1310" t="s">
        <v>354</v>
      </c>
      <c r="D6" s="492"/>
      <c r="E6" s="493"/>
      <c r="F6" s="494"/>
      <c r="G6" s="495"/>
      <c r="H6" s="496"/>
      <c r="I6" s="497"/>
      <c r="J6" s="498"/>
      <c r="K6" s="499"/>
      <c r="L6" s="499"/>
      <c r="M6" s="499"/>
      <c r="N6" s="499"/>
      <c r="O6" s="498"/>
      <c r="P6" s="497"/>
    </row>
    <row r="7" spans="2:16" s="420" customFormat="1" ht="11.25" x14ac:dyDescent="0.2">
      <c r="B7" s="1241"/>
      <c r="C7" s="1311"/>
      <c r="D7" s="508" t="s">
        <v>581</v>
      </c>
      <c r="E7" s="501"/>
      <c r="F7" s="502"/>
      <c r="G7" s="503"/>
      <c r="H7" s="509">
        <f t="shared" ref="H7" si="0">E7*G7</f>
        <v>0</v>
      </c>
      <c r="I7" s="512">
        <f>SUM(H6:H7)</f>
        <v>0</v>
      </c>
      <c r="J7" s="513">
        <f>I7*$J$5</f>
        <v>0</v>
      </c>
      <c r="K7" s="514">
        <f>SUM(I7:J7)*$K$5</f>
        <v>0</v>
      </c>
      <c r="L7" s="514">
        <f>SUM(I7:K7)*$L$5</f>
        <v>0</v>
      </c>
      <c r="M7" s="514">
        <f>SUM(I7:L7)*$M$5</f>
        <v>0</v>
      </c>
      <c r="N7" s="514">
        <f>SUM(I7:M7)*$N$5</f>
        <v>0</v>
      </c>
      <c r="O7" s="515">
        <f>SUM(I7:N7)</f>
        <v>0</v>
      </c>
      <c r="P7" s="512">
        <f>ROUND(O7,-4)</f>
        <v>0</v>
      </c>
    </row>
    <row r="8" spans="2:16" s="420" customFormat="1" ht="12" thickBot="1" x14ac:dyDescent="0.25">
      <c r="B8" s="1242"/>
      <c r="C8" s="1312"/>
      <c r="D8" s="516"/>
      <c r="E8" s="517"/>
      <c r="F8" s="518"/>
      <c r="G8" s="519"/>
      <c r="H8" s="520"/>
      <c r="I8" s="521"/>
      <c r="J8" s="522"/>
      <c r="K8" s="523"/>
      <c r="L8" s="523"/>
      <c r="M8" s="523"/>
      <c r="N8" s="523"/>
      <c r="O8" s="522"/>
      <c r="P8" s="521"/>
    </row>
    <row r="9" spans="2:16" s="426" customFormat="1" ht="11.25" x14ac:dyDescent="0.2">
      <c r="B9" s="1240" t="s">
        <v>356</v>
      </c>
      <c r="C9" s="1292" t="s">
        <v>357</v>
      </c>
      <c r="D9" s="492"/>
      <c r="E9" s="493"/>
      <c r="F9" s="494"/>
      <c r="G9" s="495"/>
      <c r="H9" s="496"/>
      <c r="I9" s="497"/>
      <c r="J9" s="498"/>
      <c r="K9" s="499"/>
      <c r="L9" s="499"/>
      <c r="M9" s="499"/>
      <c r="N9" s="499"/>
      <c r="O9" s="498"/>
      <c r="P9" s="497"/>
    </row>
    <row r="10" spans="2:16" s="426" customFormat="1" ht="11.25" x14ac:dyDescent="0.2">
      <c r="B10" s="1241"/>
      <c r="C10" s="1293"/>
      <c r="D10" s="508" t="s">
        <v>636</v>
      </c>
      <c r="E10" s="501"/>
      <c r="F10" s="502"/>
      <c r="G10" s="503"/>
      <c r="H10" s="509">
        <f t="shared" ref="H10" si="1">E10*G10</f>
        <v>0</v>
      </c>
      <c r="I10" s="512">
        <f>SUM(H9:H10)</f>
        <v>0</v>
      </c>
      <c r="J10" s="513">
        <f>I10*$J$5</f>
        <v>0</v>
      </c>
      <c r="K10" s="514">
        <f>SUM(I10:J10)*$K$5</f>
        <v>0</v>
      </c>
      <c r="L10" s="514">
        <f>SUM(I10:K10)*$L$5</f>
        <v>0</v>
      </c>
      <c r="M10" s="514">
        <f>SUM(I10:L10)*$M$5</f>
        <v>0</v>
      </c>
      <c r="N10" s="514">
        <f>SUM(I10:M10)*$N$5</f>
        <v>0</v>
      </c>
      <c r="O10" s="515">
        <f>SUM(I10:N10)</f>
        <v>0</v>
      </c>
      <c r="P10" s="512">
        <f>ROUND(O10,-4)</f>
        <v>0</v>
      </c>
    </row>
    <row r="11" spans="2:16" s="426" customFormat="1" ht="12" thickBot="1" x14ac:dyDescent="0.25">
      <c r="B11" s="1242"/>
      <c r="C11" s="1294"/>
      <c r="D11" s="516"/>
      <c r="E11" s="517"/>
      <c r="F11" s="518"/>
      <c r="G11" s="519"/>
      <c r="H11" s="520"/>
      <c r="I11" s="521"/>
      <c r="J11" s="522"/>
      <c r="K11" s="523"/>
      <c r="L11" s="523"/>
      <c r="M11" s="523"/>
      <c r="N11" s="523"/>
      <c r="O11" s="522"/>
      <c r="P11" s="521"/>
    </row>
    <row r="12" spans="2:16" s="420" customFormat="1" ht="11.25" x14ac:dyDescent="0.2">
      <c r="B12" s="1240" t="s">
        <v>358</v>
      </c>
      <c r="C12" s="1292" t="s">
        <v>359</v>
      </c>
      <c r="D12" s="492"/>
      <c r="E12" s="493"/>
      <c r="F12" s="494"/>
      <c r="G12" s="495"/>
      <c r="H12" s="496"/>
      <c r="I12" s="497"/>
      <c r="J12" s="498"/>
      <c r="K12" s="499"/>
      <c r="L12" s="499"/>
      <c r="M12" s="499"/>
      <c r="N12" s="499"/>
      <c r="O12" s="498"/>
      <c r="P12" s="497"/>
    </row>
    <row r="13" spans="2:16" s="420" customFormat="1" ht="11.25" x14ac:dyDescent="0.2">
      <c r="B13" s="1241"/>
      <c r="C13" s="1293"/>
      <c r="D13" s="508" t="s">
        <v>581</v>
      </c>
      <c r="E13" s="501"/>
      <c r="F13" s="502"/>
      <c r="G13" s="503"/>
      <c r="H13" s="509">
        <f t="shared" ref="H13" si="2">E13*G13</f>
        <v>0</v>
      </c>
      <c r="I13" s="512">
        <f>SUM(H12:H13)</f>
        <v>0</v>
      </c>
      <c r="J13" s="513">
        <f>I13*$J$5</f>
        <v>0</v>
      </c>
      <c r="K13" s="514">
        <f>SUM(I13:J13)*$K$5</f>
        <v>0</v>
      </c>
      <c r="L13" s="514">
        <f>SUM(I13:K13)*$L$5</f>
        <v>0</v>
      </c>
      <c r="M13" s="514">
        <f>SUM(I13:L13)*$M$5</f>
        <v>0</v>
      </c>
      <c r="N13" s="514">
        <f>SUM(I13:M13)*$N$5</f>
        <v>0</v>
      </c>
      <c r="O13" s="515">
        <f>SUM(I13:N13)</f>
        <v>0</v>
      </c>
      <c r="P13" s="512">
        <f>ROUND(O13,-4)</f>
        <v>0</v>
      </c>
    </row>
    <row r="14" spans="2:16" s="420" customFormat="1" ht="12" thickBot="1" x14ac:dyDescent="0.25">
      <c r="B14" s="1242"/>
      <c r="C14" s="1294"/>
      <c r="D14" s="516"/>
      <c r="E14" s="517"/>
      <c r="F14" s="518"/>
      <c r="G14" s="519"/>
      <c r="H14" s="520"/>
      <c r="I14" s="521"/>
      <c r="J14" s="522"/>
      <c r="K14" s="523"/>
      <c r="L14" s="523"/>
      <c r="M14" s="523"/>
      <c r="N14" s="523"/>
      <c r="O14" s="522"/>
      <c r="P14" s="521"/>
    </row>
    <row r="15" spans="2:16" s="426" customFormat="1" ht="11.25" x14ac:dyDescent="0.2">
      <c r="B15" s="1240" t="s">
        <v>361</v>
      </c>
      <c r="C15" s="1292" t="s">
        <v>637</v>
      </c>
      <c r="D15" s="492"/>
      <c r="E15" s="493"/>
      <c r="F15" s="494"/>
      <c r="G15" s="495"/>
      <c r="H15" s="496"/>
      <c r="I15" s="497"/>
      <c r="J15" s="498"/>
      <c r="K15" s="499"/>
      <c r="L15" s="499"/>
      <c r="M15" s="499"/>
      <c r="N15" s="499"/>
      <c r="O15" s="498"/>
      <c r="P15" s="497"/>
    </row>
    <row r="16" spans="2:16" s="426" customFormat="1" ht="11.25" x14ac:dyDescent="0.2">
      <c r="B16" s="1241"/>
      <c r="C16" s="1293"/>
      <c r="D16" s="508" t="s">
        <v>581</v>
      </c>
      <c r="E16" s="501"/>
      <c r="F16" s="502"/>
      <c r="G16" s="503"/>
      <c r="H16" s="509">
        <f t="shared" ref="H16" si="3">E16*G16</f>
        <v>0</v>
      </c>
      <c r="I16" s="512">
        <f>SUM(H15:H16)</f>
        <v>0</v>
      </c>
      <c r="J16" s="513">
        <f>I16*$J$5</f>
        <v>0</v>
      </c>
      <c r="K16" s="514">
        <f>SUM(I16:J16)*$K$5</f>
        <v>0</v>
      </c>
      <c r="L16" s="514">
        <f>SUM(I16:K16)*$L$5</f>
        <v>0</v>
      </c>
      <c r="M16" s="514">
        <f>SUM(I16:L16)*$M$5</f>
        <v>0</v>
      </c>
      <c r="N16" s="514">
        <f>SUM(I16:M16)*$N$5</f>
        <v>0</v>
      </c>
      <c r="O16" s="515">
        <f>SUM(I16:N16)</f>
        <v>0</v>
      </c>
      <c r="P16" s="512">
        <f>ROUND(O16,-4)</f>
        <v>0</v>
      </c>
    </row>
    <row r="17" spans="2:16" s="426" customFormat="1" ht="12" thickBot="1" x14ac:dyDescent="0.25">
      <c r="B17" s="1242"/>
      <c r="C17" s="1294"/>
      <c r="D17" s="516"/>
      <c r="E17" s="517"/>
      <c r="F17" s="518"/>
      <c r="G17" s="519"/>
      <c r="H17" s="520"/>
      <c r="I17" s="521"/>
      <c r="J17" s="522"/>
      <c r="K17" s="523"/>
      <c r="L17" s="523"/>
      <c r="M17" s="523"/>
      <c r="N17" s="523"/>
      <c r="O17" s="522"/>
      <c r="P17" s="521"/>
    </row>
    <row r="18" spans="2:16" s="420" customFormat="1" ht="11.25" x14ac:dyDescent="0.2">
      <c r="B18" s="1240" t="s">
        <v>363</v>
      </c>
      <c r="C18" s="1292" t="s">
        <v>364</v>
      </c>
      <c r="D18" s="492"/>
      <c r="E18" s="493"/>
      <c r="F18" s="494"/>
      <c r="G18" s="495"/>
      <c r="H18" s="496"/>
      <c r="I18" s="497"/>
      <c r="J18" s="498"/>
      <c r="K18" s="499"/>
      <c r="L18" s="499"/>
      <c r="M18" s="499"/>
      <c r="N18" s="499"/>
      <c r="O18" s="498"/>
      <c r="P18" s="497"/>
    </row>
    <row r="19" spans="2:16" s="420" customFormat="1" ht="11.25" x14ac:dyDescent="0.2">
      <c r="B19" s="1241"/>
      <c r="C19" s="1293"/>
      <c r="D19" s="508" t="s">
        <v>581</v>
      </c>
      <c r="E19" s="501"/>
      <c r="F19" s="502"/>
      <c r="G19" s="503"/>
      <c r="H19" s="509">
        <f t="shared" ref="H19" si="4">E19*G19</f>
        <v>0</v>
      </c>
      <c r="I19" s="512">
        <f>SUM(H18:H19)</f>
        <v>0</v>
      </c>
      <c r="J19" s="513">
        <f>I19*$J$5</f>
        <v>0</v>
      </c>
      <c r="K19" s="514">
        <f>SUM(I19:J19)*$K$5</f>
        <v>0</v>
      </c>
      <c r="L19" s="514">
        <f>SUM(I19:K19)*$L$5</f>
        <v>0</v>
      </c>
      <c r="M19" s="514">
        <f>SUM(I19:L19)*$M$5</f>
        <v>0</v>
      </c>
      <c r="N19" s="514">
        <f>SUM(I19:M19)*$N$5</f>
        <v>0</v>
      </c>
      <c r="O19" s="515">
        <f>SUM(I19:N19)</f>
        <v>0</v>
      </c>
      <c r="P19" s="512">
        <f>ROUND(O19,-4)</f>
        <v>0</v>
      </c>
    </row>
    <row r="20" spans="2:16" s="420" customFormat="1" ht="12" thickBot="1" x14ac:dyDescent="0.25">
      <c r="B20" s="1242"/>
      <c r="C20" s="1294"/>
      <c r="D20" s="516"/>
      <c r="E20" s="517"/>
      <c r="F20" s="518"/>
      <c r="G20" s="519"/>
      <c r="H20" s="520"/>
      <c r="I20" s="521"/>
      <c r="J20" s="522"/>
      <c r="K20" s="523"/>
      <c r="L20" s="523"/>
      <c r="M20" s="523"/>
      <c r="N20" s="523"/>
      <c r="O20" s="522"/>
      <c r="P20" s="521"/>
    </row>
    <row r="21" spans="2:16" s="426" customFormat="1" ht="11.25" x14ac:dyDescent="0.2">
      <c r="B21" s="1240" t="s">
        <v>365</v>
      </c>
      <c r="C21" s="1292" t="s">
        <v>366</v>
      </c>
      <c r="D21" s="492"/>
      <c r="E21" s="493"/>
      <c r="F21" s="494"/>
      <c r="G21" s="495"/>
      <c r="H21" s="496"/>
      <c r="I21" s="497"/>
      <c r="J21" s="498"/>
      <c r="K21" s="499"/>
      <c r="L21" s="499"/>
      <c r="M21" s="499"/>
      <c r="N21" s="499"/>
      <c r="O21" s="498"/>
      <c r="P21" s="497"/>
    </row>
    <row r="22" spans="2:16" s="426" customFormat="1" ht="11.25" x14ac:dyDescent="0.2">
      <c r="B22" s="1241"/>
      <c r="C22" s="1293"/>
      <c r="D22" s="508" t="s">
        <v>581</v>
      </c>
      <c r="E22" s="501"/>
      <c r="F22" s="502"/>
      <c r="G22" s="503"/>
      <c r="H22" s="509">
        <f t="shared" ref="H22" si="5">E22*G22</f>
        <v>0</v>
      </c>
      <c r="I22" s="512">
        <f>SUM(H21:H22)</f>
        <v>0</v>
      </c>
      <c r="J22" s="513">
        <f>I22*$J$5</f>
        <v>0</v>
      </c>
      <c r="K22" s="514">
        <f>SUM(I22:J22)*$K$5</f>
        <v>0</v>
      </c>
      <c r="L22" s="514">
        <f>SUM(I22:K22)*$L$5</f>
        <v>0</v>
      </c>
      <c r="M22" s="514">
        <f>SUM(I22:L22)*$M$5</f>
        <v>0</v>
      </c>
      <c r="N22" s="514">
        <f>SUM(I22:M22)*$N$5</f>
        <v>0</v>
      </c>
      <c r="O22" s="515">
        <f>SUM(I22:N22)</f>
        <v>0</v>
      </c>
      <c r="P22" s="512">
        <f>ROUND(O22,-4)</f>
        <v>0</v>
      </c>
    </row>
    <row r="23" spans="2:16" s="426" customFormat="1" ht="12" thickBot="1" x14ac:dyDescent="0.25">
      <c r="B23" s="1242"/>
      <c r="C23" s="1294"/>
      <c r="D23" s="516"/>
      <c r="E23" s="517"/>
      <c r="F23" s="518"/>
      <c r="G23" s="519"/>
      <c r="H23" s="520"/>
      <c r="I23" s="521"/>
      <c r="J23" s="522"/>
      <c r="K23" s="523"/>
      <c r="L23" s="523"/>
      <c r="M23" s="523"/>
      <c r="N23" s="523"/>
      <c r="O23" s="522"/>
      <c r="P23" s="521"/>
    </row>
    <row r="24" spans="2:16" s="420" customFormat="1" ht="11.25" x14ac:dyDescent="0.2">
      <c r="B24" s="1240" t="s">
        <v>367</v>
      </c>
      <c r="C24" s="1292" t="s">
        <v>367</v>
      </c>
      <c r="D24" s="492"/>
      <c r="E24" s="493"/>
      <c r="F24" s="494"/>
      <c r="G24" s="495"/>
      <c r="H24" s="496"/>
      <c r="I24" s="497"/>
      <c r="J24" s="498"/>
      <c r="K24" s="499"/>
      <c r="L24" s="499"/>
      <c r="M24" s="499"/>
      <c r="N24" s="499"/>
      <c r="O24" s="498"/>
      <c r="P24" s="497"/>
    </row>
    <row r="25" spans="2:16" s="420" customFormat="1" ht="11.25" x14ac:dyDescent="0.2">
      <c r="B25" s="1241"/>
      <c r="C25" s="1293"/>
      <c r="D25" s="508" t="s">
        <v>581</v>
      </c>
      <c r="E25" s="501"/>
      <c r="F25" s="502"/>
      <c r="G25" s="503"/>
      <c r="H25" s="509">
        <f t="shared" ref="H25" si="6">E25*G25</f>
        <v>0</v>
      </c>
      <c r="I25" s="512">
        <f>SUM(H24:H25)</f>
        <v>0</v>
      </c>
      <c r="J25" s="513">
        <f>I25*$J$5</f>
        <v>0</v>
      </c>
      <c r="K25" s="514">
        <f>SUM(I25:J25)*$K$5</f>
        <v>0</v>
      </c>
      <c r="L25" s="514">
        <f>SUM(I25:K25)*$L$5</f>
        <v>0</v>
      </c>
      <c r="M25" s="514">
        <f>SUM(I25:L25)*$M$5</f>
        <v>0</v>
      </c>
      <c r="N25" s="514">
        <f>SUM(I25:M25)*$N$5</f>
        <v>0</v>
      </c>
      <c r="O25" s="515">
        <f>SUM(I25:N25)</f>
        <v>0</v>
      </c>
      <c r="P25" s="512">
        <f>ROUND(O25,-4)</f>
        <v>0</v>
      </c>
    </row>
    <row r="26" spans="2:16" s="420" customFormat="1" ht="12" thickBot="1" x14ac:dyDescent="0.25">
      <c r="B26" s="1242"/>
      <c r="C26" s="1294"/>
      <c r="D26" s="516"/>
      <c r="E26" s="517"/>
      <c r="F26" s="518"/>
      <c r="G26" s="519"/>
      <c r="H26" s="520"/>
      <c r="I26" s="521"/>
      <c r="J26" s="522"/>
      <c r="K26" s="523"/>
      <c r="L26" s="523"/>
      <c r="M26" s="523"/>
      <c r="N26" s="523"/>
      <c r="O26" s="522"/>
      <c r="P26" s="521"/>
    </row>
    <row r="27" spans="2:16" s="420" customFormat="1" ht="11.25" x14ac:dyDescent="0.2">
      <c r="B27" s="1240" t="s">
        <v>368</v>
      </c>
      <c r="C27" s="1292" t="s">
        <v>369</v>
      </c>
      <c r="D27" s="492"/>
      <c r="E27" s="493"/>
      <c r="F27" s="494"/>
      <c r="G27" s="495"/>
      <c r="H27" s="496"/>
      <c r="I27" s="497"/>
      <c r="J27" s="498"/>
      <c r="K27" s="499"/>
      <c r="L27" s="499"/>
      <c r="M27" s="499"/>
      <c r="N27" s="499"/>
      <c r="O27" s="498"/>
      <c r="P27" s="497"/>
    </row>
    <row r="28" spans="2:16" s="420" customFormat="1" ht="11.25" x14ac:dyDescent="0.2">
      <c r="B28" s="1241"/>
      <c r="C28" s="1293"/>
      <c r="D28" s="508" t="s">
        <v>581</v>
      </c>
      <c r="E28" s="501"/>
      <c r="F28" s="502"/>
      <c r="G28" s="503"/>
      <c r="H28" s="509">
        <f t="shared" ref="H28" si="7">E28*G28</f>
        <v>0</v>
      </c>
      <c r="I28" s="512">
        <f>SUM(H27:H28)</f>
        <v>0</v>
      </c>
      <c r="J28" s="513">
        <f>I28*$J$5</f>
        <v>0</v>
      </c>
      <c r="K28" s="514">
        <f>SUM(I28:J28)*$K$5</f>
        <v>0</v>
      </c>
      <c r="L28" s="514">
        <f>SUM(I28:K28)*$L$5</f>
        <v>0</v>
      </c>
      <c r="M28" s="514">
        <f>SUM(I28:L28)*$M$5</f>
        <v>0</v>
      </c>
      <c r="N28" s="514">
        <f>SUM(I28:M28)*$N$5</f>
        <v>0</v>
      </c>
      <c r="O28" s="515">
        <f>SUM(I28:N28)</f>
        <v>0</v>
      </c>
      <c r="P28" s="512">
        <f>ROUND(O28,-4)</f>
        <v>0</v>
      </c>
    </row>
    <row r="29" spans="2:16" s="420" customFormat="1" ht="12" thickBot="1" x14ac:dyDescent="0.25">
      <c r="B29" s="1242"/>
      <c r="C29" s="1294"/>
      <c r="D29" s="516"/>
      <c r="E29" s="517"/>
      <c r="F29" s="518"/>
      <c r="G29" s="519"/>
      <c r="H29" s="520"/>
      <c r="I29" s="521"/>
      <c r="J29" s="522"/>
      <c r="K29" s="523"/>
      <c r="L29" s="523"/>
      <c r="M29" s="523"/>
      <c r="N29" s="523"/>
      <c r="O29" s="522"/>
      <c r="P29" s="521"/>
    </row>
    <row r="30" spans="2:16" s="420" customFormat="1" ht="11.25" x14ac:dyDescent="0.2">
      <c r="B30" s="1263" t="s">
        <v>370</v>
      </c>
      <c r="C30" s="1289" t="s">
        <v>371</v>
      </c>
      <c r="D30" s="390"/>
      <c r="E30" s="391"/>
      <c r="F30" s="392"/>
      <c r="G30" s="393"/>
      <c r="H30" s="394"/>
      <c r="I30" s="395"/>
      <c r="J30" s="396"/>
      <c r="K30" s="397"/>
      <c r="L30" s="397"/>
      <c r="M30" s="397"/>
      <c r="N30" s="397"/>
      <c r="O30" s="396"/>
      <c r="P30" s="395"/>
    </row>
    <row r="31" spans="2:16" s="420" customFormat="1" ht="11.25" x14ac:dyDescent="0.2">
      <c r="B31" s="1264"/>
      <c r="C31" s="1290"/>
      <c r="D31" s="398"/>
      <c r="E31" s="399"/>
      <c r="F31" s="400"/>
      <c r="G31" s="401"/>
      <c r="H31" s="402">
        <f t="shared" ref="H31" si="8">E31*G31</f>
        <v>0</v>
      </c>
      <c r="I31" s="403">
        <f>SUM(H30:H31)</f>
        <v>0</v>
      </c>
      <c r="J31" s="404">
        <f>I31*$J$5</f>
        <v>0</v>
      </c>
      <c r="K31" s="405">
        <f>SUM(I31:J31)*$K$5</f>
        <v>0</v>
      </c>
      <c r="L31" s="405">
        <f>SUM(I31:K31)*$L$5</f>
        <v>0</v>
      </c>
      <c r="M31" s="405">
        <f>SUM(I31:L31)*$M$5</f>
        <v>0</v>
      </c>
      <c r="N31" s="405">
        <f>SUM(I31:M31)*$N$5</f>
        <v>0</v>
      </c>
      <c r="O31" s="406">
        <f>SUM(I31:N31)</f>
        <v>0</v>
      </c>
      <c r="P31" s="403">
        <f>ROUND(O31,-4)</f>
        <v>0</v>
      </c>
    </row>
    <row r="32" spans="2:16" s="420" customFormat="1" ht="12" thickBot="1" x14ac:dyDescent="0.25">
      <c r="B32" s="1265"/>
      <c r="C32" s="1291"/>
      <c r="D32" s="407"/>
      <c r="E32" s="408"/>
      <c r="F32" s="409"/>
      <c r="G32" s="410"/>
      <c r="H32" s="411"/>
      <c r="I32" s="412"/>
      <c r="J32" s="413"/>
      <c r="K32" s="414"/>
      <c r="L32" s="414"/>
      <c r="M32" s="414"/>
      <c r="N32" s="414"/>
      <c r="O32" s="413"/>
      <c r="P32" s="412"/>
    </row>
    <row r="33" spans="2:16" s="420" customFormat="1" ht="11.25" x14ac:dyDescent="0.2">
      <c r="B33" s="1263" t="s">
        <v>372</v>
      </c>
      <c r="C33" s="1289" t="s">
        <v>372</v>
      </c>
      <c r="D33" s="390"/>
      <c r="E33" s="391"/>
      <c r="F33" s="392"/>
      <c r="G33" s="393"/>
      <c r="H33" s="394"/>
      <c r="I33" s="395"/>
      <c r="J33" s="396"/>
      <c r="K33" s="397"/>
      <c r="L33" s="397"/>
      <c r="M33" s="397"/>
      <c r="N33" s="397"/>
      <c r="O33" s="396"/>
      <c r="P33" s="395"/>
    </row>
    <row r="34" spans="2:16" s="420" customFormat="1" ht="11.25" x14ac:dyDescent="0.2">
      <c r="B34" s="1264"/>
      <c r="C34" s="1290"/>
      <c r="D34" s="398" t="s">
        <v>598</v>
      </c>
      <c r="E34" s="399"/>
      <c r="F34" s="400"/>
      <c r="G34" s="401"/>
      <c r="H34" s="402">
        <f t="shared" ref="H34" si="9">E34*G34</f>
        <v>0</v>
      </c>
      <c r="I34" s="403">
        <f>SUM(H33:H34)</f>
        <v>0</v>
      </c>
      <c r="J34" s="404">
        <f>I34*$J$5</f>
        <v>0</v>
      </c>
      <c r="K34" s="405">
        <f>SUM(I34:J34)*$K$5</f>
        <v>0</v>
      </c>
      <c r="L34" s="405">
        <f>SUM(I34:K34)*$L$5</f>
        <v>0</v>
      </c>
      <c r="M34" s="405">
        <f>SUM(I34:L34)*$M$5</f>
        <v>0</v>
      </c>
      <c r="N34" s="405">
        <f>SUM(I34:M34)*$N$5</f>
        <v>0</v>
      </c>
      <c r="O34" s="406">
        <f>SUM(I34:N34)</f>
        <v>0</v>
      </c>
      <c r="P34" s="403">
        <f>ROUND(O34,-4)</f>
        <v>0</v>
      </c>
    </row>
    <row r="35" spans="2:16" s="420" customFormat="1" ht="12" thickBot="1" x14ac:dyDescent="0.25">
      <c r="B35" s="1265"/>
      <c r="C35" s="1291"/>
      <c r="D35" s="407"/>
      <c r="E35" s="408"/>
      <c r="F35" s="409"/>
      <c r="G35" s="410"/>
      <c r="H35" s="411"/>
      <c r="I35" s="412"/>
      <c r="J35" s="413"/>
      <c r="K35" s="414"/>
      <c r="L35" s="414"/>
      <c r="M35" s="414"/>
      <c r="N35" s="414"/>
      <c r="O35" s="413"/>
      <c r="P35" s="412"/>
    </row>
    <row r="36" spans="2:16" s="420" customFormat="1" ht="11.25" x14ac:dyDescent="0.2">
      <c r="B36" s="1263" t="s">
        <v>373</v>
      </c>
      <c r="C36" s="1289" t="s">
        <v>374</v>
      </c>
      <c r="D36" s="390"/>
      <c r="E36" s="391"/>
      <c r="F36" s="392"/>
      <c r="G36" s="393"/>
      <c r="H36" s="394"/>
      <c r="I36" s="395"/>
      <c r="J36" s="396"/>
      <c r="K36" s="397"/>
      <c r="L36" s="397"/>
      <c r="M36" s="397"/>
      <c r="N36" s="397"/>
      <c r="O36" s="396"/>
      <c r="P36" s="395"/>
    </row>
    <row r="37" spans="2:16" s="420" customFormat="1" ht="11.25" x14ac:dyDescent="0.2">
      <c r="B37" s="1264"/>
      <c r="C37" s="1290"/>
      <c r="D37" s="398" t="s">
        <v>621</v>
      </c>
      <c r="E37" s="399"/>
      <c r="F37" s="400"/>
      <c r="G37" s="401"/>
      <c r="H37" s="402">
        <f t="shared" ref="H37" si="10">E37*G37</f>
        <v>0</v>
      </c>
      <c r="I37" s="403">
        <f>SUM(H36:H37)</f>
        <v>0</v>
      </c>
      <c r="J37" s="404">
        <f>I37*$J$5</f>
        <v>0</v>
      </c>
      <c r="K37" s="405">
        <f>SUM(I37:J37)*$K$5</f>
        <v>0</v>
      </c>
      <c r="L37" s="405">
        <f>SUM(I37:K37)*$L$5</f>
        <v>0</v>
      </c>
      <c r="M37" s="405">
        <f>SUM(I37:L37)*$M$5</f>
        <v>0</v>
      </c>
      <c r="N37" s="405">
        <f>SUM(I37:M37)*$N$5</f>
        <v>0</v>
      </c>
      <c r="O37" s="406">
        <f>SUM(I37:N37)</f>
        <v>0</v>
      </c>
      <c r="P37" s="403">
        <f>ROUND(O37,-4)</f>
        <v>0</v>
      </c>
    </row>
    <row r="38" spans="2:16" s="420" customFormat="1" ht="12" thickBot="1" x14ac:dyDescent="0.25">
      <c r="B38" s="1265"/>
      <c r="C38" s="1291"/>
      <c r="D38" s="407"/>
      <c r="E38" s="408"/>
      <c r="F38" s="409"/>
      <c r="G38" s="410"/>
      <c r="H38" s="411"/>
      <c r="I38" s="412"/>
      <c r="J38" s="413"/>
      <c r="K38" s="414"/>
      <c r="L38" s="414"/>
      <c r="M38" s="414"/>
      <c r="N38" s="414"/>
      <c r="O38" s="413"/>
      <c r="P38" s="412"/>
    </row>
    <row r="39" spans="2:16" s="420" customFormat="1" ht="11.25" x14ac:dyDescent="0.2">
      <c r="B39" s="1263" t="s">
        <v>375</v>
      </c>
      <c r="C39" s="1289" t="s">
        <v>376</v>
      </c>
      <c r="D39" s="390"/>
      <c r="E39" s="391"/>
      <c r="F39" s="392"/>
      <c r="G39" s="393"/>
      <c r="H39" s="394"/>
      <c r="I39" s="395"/>
      <c r="J39" s="396"/>
      <c r="K39" s="397"/>
      <c r="L39" s="397"/>
      <c r="M39" s="397"/>
      <c r="N39" s="397"/>
      <c r="O39" s="396"/>
      <c r="P39" s="395"/>
    </row>
    <row r="40" spans="2:16" s="420" customFormat="1" ht="11.25" x14ac:dyDescent="0.2">
      <c r="B40" s="1264"/>
      <c r="C40" s="1290"/>
      <c r="D40" s="398"/>
      <c r="E40" s="399"/>
      <c r="F40" s="400"/>
      <c r="G40" s="401"/>
      <c r="H40" s="402">
        <f t="shared" ref="H40" si="11">E40*G40</f>
        <v>0</v>
      </c>
      <c r="I40" s="403">
        <f>SUM(H39:H40)</f>
        <v>0</v>
      </c>
      <c r="J40" s="404">
        <f>I40*$J$5</f>
        <v>0</v>
      </c>
      <c r="K40" s="405">
        <f>SUM(I40:J40)*$K$5</f>
        <v>0</v>
      </c>
      <c r="L40" s="405">
        <f>SUM(I40:K40)*$L$5</f>
        <v>0</v>
      </c>
      <c r="M40" s="405">
        <f>SUM(I40:L40)*$M$5</f>
        <v>0</v>
      </c>
      <c r="N40" s="405">
        <f>SUM(I40:M40)*$N$5</f>
        <v>0</v>
      </c>
      <c r="O40" s="406">
        <f>SUM(I40:N40)</f>
        <v>0</v>
      </c>
      <c r="P40" s="403">
        <f>ROUND(O40,-4)</f>
        <v>0</v>
      </c>
    </row>
    <row r="41" spans="2:16" s="420" customFormat="1" ht="12" thickBot="1" x14ac:dyDescent="0.25">
      <c r="B41" s="1265"/>
      <c r="C41" s="1291"/>
      <c r="D41" s="407"/>
      <c r="E41" s="408"/>
      <c r="F41" s="409"/>
      <c r="G41" s="410"/>
      <c r="H41" s="411"/>
      <c r="I41" s="412"/>
      <c r="J41" s="413"/>
      <c r="K41" s="414"/>
      <c r="L41" s="414"/>
      <c r="M41" s="414"/>
      <c r="N41" s="414"/>
      <c r="O41" s="413"/>
      <c r="P41" s="412"/>
    </row>
    <row r="42" spans="2:16" s="420" customFormat="1" ht="11.25" x14ac:dyDescent="0.2">
      <c r="B42" s="1263" t="s">
        <v>377</v>
      </c>
      <c r="C42" s="1289" t="s">
        <v>378</v>
      </c>
      <c r="D42" s="390"/>
      <c r="E42" s="391"/>
      <c r="F42" s="392"/>
      <c r="G42" s="393"/>
      <c r="H42" s="394"/>
      <c r="I42" s="395"/>
      <c r="J42" s="396"/>
      <c r="K42" s="397"/>
      <c r="L42" s="397"/>
      <c r="M42" s="397"/>
      <c r="N42" s="397"/>
      <c r="O42" s="396"/>
      <c r="P42" s="395"/>
    </row>
    <row r="43" spans="2:16" s="420" customFormat="1" ht="11.25" x14ac:dyDescent="0.2">
      <c r="B43" s="1264"/>
      <c r="C43" s="1290"/>
      <c r="D43" s="398"/>
      <c r="E43" s="399"/>
      <c r="F43" s="400"/>
      <c r="G43" s="401"/>
      <c r="H43" s="402">
        <f t="shared" ref="H43" si="12">E43*G43</f>
        <v>0</v>
      </c>
      <c r="I43" s="403">
        <f>SUM(H42:H43)</f>
        <v>0</v>
      </c>
      <c r="J43" s="404">
        <f>I43*$J$5</f>
        <v>0</v>
      </c>
      <c r="K43" s="405">
        <f>SUM(I43:J43)*$K$5</f>
        <v>0</v>
      </c>
      <c r="L43" s="405">
        <f>SUM(I43:K43)*$L$5</f>
        <v>0</v>
      </c>
      <c r="M43" s="405">
        <f>SUM(I43:L43)*$M$5</f>
        <v>0</v>
      </c>
      <c r="N43" s="405">
        <f>SUM(I43:M43)*$N$5</f>
        <v>0</v>
      </c>
      <c r="O43" s="406">
        <f>SUM(I43:N43)</f>
        <v>0</v>
      </c>
      <c r="P43" s="403">
        <f>ROUND(O43,-4)</f>
        <v>0</v>
      </c>
    </row>
    <row r="44" spans="2:16" s="420" customFormat="1" ht="12" thickBot="1" x14ac:dyDescent="0.25">
      <c r="B44" s="1265"/>
      <c r="C44" s="1291"/>
      <c r="D44" s="407"/>
      <c r="E44" s="408"/>
      <c r="F44" s="409"/>
      <c r="G44" s="410"/>
      <c r="H44" s="411"/>
      <c r="I44" s="412"/>
      <c r="J44" s="413"/>
      <c r="K44" s="414"/>
      <c r="L44" s="414"/>
      <c r="M44" s="414"/>
      <c r="N44" s="414"/>
      <c r="O44" s="413"/>
      <c r="P44" s="412"/>
    </row>
  </sheetData>
  <mergeCells count="27">
    <mergeCell ref="B2:P3"/>
    <mergeCell ref="C21:C23"/>
    <mergeCell ref="C24:C26"/>
    <mergeCell ref="C27:C29"/>
    <mergeCell ref="C30:C32"/>
    <mergeCell ref="B18:B20"/>
    <mergeCell ref="B15:B17"/>
    <mergeCell ref="B12:B14"/>
    <mergeCell ref="C6:C8"/>
    <mergeCell ref="C9:C11"/>
    <mergeCell ref="C12:C14"/>
    <mergeCell ref="C15:C17"/>
    <mergeCell ref="C18:C20"/>
    <mergeCell ref="B9:B11"/>
    <mergeCell ref="B6:B8"/>
    <mergeCell ref="B27:B29"/>
    <mergeCell ref="B24:B26"/>
    <mergeCell ref="B21:B23"/>
    <mergeCell ref="C39:C41"/>
    <mergeCell ref="C42:C44"/>
    <mergeCell ref="C33:C35"/>
    <mergeCell ref="C36:C38"/>
    <mergeCell ref="B42:B44"/>
    <mergeCell ref="B39:B41"/>
    <mergeCell ref="B36:B38"/>
    <mergeCell ref="B33:B35"/>
    <mergeCell ref="B30:B32"/>
  </mergeCell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67C2D-3ED3-4385-BF08-8F9688ABA3E4}">
  <sheetPr>
    <tabColor theme="9" tint="0.79998168889431442"/>
  </sheetPr>
  <dimension ref="B2:Q55"/>
  <sheetViews>
    <sheetView showGridLines="0" zoomScale="130" zoomScaleNormal="130" workbookViewId="0">
      <selection activeCell="C10" sqref="C10"/>
    </sheetView>
  </sheetViews>
  <sheetFormatPr defaultRowHeight="15" x14ac:dyDescent="0.25"/>
  <cols>
    <col min="1" max="1" width="3" customWidth="1"/>
    <col min="2" max="2" width="33.140625" style="14" customWidth="1"/>
    <col min="3" max="3" width="35.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Water Efficiency</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21" customHeight="1" x14ac:dyDescent="0.2">
      <c r="B6" s="939" t="str">
        <f>'Detailed Matrix'!E173</f>
        <v>Sanitaryware</v>
      </c>
      <c r="C6" s="942" t="str">
        <f>'Detailed Matrix'!F173</f>
        <v>Specification of lower flow toilets, taps and showerheads</v>
      </c>
      <c r="D6" s="427"/>
      <c r="E6" s="428"/>
      <c r="F6" s="429"/>
      <c r="G6" s="430"/>
      <c r="H6" s="431"/>
      <c r="I6" s="432"/>
      <c r="J6" s="433"/>
      <c r="K6" s="434"/>
      <c r="L6" s="434"/>
      <c r="M6" s="434"/>
      <c r="N6" s="434"/>
      <c r="O6" s="433"/>
      <c r="P6" s="432"/>
    </row>
    <row r="7" spans="2:17" s="420" customFormat="1" ht="14.45" customHeight="1" x14ac:dyDescent="0.2">
      <c r="B7" s="940"/>
      <c r="C7" s="943"/>
      <c r="D7" s="712" t="s">
        <v>154</v>
      </c>
      <c r="E7" s="483"/>
      <c r="F7" s="484"/>
      <c r="G7" s="485"/>
      <c r="H7" s="486"/>
      <c r="I7" s="487"/>
      <c r="J7" s="488"/>
      <c r="K7" s="489"/>
      <c r="L7" s="489"/>
      <c r="M7" s="489"/>
      <c r="N7" s="489"/>
      <c r="O7" s="488"/>
      <c r="P7" s="487"/>
    </row>
    <row r="8" spans="2:17" s="420" customFormat="1" ht="14.45" customHeight="1" x14ac:dyDescent="0.2">
      <c r="B8" s="940"/>
      <c r="C8" s="943"/>
      <c r="D8" s="482" t="s">
        <v>605</v>
      </c>
      <c r="E8" s="483"/>
      <c r="F8" s="484"/>
      <c r="G8" s="485"/>
      <c r="H8" s="486"/>
      <c r="I8" s="487"/>
      <c r="J8" s="488"/>
      <c r="K8" s="489"/>
      <c r="L8" s="489"/>
      <c r="M8" s="489"/>
      <c r="N8" s="489"/>
      <c r="O8" s="488"/>
      <c r="P8" s="487"/>
    </row>
    <row r="9" spans="2:17" s="420" customFormat="1" ht="14.45" customHeight="1" x14ac:dyDescent="0.2">
      <c r="B9" s="940"/>
      <c r="C9" s="943"/>
      <c r="D9" s="490" t="s">
        <v>638</v>
      </c>
      <c r="E9" s="399">
        <f>'Key Data'!$B$25</f>
        <v>261</v>
      </c>
      <c r="F9" s="400" t="s">
        <v>12</v>
      </c>
      <c r="G9" s="485">
        <v>50</v>
      </c>
      <c r="H9" s="486">
        <f t="shared" ref="H9:H12" si="0">E9*G9</f>
        <v>13050</v>
      </c>
      <c r="I9" s="487"/>
      <c r="J9" s="488"/>
      <c r="K9" s="489"/>
      <c r="L9" s="489"/>
      <c r="M9" s="489"/>
      <c r="N9" s="489"/>
      <c r="O9" s="488"/>
      <c r="P9" s="487"/>
    </row>
    <row r="10" spans="2:17" s="420" customFormat="1" ht="14.45" customHeight="1" x14ac:dyDescent="0.2">
      <c r="B10" s="940"/>
      <c r="C10" s="943"/>
      <c r="D10" s="490" t="s">
        <v>639</v>
      </c>
      <c r="E10" s="399">
        <f>'Key Data'!$B$25</f>
        <v>261</v>
      </c>
      <c r="F10" s="400" t="s">
        <v>12</v>
      </c>
      <c r="G10" s="485">
        <v>100</v>
      </c>
      <c r="H10" s="486">
        <f t="shared" si="0"/>
        <v>26100</v>
      </c>
      <c r="I10" s="487"/>
      <c r="J10" s="488"/>
      <c r="K10" s="489"/>
      <c r="L10" s="489"/>
      <c r="M10" s="489"/>
      <c r="N10" s="489"/>
      <c r="O10" s="488"/>
      <c r="P10" s="487"/>
    </row>
    <row r="11" spans="2:17" s="420" customFormat="1" ht="14.45" customHeight="1" x14ac:dyDescent="0.2">
      <c r="B11" s="940"/>
      <c r="C11" s="943"/>
      <c r="D11" s="490" t="s">
        <v>640</v>
      </c>
      <c r="E11" s="399">
        <f>'Key Data'!$B$25</f>
        <v>261</v>
      </c>
      <c r="F11" s="400" t="s">
        <v>12</v>
      </c>
      <c r="G11" s="485">
        <v>50</v>
      </c>
      <c r="H11" s="486">
        <f t="shared" si="0"/>
        <v>13050</v>
      </c>
      <c r="I11" s="487"/>
      <c r="J11" s="488"/>
      <c r="K11" s="489"/>
      <c r="L11" s="489"/>
      <c r="M11" s="489"/>
      <c r="N11" s="489"/>
      <c r="O11" s="488"/>
      <c r="P11" s="487"/>
    </row>
    <row r="12" spans="2:17" s="420" customFormat="1" ht="14.45" customHeight="1" x14ac:dyDescent="0.2">
      <c r="B12" s="940"/>
      <c r="C12" s="943"/>
      <c r="D12" s="490" t="s">
        <v>641</v>
      </c>
      <c r="E12" s="399">
        <f>'Key Data'!$B$25</f>
        <v>261</v>
      </c>
      <c r="F12" s="400" t="s">
        <v>12</v>
      </c>
      <c r="G12" s="485">
        <v>100</v>
      </c>
      <c r="H12" s="486">
        <f t="shared" si="0"/>
        <v>26100</v>
      </c>
      <c r="I12" s="487"/>
      <c r="J12" s="488"/>
      <c r="K12" s="489"/>
      <c r="L12" s="489"/>
      <c r="M12" s="489"/>
      <c r="N12" s="489"/>
      <c r="O12" s="488"/>
      <c r="P12" s="487"/>
    </row>
    <row r="13" spans="2:17" s="420" customFormat="1" ht="14.45" customHeight="1" x14ac:dyDescent="0.2">
      <c r="B13" s="940"/>
      <c r="C13" s="943"/>
      <c r="D13" s="490"/>
      <c r="E13" s="483"/>
      <c r="F13" s="484"/>
      <c r="G13" s="485"/>
      <c r="H13" s="439">
        <f t="shared" ref="H13" si="1">E13*G13</f>
        <v>0</v>
      </c>
      <c r="I13" s="440">
        <f>SUM(H6:H13)</f>
        <v>78300</v>
      </c>
      <c r="J13" s="441">
        <f>I13*$J$5</f>
        <v>10179</v>
      </c>
      <c r="K13" s="442">
        <f>SUM(I13:J13)*$K$5</f>
        <v>3981.5549999999998</v>
      </c>
      <c r="L13" s="442">
        <f>SUM(I13:K13)*$L$5</f>
        <v>5085.3305249999994</v>
      </c>
      <c r="M13" s="442">
        <f>SUM(I13:L13)*$M$5</f>
        <v>5852.7531314999997</v>
      </c>
      <c r="N13" s="442">
        <f>SUM(I13:M13)*$N$5</f>
        <v>10339.863865649999</v>
      </c>
      <c r="O13" s="443">
        <f>SUM(I13:N13)</f>
        <v>113738.50252214998</v>
      </c>
      <c r="P13" s="440">
        <f>ROUND(O13,-3)</f>
        <v>114000</v>
      </c>
      <c r="Q13" s="420" t="s">
        <v>514</v>
      </c>
    </row>
    <row r="14" spans="2:17" s="420" customFormat="1" ht="14.45" customHeight="1" x14ac:dyDescent="0.2">
      <c r="B14" s="940"/>
      <c r="C14" s="943"/>
      <c r="D14" s="710"/>
      <c r="E14" s="711"/>
      <c r="F14" s="594"/>
      <c r="G14" s="606"/>
      <c r="H14" s="596"/>
      <c r="I14" s="597"/>
      <c r="J14" s="598"/>
      <c r="K14" s="599"/>
      <c r="L14" s="599"/>
      <c r="M14" s="599"/>
      <c r="N14" s="599"/>
      <c r="O14" s="600"/>
      <c r="P14" s="597"/>
    </row>
    <row r="15" spans="2:17" s="420" customFormat="1" ht="14.45" customHeight="1" x14ac:dyDescent="0.2">
      <c r="B15" s="940"/>
      <c r="C15" s="943"/>
      <c r="D15" s="712" t="s">
        <v>155</v>
      </c>
      <c r="E15" s="711"/>
      <c r="F15" s="594"/>
      <c r="G15" s="606"/>
      <c r="H15" s="596"/>
      <c r="I15" s="597"/>
      <c r="J15" s="598"/>
      <c r="K15" s="599"/>
      <c r="L15" s="599"/>
      <c r="M15" s="599"/>
      <c r="N15" s="599"/>
      <c r="O15" s="600"/>
      <c r="P15" s="597"/>
    </row>
    <row r="16" spans="2:17" s="420" customFormat="1" ht="14.45" customHeight="1" x14ac:dyDescent="0.2">
      <c r="B16" s="940"/>
      <c r="C16" s="943"/>
      <c r="D16" s="482" t="s">
        <v>605</v>
      </c>
      <c r="E16" s="483"/>
      <c r="F16" s="484"/>
      <c r="G16" s="485"/>
      <c r="H16" s="486"/>
      <c r="I16" s="487"/>
      <c r="J16" s="488"/>
      <c r="K16" s="489"/>
      <c r="L16" s="489"/>
      <c r="M16" s="489"/>
      <c r="N16" s="489"/>
      <c r="O16" s="488"/>
      <c r="P16" s="487"/>
    </row>
    <row r="17" spans="2:17" s="420" customFormat="1" ht="14.45" customHeight="1" x14ac:dyDescent="0.2">
      <c r="B17" s="940"/>
      <c r="C17" s="943"/>
      <c r="D17" s="490" t="s">
        <v>638</v>
      </c>
      <c r="E17" s="399">
        <f>'Key Data'!$B$25</f>
        <v>261</v>
      </c>
      <c r="F17" s="400" t="s">
        <v>12</v>
      </c>
      <c r="G17" s="485">
        <f>G9*2</f>
        <v>100</v>
      </c>
      <c r="H17" s="486">
        <f t="shared" ref="H17:H21" si="2">E17*G17</f>
        <v>26100</v>
      </c>
      <c r="I17" s="487"/>
      <c r="J17" s="488"/>
      <c r="K17" s="489"/>
      <c r="L17" s="489"/>
      <c r="M17" s="489"/>
      <c r="N17" s="489"/>
      <c r="O17" s="488"/>
      <c r="P17" s="487"/>
    </row>
    <row r="18" spans="2:17" s="420" customFormat="1" ht="14.45" customHeight="1" x14ac:dyDescent="0.2">
      <c r="B18" s="940"/>
      <c r="C18" s="943"/>
      <c r="D18" s="490" t="s">
        <v>639</v>
      </c>
      <c r="E18" s="399">
        <f>'Key Data'!$B$25</f>
        <v>261</v>
      </c>
      <c r="F18" s="400" t="s">
        <v>12</v>
      </c>
      <c r="G18" s="485">
        <f t="shared" ref="G18:G20" si="3">G10*2</f>
        <v>200</v>
      </c>
      <c r="H18" s="486">
        <f t="shared" si="2"/>
        <v>52200</v>
      </c>
      <c r="I18" s="487"/>
      <c r="J18" s="488"/>
      <c r="K18" s="489"/>
      <c r="L18" s="489"/>
      <c r="M18" s="489"/>
      <c r="N18" s="489"/>
      <c r="O18" s="488"/>
      <c r="P18" s="487"/>
    </row>
    <row r="19" spans="2:17" s="420" customFormat="1" ht="14.45" customHeight="1" x14ac:dyDescent="0.2">
      <c r="B19" s="940"/>
      <c r="C19" s="943"/>
      <c r="D19" s="490" t="s">
        <v>640</v>
      </c>
      <c r="E19" s="399">
        <f>'Key Data'!$B$25</f>
        <v>261</v>
      </c>
      <c r="F19" s="400" t="s">
        <v>12</v>
      </c>
      <c r="G19" s="485">
        <f t="shared" si="3"/>
        <v>100</v>
      </c>
      <c r="H19" s="486">
        <f t="shared" si="2"/>
        <v>26100</v>
      </c>
      <c r="I19" s="487"/>
      <c r="J19" s="488"/>
      <c r="K19" s="489"/>
      <c r="L19" s="489"/>
      <c r="M19" s="489"/>
      <c r="N19" s="489"/>
      <c r="O19" s="488"/>
      <c r="P19" s="487"/>
    </row>
    <row r="20" spans="2:17" s="420" customFormat="1" ht="14.45" customHeight="1" x14ac:dyDescent="0.2">
      <c r="B20" s="940"/>
      <c r="C20" s="943"/>
      <c r="D20" s="490" t="s">
        <v>641</v>
      </c>
      <c r="E20" s="399">
        <f>'Key Data'!$B$25</f>
        <v>261</v>
      </c>
      <c r="F20" s="400" t="s">
        <v>12</v>
      </c>
      <c r="G20" s="485">
        <f t="shared" si="3"/>
        <v>200</v>
      </c>
      <c r="H20" s="486">
        <f t="shared" si="2"/>
        <v>52200</v>
      </c>
      <c r="I20" s="487"/>
      <c r="J20" s="488"/>
      <c r="K20" s="489"/>
      <c r="L20" s="489"/>
      <c r="M20" s="489"/>
      <c r="N20" s="489"/>
      <c r="O20" s="488"/>
      <c r="P20" s="487"/>
    </row>
    <row r="21" spans="2:17" s="420" customFormat="1" ht="14.45" customHeight="1" x14ac:dyDescent="0.2">
      <c r="B21" s="940"/>
      <c r="C21" s="943"/>
      <c r="D21" s="490"/>
      <c r="E21" s="483"/>
      <c r="F21" s="484"/>
      <c r="G21" s="485"/>
      <c r="H21" s="439">
        <f t="shared" si="2"/>
        <v>0</v>
      </c>
      <c r="I21" s="440">
        <f>SUM(H14:H21)</f>
        <v>156600</v>
      </c>
      <c r="J21" s="441">
        <f>I21*$J$5</f>
        <v>20358</v>
      </c>
      <c r="K21" s="442">
        <f>SUM(I21:J21)*$K$5</f>
        <v>7963.11</v>
      </c>
      <c r="L21" s="442">
        <f>SUM(I21:K21)*$L$5</f>
        <v>10170.661049999999</v>
      </c>
      <c r="M21" s="442">
        <f>SUM(I21:L21)*$M$5</f>
        <v>11705.506262999999</v>
      </c>
      <c r="N21" s="442">
        <f>SUM(I21:M21)*$N$5</f>
        <v>20679.727731299998</v>
      </c>
      <c r="O21" s="443">
        <f>SUM(I21:N21)</f>
        <v>227477.00504429996</v>
      </c>
      <c r="P21" s="440">
        <f>ROUND(O21,-3)</f>
        <v>227000</v>
      </c>
    </row>
    <row r="22" spans="2:17" s="420" customFormat="1" ht="15" customHeight="1" thickBot="1" x14ac:dyDescent="0.25">
      <c r="B22" s="941"/>
      <c r="C22" s="944"/>
      <c r="D22" s="444"/>
      <c r="E22" s="445"/>
      <c r="F22" s="446"/>
      <c r="G22" s="447"/>
      <c r="H22" s="448"/>
      <c r="I22" s="449"/>
      <c r="J22" s="450"/>
      <c r="K22" s="451"/>
      <c r="L22" s="451"/>
      <c r="M22" s="451"/>
      <c r="N22" s="451"/>
      <c r="O22" s="450"/>
      <c r="P22" s="449"/>
    </row>
    <row r="23" spans="2:17" s="426" customFormat="1" ht="12.6" customHeight="1" x14ac:dyDescent="0.2">
      <c r="B23" s="936" t="str">
        <f>'Detailed Matrix'!E174</f>
        <v>Appliances</v>
      </c>
      <c r="C23" s="805" t="str">
        <f>'Detailed Matrix'!F174</f>
        <v>Install efficient appliances(washing machines/dishwasher)</v>
      </c>
      <c r="D23" s="427"/>
      <c r="E23" s="428"/>
      <c r="F23" s="429"/>
      <c r="G23" s="430"/>
      <c r="H23" s="431"/>
      <c r="I23" s="432"/>
      <c r="J23" s="433"/>
      <c r="K23" s="434"/>
      <c r="L23" s="434"/>
      <c r="M23" s="434"/>
      <c r="N23" s="434"/>
      <c r="O23" s="433"/>
      <c r="P23" s="432"/>
    </row>
    <row r="24" spans="2:17" s="426" customFormat="1" ht="11.25" x14ac:dyDescent="0.2">
      <c r="B24" s="937"/>
      <c r="C24" s="806"/>
      <c r="D24" s="712" t="s">
        <v>154</v>
      </c>
      <c r="E24" s="483"/>
      <c r="F24" s="484"/>
      <c r="G24" s="485"/>
      <c r="H24" s="486"/>
      <c r="I24" s="487"/>
      <c r="J24" s="488"/>
      <c r="K24" s="489"/>
      <c r="L24" s="489"/>
      <c r="M24" s="489"/>
      <c r="N24" s="489"/>
      <c r="O24" s="488"/>
      <c r="P24" s="487"/>
    </row>
    <row r="25" spans="2:17" s="426" customFormat="1" ht="11.25" x14ac:dyDescent="0.2">
      <c r="B25" s="937"/>
      <c r="C25" s="806"/>
      <c r="D25" s="482" t="s">
        <v>605</v>
      </c>
      <c r="E25" s="483"/>
      <c r="F25" s="484"/>
      <c r="G25" s="485"/>
      <c r="H25" s="486"/>
      <c r="I25" s="487"/>
      <c r="J25" s="488"/>
      <c r="K25" s="489"/>
      <c r="L25" s="489"/>
      <c r="M25" s="489"/>
      <c r="N25" s="489"/>
      <c r="O25" s="488"/>
      <c r="P25" s="487"/>
    </row>
    <row r="26" spans="2:17" s="426" customFormat="1" ht="11.25" x14ac:dyDescent="0.2">
      <c r="B26" s="937"/>
      <c r="C26" s="806"/>
      <c r="D26" s="490" t="s">
        <v>642</v>
      </c>
      <c r="E26" s="399">
        <f>'Key Data'!$B$25</f>
        <v>261</v>
      </c>
      <c r="F26" s="400" t="s">
        <v>12</v>
      </c>
      <c r="G26" s="485">
        <v>100</v>
      </c>
      <c r="H26" s="486">
        <f t="shared" ref="H26" si="4">E26*G26</f>
        <v>26100</v>
      </c>
      <c r="I26" s="487"/>
      <c r="J26" s="488"/>
      <c r="K26" s="489"/>
      <c r="L26" s="489"/>
      <c r="M26" s="489"/>
      <c r="N26" s="489"/>
      <c r="O26" s="488"/>
      <c r="P26" s="487"/>
    </row>
    <row r="27" spans="2:17" s="426" customFormat="1" ht="11.25" x14ac:dyDescent="0.2">
      <c r="B27" s="937"/>
      <c r="C27" s="806"/>
      <c r="D27" s="490"/>
      <c r="E27" s="483"/>
      <c r="F27" s="484"/>
      <c r="G27" s="485"/>
      <c r="H27" s="439">
        <f t="shared" ref="H27" si="5">E27*G27</f>
        <v>0</v>
      </c>
      <c r="I27" s="440">
        <f>SUM(H23:H27)</f>
        <v>26100</v>
      </c>
      <c r="J27" s="441">
        <f>I27*$J$5</f>
        <v>3393</v>
      </c>
      <c r="K27" s="442">
        <f>SUM(I27:J27)*$K$5</f>
        <v>1327.1849999999999</v>
      </c>
      <c r="L27" s="442">
        <f>SUM(I27:K27)*$L$5</f>
        <v>1695.110175</v>
      </c>
      <c r="M27" s="442">
        <f>SUM(I27:L27)*$M$5</f>
        <v>1950.9177105000001</v>
      </c>
      <c r="N27" s="442">
        <f>SUM(I27:M27)*$N$5</f>
        <v>3446.6212885500008</v>
      </c>
      <c r="O27" s="443">
        <f>SUM(I27:N27)</f>
        <v>37912.834174050004</v>
      </c>
      <c r="P27" s="440">
        <f>ROUND(O27,-3)</f>
        <v>38000</v>
      </c>
      <c r="Q27" s="420" t="s">
        <v>514</v>
      </c>
    </row>
    <row r="28" spans="2:17" s="426" customFormat="1" ht="11.25" x14ac:dyDescent="0.2">
      <c r="B28" s="937"/>
      <c r="C28" s="806"/>
      <c r="D28" s="710"/>
      <c r="E28" s="711"/>
      <c r="F28" s="594"/>
      <c r="G28" s="606"/>
      <c r="H28" s="596"/>
      <c r="I28" s="597"/>
      <c r="J28" s="598"/>
      <c r="K28" s="599"/>
      <c r="L28" s="599"/>
      <c r="M28" s="599"/>
      <c r="N28" s="599"/>
      <c r="O28" s="600"/>
      <c r="P28" s="597"/>
    </row>
    <row r="29" spans="2:17" s="426" customFormat="1" ht="11.25" x14ac:dyDescent="0.2">
      <c r="B29" s="937"/>
      <c r="C29" s="806"/>
      <c r="D29" s="712" t="s">
        <v>155</v>
      </c>
      <c r="E29" s="483"/>
      <c r="F29" s="484"/>
      <c r="G29" s="485"/>
      <c r="H29" s="486"/>
      <c r="I29" s="487"/>
      <c r="J29" s="488"/>
      <c r="K29" s="489"/>
      <c r="L29" s="489"/>
      <c r="M29" s="489"/>
      <c r="N29" s="489"/>
      <c r="O29" s="488"/>
      <c r="P29" s="487"/>
    </row>
    <row r="30" spans="2:17" s="426" customFormat="1" ht="11.25" x14ac:dyDescent="0.2">
      <c r="B30" s="937"/>
      <c r="C30" s="806"/>
      <c r="D30" s="482" t="s">
        <v>605</v>
      </c>
      <c r="E30" s="483"/>
      <c r="F30" s="484"/>
      <c r="G30" s="485"/>
      <c r="H30" s="486"/>
      <c r="I30" s="487"/>
      <c r="J30" s="488"/>
      <c r="K30" s="489"/>
      <c r="L30" s="489"/>
      <c r="M30" s="489"/>
      <c r="N30" s="489"/>
      <c r="O30" s="488"/>
      <c r="P30" s="487"/>
    </row>
    <row r="31" spans="2:17" s="426" customFormat="1" ht="11.25" x14ac:dyDescent="0.2">
      <c r="B31" s="937"/>
      <c r="C31" s="806"/>
      <c r="D31" s="490" t="s">
        <v>642</v>
      </c>
      <c r="E31" s="399">
        <f>'Key Data'!$B$25</f>
        <v>261</v>
      </c>
      <c r="F31" s="400" t="s">
        <v>12</v>
      </c>
      <c r="G31" s="485">
        <f>G26*2</f>
        <v>200</v>
      </c>
      <c r="H31" s="486">
        <f t="shared" ref="H31:H32" si="6">E31*G31</f>
        <v>52200</v>
      </c>
      <c r="I31" s="487"/>
      <c r="J31" s="488"/>
      <c r="K31" s="489"/>
      <c r="L31" s="489"/>
      <c r="M31" s="489"/>
      <c r="N31" s="489"/>
      <c r="O31" s="488"/>
      <c r="P31" s="487"/>
    </row>
    <row r="32" spans="2:17" s="426" customFormat="1" ht="11.25" x14ac:dyDescent="0.2">
      <c r="B32" s="937"/>
      <c r="C32" s="806"/>
      <c r="D32" s="490"/>
      <c r="E32" s="483"/>
      <c r="F32" s="484"/>
      <c r="G32" s="485"/>
      <c r="H32" s="439">
        <f t="shared" si="6"/>
        <v>0</v>
      </c>
      <c r="I32" s="440">
        <f>SUM(H28:H32)</f>
        <v>52200</v>
      </c>
      <c r="J32" s="441">
        <f>I32*$J$5</f>
        <v>6786</v>
      </c>
      <c r="K32" s="442">
        <f>SUM(I32:J32)*$K$5</f>
        <v>2654.37</v>
      </c>
      <c r="L32" s="442">
        <f>SUM(I32:K32)*$L$5</f>
        <v>3390.2203500000001</v>
      </c>
      <c r="M32" s="442">
        <f>SUM(I32:L32)*$M$5</f>
        <v>3901.8354210000002</v>
      </c>
      <c r="N32" s="442">
        <f>SUM(I32:M32)*$N$5</f>
        <v>6893.2425771000017</v>
      </c>
      <c r="O32" s="443">
        <f>SUM(I32:N32)</f>
        <v>75825.668348100007</v>
      </c>
      <c r="P32" s="440">
        <f>ROUND(O32,-3)</f>
        <v>76000</v>
      </c>
    </row>
    <row r="35" spans="2:17" s="420" customFormat="1" ht="11.25" x14ac:dyDescent="0.2">
      <c r="B35" s="908" t="str">
        <f>'Detailed Matrix'!E175</f>
        <v>Signposting</v>
      </c>
      <c r="C35" s="911" t="str">
        <f>'Detailed Matrix'!F175</f>
        <v>Signposting to reduce consumption</v>
      </c>
      <c r="D35" s="390"/>
      <c r="E35" s="391"/>
      <c r="F35" s="392"/>
      <c r="G35" s="393"/>
      <c r="H35" s="394"/>
      <c r="I35" s="395"/>
      <c r="J35" s="396"/>
      <c r="K35" s="397"/>
      <c r="L35" s="397"/>
      <c r="M35" s="397"/>
      <c r="N35" s="397"/>
      <c r="O35" s="396"/>
      <c r="P35" s="395"/>
    </row>
    <row r="36" spans="2:17" s="420" customFormat="1" ht="11.25" x14ac:dyDescent="0.2">
      <c r="B36" s="909"/>
      <c r="C36" s="912"/>
      <c r="D36" s="712" t="s">
        <v>154</v>
      </c>
      <c r="E36" s="399"/>
      <c r="F36" s="400"/>
      <c r="G36" s="401"/>
      <c r="H36" s="722"/>
      <c r="I36" s="723"/>
      <c r="J36" s="724"/>
      <c r="K36" s="725"/>
      <c r="L36" s="725"/>
      <c r="M36" s="725"/>
      <c r="N36" s="725"/>
      <c r="O36" s="724"/>
      <c r="P36" s="723"/>
    </row>
    <row r="37" spans="2:17" s="420" customFormat="1" ht="11.25" x14ac:dyDescent="0.2">
      <c r="B37" s="909"/>
      <c r="C37" s="912"/>
      <c r="D37" s="398" t="s">
        <v>643</v>
      </c>
      <c r="E37" s="399">
        <f>'Key Data'!$B$25</f>
        <v>261</v>
      </c>
      <c r="F37" s="400" t="s">
        <v>12</v>
      </c>
      <c r="G37" s="401">
        <v>125</v>
      </c>
      <c r="H37" s="402">
        <f t="shared" ref="H37" si="7">E37*G37</f>
        <v>32625</v>
      </c>
      <c r="I37" s="403">
        <f>SUM(H35:H37)</f>
        <v>32625</v>
      </c>
      <c r="J37" s="404">
        <f>I37*$J$5</f>
        <v>4241.25</v>
      </c>
      <c r="K37" s="405">
        <f>SUM(I37:J37)*$K$5</f>
        <v>1658.98125</v>
      </c>
      <c r="L37" s="405">
        <f>SUM(I37:K37)*$L$5</f>
        <v>2118.8877187499997</v>
      </c>
      <c r="M37" s="405">
        <f>SUM(I37:L37)*$M$5</f>
        <v>2438.6471381249994</v>
      </c>
      <c r="N37" s="405">
        <f>SUM(I37:M37)*$N$5</f>
        <v>4308.2766106874997</v>
      </c>
      <c r="O37" s="406">
        <f>SUM(I37:N37)</f>
        <v>47391.042717562494</v>
      </c>
      <c r="P37" s="403">
        <f>ROUND(O37,-3)</f>
        <v>47000</v>
      </c>
      <c r="Q37" s="420" t="s">
        <v>514</v>
      </c>
    </row>
    <row r="38" spans="2:17" s="420" customFormat="1" ht="11.25" x14ac:dyDescent="0.2">
      <c r="B38" s="909"/>
      <c r="C38" s="912"/>
      <c r="D38" s="713"/>
      <c r="E38" s="714"/>
      <c r="F38" s="715"/>
      <c r="G38" s="716"/>
      <c r="H38" s="717"/>
      <c r="I38" s="718"/>
      <c r="J38" s="719"/>
      <c r="K38" s="720"/>
      <c r="L38" s="720"/>
      <c r="M38" s="720"/>
      <c r="N38" s="720"/>
      <c r="O38" s="721"/>
      <c r="P38" s="718"/>
    </row>
    <row r="39" spans="2:17" s="420" customFormat="1" ht="11.25" x14ac:dyDescent="0.2">
      <c r="B39" s="909"/>
      <c r="C39" s="912"/>
      <c r="D39" s="712" t="s">
        <v>155</v>
      </c>
      <c r="E39" s="714"/>
      <c r="F39" s="715"/>
      <c r="G39" s="716"/>
      <c r="H39" s="717"/>
      <c r="I39" s="718"/>
      <c r="J39" s="719"/>
      <c r="K39" s="720"/>
      <c r="L39" s="720"/>
      <c r="M39" s="720"/>
      <c r="N39" s="720"/>
      <c r="O39" s="721"/>
      <c r="P39" s="718"/>
    </row>
    <row r="40" spans="2:17" s="420" customFormat="1" ht="11.25" x14ac:dyDescent="0.2">
      <c r="B40" s="909"/>
      <c r="C40" s="912"/>
      <c r="D40" s="398" t="s">
        <v>643</v>
      </c>
      <c r="E40" s="399">
        <f>'Key Data'!$B$25</f>
        <v>261</v>
      </c>
      <c r="F40" s="400" t="s">
        <v>12</v>
      </c>
      <c r="G40" s="401">
        <v>250</v>
      </c>
      <c r="H40" s="402">
        <f t="shared" ref="H40" si="8">E40*G40</f>
        <v>65250</v>
      </c>
      <c r="I40" s="403">
        <f>SUM(H38:H40)</f>
        <v>65250</v>
      </c>
      <c r="J40" s="404">
        <f>I40*$J$5</f>
        <v>8482.5</v>
      </c>
      <c r="K40" s="405">
        <f>SUM(I40:J40)*$K$5</f>
        <v>3317.9625000000001</v>
      </c>
      <c r="L40" s="405">
        <f>SUM(I40:K40)*$L$5</f>
        <v>4237.7754374999995</v>
      </c>
      <c r="M40" s="405">
        <f>SUM(I40:L40)*$M$5</f>
        <v>4877.2942762499988</v>
      </c>
      <c r="N40" s="405">
        <f>SUM(I40:M40)*$N$5</f>
        <v>8616.5532213749993</v>
      </c>
      <c r="O40" s="406">
        <f>SUM(I40:N40)</f>
        <v>94782.085435124987</v>
      </c>
      <c r="P40" s="403">
        <f>ROUND(O40,-3)</f>
        <v>95000</v>
      </c>
    </row>
    <row r="41" spans="2:17" s="420" customFormat="1" ht="12" thickBot="1" x14ac:dyDescent="0.25">
      <c r="B41" s="910"/>
      <c r="C41" s="913"/>
      <c r="D41" s="407"/>
      <c r="E41" s="408"/>
      <c r="F41" s="409"/>
      <c r="G41" s="410"/>
      <c r="H41" s="411"/>
      <c r="I41" s="412"/>
      <c r="J41" s="413"/>
      <c r="K41" s="414"/>
      <c r="L41" s="414"/>
      <c r="M41" s="414"/>
      <c r="N41" s="414"/>
      <c r="O41" s="413"/>
      <c r="P41" s="412"/>
    </row>
    <row r="42" spans="2:17" s="426" customFormat="1" ht="11.25" x14ac:dyDescent="0.2">
      <c r="B42" s="936" t="str">
        <f>'Detailed Matrix'!E176</f>
        <v>Behavioutal Changes</v>
      </c>
      <c r="C42" s="805" t="str">
        <f>'Detailed Matrix'!F176</f>
        <v>Encouraging behavioural changes</v>
      </c>
      <c r="D42" s="427" t="s">
        <v>556</v>
      </c>
      <c r="E42" s="428">
        <v>1</v>
      </c>
      <c r="F42" s="429"/>
      <c r="G42" s="430"/>
      <c r="H42" s="431">
        <f t="shared" ref="H42:H48" si="9">E42*G42</f>
        <v>0</v>
      </c>
      <c r="I42" s="432"/>
      <c r="J42" s="433"/>
      <c r="K42" s="434"/>
      <c r="L42" s="434"/>
      <c r="M42" s="434"/>
      <c r="N42" s="434"/>
      <c r="O42" s="433"/>
      <c r="P42" s="432"/>
    </row>
    <row r="43" spans="2:17" s="426" customFormat="1" ht="11.25" x14ac:dyDescent="0.2">
      <c r="B43" s="937"/>
      <c r="C43" s="806"/>
      <c r="D43" s="482"/>
      <c r="E43" s="483">
        <v>1</v>
      </c>
      <c r="F43" s="484"/>
      <c r="G43" s="485"/>
      <c r="H43" s="486">
        <f t="shared" si="9"/>
        <v>0</v>
      </c>
      <c r="I43" s="487"/>
      <c r="J43" s="488"/>
      <c r="K43" s="489"/>
      <c r="L43" s="489"/>
      <c r="M43" s="489"/>
      <c r="N43" s="489"/>
      <c r="O43" s="488"/>
      <c r="P43" s="487"/>
    </row>
    <row r="44" spans="2:17" s="426" customFormat="1" ht="11.25" x14ac:dyDescent="0.2">
      <c r="B44" s="937"/>
      <c r="C44" s="806"/>
      <c r="D44" s="482"/>
      <c r="E44" s="483">
        <v>1</v>
      </c>
      <c r="F44" s="484"/>
      <c r="G44" s="485"/>
      <c r="H44" s="486">
        <f t="shared" si="9"/>
        <v>0</v>
      </c>
      <c r="I44" s="487"/>
      <c r="J44" s="488"/>
      <c r="K44" s="489"/>
      <c r="L44" s="489"/>
      <c r="M44" s="489"/>
      <c r="N44" s="489"/>
      <c r="O44" s="488"/>
      <c r="P44" s="487"/>
    </row>
    <row r="45" spans="2:17" s="426" customFormat="1" ht="11.25" x14ac:dyDescent="0.2">
      <c r="B45" s="937"/>
      <c r="C45" s="806"/>
      <c r="D45" s="482"/>
      <c r="E45" s="483">
        <v>1</v>
      </c>
      <c r="F45" s="484"/>
      <c r="G45" s="485"/>
      <c r="H45" s="486">
        <f t="shared" si="9"/>
        <v>0</v>
      </c>
      <c r="I45" s="487"/>
      <c r="J45" s="488"/>
      <c r="K45" s="489"/>
      <c r="L45" s="489"/>
      <c r="M45" s="489"/>
      <c r="N45" s="489"/>
      <c r="O45" s="488"/>
      <c r="P45" s="487"/>
    </row>
    <row r="46" spans="2:17" s="426" customFormat="1" ht="11.25" x14ac:dyDescent="0.2">
      <c r="B46" s="937"/>
      <c r="C46" s="806"/>
      <c r="D46" s="482"/>
      <c r="E46" s="483">
        <v>1</v>
      </c>
      <c r="F46" s="484"/>
      <c r="G46" s="485"/>
      <c r="H46" s="486">
        <f t="shared" si="9"/>
        <v>0</v>
      </c>
      <c r="I46" s="487"/>
      <c r="J46" s="488"/>
      <c r="K46" s="489"/>
      <c r="L46" s="489"/>
      <c r="M46" s="489"/>
      <c r="N46" s="489"/>
      <c r="O46" s="488"/>
      <c r="P46" s="487"/>
    </row>
    <row r="47" spans="2:17" s="426" customFormat="1" ht="11.25" x14ac:dyDescent="0.2">
      <c r="B47" s="937"/>
      <c r="C47" s="806"/>
      <c r="D47" s="482"/>
      <c r="E47" s="483">
        <v>1</v>
      </c>
      <c r="F47" s="484"/>
      <c r="G47" s="485"/>
      <c r="H47" s="486">
        <f t="shared" si="9"/>
        <v>0</v>
      </c>
      <c r="I47" s="487"/>
      <c r="J47" s="488"/>
      <c r="K47" s="489"/>
      <c r="L47" s="489"/>
      <c r="M47" s="489"/>
      <c r="N47" s="489"/>
      <c r="O47" s="488"/>
      <c r="P47" s="487"/>
    </row>
    <row r="48" spans="2:17" s="426" customFormat="1" ht="11.25" x14ac:dyDescent="0.2">
      <c r="B48" s="937"/>
      <c r="C48" s="806"/>
      <c r="D48" s="482" t="s">
        <v>598</v>
      </c>
      <c r="E48" s="483"/>
      <c r="F48" s="484"/>
      <c r="G48" s="485"/>
      <c r="H48" s="486">
        <f t="shared" si="9"/>
        <v>0</v>
      </c>
      <c r="I48" s="487">
        <f>SUM(H42:H48)</f>
        <v>0</v>
      </c>
      <c r="J48" s="488">
        <f>I48*$J$5</f>
        <v>0</v>
      </c>
      <c r="K48" s="489">
        <f>SUM(I48:J48)*$K$5</f>
        <v>0</v>
      </c>
      <c r="L48" s="489">
        <f>SUM(I48:K48)*$L$5</f>
        <v>0</v>
      </c>
      <c r="M48" s="489">
        <f>SUM(I48:L48)*$M$5</f>
        <v>0</v>
      </c>
      <c r="N48" s="489">
        <f>SUM(I48:M48)*$N$5</f>
        <v>0</v>
      </c>
      <c r="O48" s="488">
        <f>SUM(I48:N48)</f>
        <v>0</v>
      </c>
      <c r="P48" s="487">
        <f>ROUND(O48,-3)</f>
        <v>0</v>
      </c>
      <c r="Q48" s="426" t="s">
        <v>600</v>
      </c>
    </row>
    <row r="50" spans="4:17" s="426" customFormat="1" ht="11.25" x14ac:dyDescent="0.2">
      <c r="D50" s="482" t="s">
        <v>557</v>
      </c>
      <c r="E50" s="483">
        <v>1</v>
      </c>
      <c r="F50" s="484"/>
      <c r="G50" s="485"/>
      <c r="H50" s="486">
        <f>E50*G50</f>
        <v>0</v>
      </c>
      <c r="I50" s="487"/>
      <c r="J50" s="488"/>
      <c r="K50" s="489"/>
      <c r="L50" s="489"/>
      <c r="M50" s="489"/>
      <c r="N50" s="489"/>
      <c r="O50" s="488"/>
      <c r="P50" s="487"/>
    </row>
    <row r="51" spans="4:17" s="426" customFormat="1" ht="11.25" x14ac:dyDescent="0.2">
      <c r="D51" s="482"/>
      <c r="E51" s="483">
        <v>1</v>
      </c>
      <c r="F51" s="484"/>
      <c r="G51" s="485"/>
      <c r="H51" s="486">
        <f>E51*G51</f>
        <v>0</v>
      </c>
      <c r="I51" s="487"/>
      <c r="J51" s="488"/>
      <c r="K51" s="489"/>
      <c r="L51" s="489"/>
      <c r="M51" s="489"/>
      <c r="N51" s="489"/>
      <c r="O51" s="488"/>
      <c r="P51" s="487"/>
    </row>
    <row r="52" spans="4:17" s="426" customFormat="1" ht="11.25" x14ac:dyDescent="0.2">
      <c r="D52" s="482"/>
      <c r="E52" s="483">
        <v>1</v>
      </c>
      <c r="F52" s="484"/>
      <c r="G52" s="485"/>
      <c r="H52" s="486">
        <f>E52*G52</f>
        <v>0</v>
      </c>
      <c r="I52" s="487"/>
      <c r="J52" s="488"/>
      <c r="K52" s="489"/>
      <c r="L52" s="489"/>
      <c r="M52" s="489"/>
      <c r="N52" s="489"/>
      <c r="O52" s="488"/>
      <c r="P52" s="487"/>
    </row>
    <row r="53" spans="4:17" s="426" customFormat="1" ht="11.25" x14ac:dyDescent="0.2">
      <c r="D53" s="482"/>
      <c r="E53" s="483">
        <v>1</v>
      </c>
      <c r="F53" s="484"/>
      <c r="G53" s="485"/>
      <c r="H53" s="486">
        <f>E53*G53</f>
        <v>0</v>
      </c>
      <c r="I53" s="487"/>
      <c r="J53" s="488"/>
      <c r="K53" s="489"/>
      <c r="L53" s="489"/>
      <c r="M53" s="489"/>
      <c r="N53" s="489"/>
      <c r="O53" s="488"/>
      <c r="P53" s="487"/>
    </row>
    <row r="54" spans="4:17" s="426" customFormat="1" ht="11.25" x14ac:dyDescent="0.2">
      <c r="D54" s="482"/>
      <c r="E54" s="483">
        <v>1</v>
      </c>
      <c r="F54" s="484"/>
      <c r="G54" s="485"/>
      <c r="H54" s="486">
        <f>E54*G54</f>
        <v>0</v>
      </c>
      <c r="I54" s="487"/>
      <c r="J54" s="488"/>
      <c r="K54" s="489"/>
      <c r="L54" s="489"/>
      <c r="M54" s="489"/>
      <c r="N54" s="489"/>
      <c r="O54" s="488"/>
      <c r="P54" s="487"/>
    </row>
    <row r="55" spans="4:17" s="426" customFormat="1" ht="11.25" x14ac:dyDescent="0.2">
      <c r="D55" s="482" t="s">
        <v>598</v>
      </c>
      <c r="E55" s="483">
        <v>1</v>
      </c>
      <c r="F55" s="484"/>
      <c r="G55" s="485"/>
      <c r="H55" s="486">
        <f t="shared" ref="H55" si="10">E55*G55</f>
        <v>0</v>
      </c>
      <c r="I55" s="487">
        <f>SUM(H49:H55)</f>
        <v>0</v>
      </c>
      <c r="J55" s="488">
        <f>I55*$J$5</f>
        <v>0</v>
      </c>
      <c r="K55" s="489">
        <f>SUM(I55:J55)*$K$5</f>
        <v>0</v>
      </c>
      <c r="L55" s="489">
        <f>SUM(I55:K55)*$L$5</f>
        <v>0</v>
      </c>
      <c r="M55" s="489">
        <f>SUM(I55:L55)*$M$5</f>
        <v>0</v>
      </c>
      <c r="N55" s="489">
        <f>SUM(I55:M55)*$N$5</f>
        <v>0</v>
      </c>
      <c r="O55" s="488">
        <f>SUM(I55:N55)</f>
        <v>0</v>
      </c>
      <c r="P55" s="487">
        <f>ROUND(O55,-3)</f>
        <v>0</v>
      </c>
      <c r="Q55" s="426" t="s">
        <v>600</v>
      </c>
    </row>
  </sheetData>
  <mergeCells count="1">
    <mergeCell ref="B2:P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C5989-E791-4B70-8CF3-48937BA4EA11}">
  <sheetPr>
    <tabColor theme="9" tint="0.79998168889431442"/>
  </sheetPr>
  <dimension ref="B2:Q151"/>
  <sheetViews>
    <sheetView topLeftCell="A118" zoomScale="130" zoomScaleNormal="130" workbookViewId="0">
      <selection activeCell="C138" sqref="C138"/>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Water Recycling</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1.25" x14ac:dyDescent="0.2">
      <c r="B6" s="939" t="str">
        <f>'Detailed Matrix'!E178</f>
        <v>Rainwater Harvesting</v>
      </c>
      <c r="C6" s="945" t="str">
        <f>'Detailed Matrix'!F178</f>
        <v>Stage 01 - Recycling &lt;25%</v>
      </c>
      <c r="D6" s="427" t="s">
        <v>556</v>
      </c>
      <c r="E6" s="428">
        <v>1</v>
      </c>
      <c r="F6" s="429"/>
      <c r="G6" s="430"/>
      <c r="H6" s="431">
        <f t="shared" ref="H6:H12" si="0">E6*G6</f>
        <v>0</v>
      </c>
      <c r="I6" s="432"/>
      <c r="J6" s="433"/>
      <c r="K6" s="434"/>
      <c r="L6" s="434"/>
      <c r="M6" s="434"/>
      <c r="N6" s="434"/>
      <c r="O6" s="433"/>
      <c r="P6" s="432"/>
    </row>
    <row r="7" spans="2:17" s="420" customFormat="1" ht="11.25" x14ac:dyDescent="0.2">
      <c r="B7" s="940"/>
      <c r="C7" s="946"/>
      <c r="D7" s="482"/>
      <c r="E7" s="483">
        <v>1</v>
      </c>
      <c r="F7" s="484"/>
      <c r="G7" s="485"/>
      <c r="H7" s="486">
        <f t="shared" si="0"/>
        <v>0</v>
      </c>
      <c r="I7" s="487"/>
      <c r="J7" s="488"/>
      <c r="K7" s="489"/>
      <c r="L7" s="489"/>
      <c r="M7" s="489"/>
      <c r="N7" s="489"/>
      <c r="O7" s="488"/>
      <c r="P7" s="487"/>
    </row>
    <row r="8" spans="2:17" s="420" customFormat="1" ht="11.25" x14ac:dyDescent="0.2">
      <c r="B8" s="940"/>
      <c r="C8" s="946"/>
      <c r="D8" s="482"/>
      <c r="E8" s="483">
        <v>1</v>
      </c>
      <c r="F8" s="484"/>
      <c r="G8" s="485"/>
      <c r="H8" s="486">
        <f t="shared" si="0"/>
        <v>0</v>
      </c>
      <c r="I8" s="487"/>
      <c r="J8" s="488"/>
      <c r="K8" s="489"/>
      <c r="L8" s="489"/>
      <c r="M8" s="489"/>
      <c r="N8" s="489"/>
      <c r="O8" s="488"/>
      <c r="P8" s="487"/>
    </row>
    <row r="9" spans="2:17" s="420" customFormat="1" ht="11.25" x14ac:dyDescent="0.2">
      <c r="B9" s="940"/>
      <c r="C9" s="946"/>
      <c r="D9" s="482"/>
      <c r="E9" s="483">
        <v>1</v>
      </c>
      <c r="F9" s="484"/>
      <c r="G9" s="485"/>
      <c r="H9" s="486">
        <f t="shared" si="0"/>
        <v>0</v>
      </c>
      <c r="I9" s="487"/>
      <c r="J9" s="488"/>
      <c r="K9" s="489"/>
      <c r="L9" s="489"/>
      <c r="M9" s="489"/>
      <c r="N9" s="489"/>
      <c r="O9" s="488"/>
      <c r="P9" s="487"/>
    </row>
    <row r="10" spans="2:17" s="420" customFormat="1" ht="11.25" x14ac:dyDescent="0.2">
      <c r="B10" s="940"/>
      <c r="C10" s="946"/>
      <c r="D10" s="482"/>
      <c r="E10" s="483">
        <v>1</v>
      </c>
      <c r="F10" s="484"/>
      <c r="G10" s="485"/>
      <c r="H10" s="486">
        <f t="shared" si="0"/>
        <v>0</v>
      </c>
      <c r="I10" s="487"/>
      <c r="J10" s="488"/>
      <c r="K10" s="489"/>
      <c r="L10" s="489"/>
      <c r="M10" s="489"/>
      <c r="N10" s="489"/>
      <c r="O10" s="488"/>
      <c r="P10" s="487"/>
    </row>
    <row r="11" spans="2:17" s="420" customFormat="1" ht="11.25" x14ac:dyDescent="0.2">
      <c r="B11" s="940"/>
      <c r="C11" s="946"/>
      <c r="D11" s="482"/>
      <c r="E11" s="483">
        <v>1</v>
      </c>
      <c r="F11" s="484"/>
      <c r="G11" s="485"/>
      <c r="H11" s="486">
        <f t="shared" si="0"/>
        <v>0</v>
      </c>
      <c r="I11" s="487"/>
      <c r="J11" s="488"/>
      <c r="K11" s="489"/>
      <c r="L11" s="489"/>
      <c r="M11" s="489"/>
      <c r="N11" s="489"/>
      <c r="O11" s="488"/>
      <c r="P11" s="487"/>
    </row>
    <row r="12" spans="2:17" s="420" customFormat="1" ht="11.25" x14ac:dyDescent="0.2">
      <c r="B12" s="940"/>
      <c r="C12" s="946"/>
      <c r="D12" s="482" t="s">
        <v>598</v>
      </c>
      <c r="E12" s="483"/>
      <c r="F12" s="484"/>
      <c r="G12" s="485"/>
      <c r="H12" s="486">
        <f t="shared" si="0"/>
        <v>0</v>
      </c>
      <c r="I12" s="875">
        <f>SUM(H6:H12)</f>
        <v>0</v>
      </c>
      <c r="J12" s="488">
        <f>I12*$J$5</f>
        <v>0</v>
      </c>
      <c r="K12" s="489">
        <f>SUM(I12:J12)*$K$5</f>
        <v>0</v>
      </c>
      <c r="L12" s="489">
        <f>SUM(I12:K12)*$L$5</f>
        <v>0</v>
      </c>
      <c r="M12" s="489">
        <f>SUM(I12:L12)*$M$5</f>
        <v>0</v>
      </c>
      <c r="N12" s="489">
        <f>SUM(I12:M12)*$N$5</f>
        <v>0</v>
      </c>
      <c r="O12" s="488">
        <f>SUM(I12:N12)</f>
        <v>0</v>
      </c>
      <c r="P12" s="487">
        <f>ROUND(O12,-3)</f>
        <v>0</v>
      </c>
      <c r="Q12" s="420" t="s">
        <v>600</v>
      </c>
    </row>
    <row r="13" spans="2:17" s="420" customFormat="1" ht="11.25" x14ac:dyDescent="0.2">
      <c r="B13" s="940"/>
      <c r="C13" s="946"/>
      <c r="D13" s="482"/>
      <c r="E13" s="483"/>
      <c r="F13" s="484"/>
      <c r="G13" s="485"/>
      <c r="H13" s="486"/>
      <c r="I13" s="487"/>
      <c r="J13" s="488"/>
      <c r="K13" s="489"/>
      <c r="L13" s="489"/>
      <c r="M13" s="489"/>
      <c r="N13" s="489"/>
      <c r="O13" s="488"/>
      <c r="P13" s="487"/>
    </row>
    <row r="14" spans="2:17" s="420" customFormat="1" ht="11.25" x14ac:dyDescent="0.2">
      <c r="B14" s="940"/>
      <c r="C14" s="946"/>
      <c r="D14" s="482" t="s">
        <v>557</v>
      </c>
      <c r="E14" s="483">
        <v>1</v>
      </c>
      <c r="F14" s="484"/>
      <c r="G14" s="485"/>
      <c r="H14" s="486">
        <f>E14*G14</f>
        <v>0</v>
      </c>
      <c r="I14" s="487"/>
      <c r="J14" s="488"/>
      <c r="K14" s="489"/>
      <c r="L14" s="489"/>
      <c r="M14" s="489"/>
      <c r="N14" s="489"/>
      <c r="O14" s="488"/>
      <c r="P14" s="487"/>
    </row>
    <row r="15" spans="2:17" s="420" customFormat="1" ht="11.25" x14ac:dyDescent="0.2">
      <c r="B15" s="940"/>
      <c r="C15" s="946"/>
      <c r="D15" s="482"/>
      <c r="E15" s="483">
        <v>1</v>
      </c>
      <c r="F15" s="484"/>
      <c r="G15" s="485"/>
      <c r="H15" s="486">
        <f>E15*G15</f>
        <v>0</v>
      </c>
      <c r="I15" s="487"/>
      <c r="J15" s="488"/>
      <c r="K15" s="489"/>
      <c r="L15" s="489"/>
      <c r="M15" s="489"/>
      <c r="N15" s="489"/>
      <c r="O15" s="488"/>
      <c r="P15" s="487"/>
    </row>
    <row r="16" spans="2:17" s="420" customFormat="1" ht="11.25" x14ac:dyDescent="0.2">
      <c r="B16" s="940"/>
      <c r="C16" s="946"/>
      <c r="D16" s="482"/>
      <c r="E16" s="483">
        <v>1</v>
      </c>
      <c r="F16" s="484"/>
      <c r="G16" s="485"/>
      <c r="H16" s="486">
        <f>E16*G16</f>
        <v>0</v>
      </c>
      <c r="I16" s="487"/>
      <c r="J16" s="488"/>
      <c r="K16" s="489"/>
      <c r="L16" s="489"/>
      <c r="M16" s="489"/>
      <c r="N16" s="489"/>
      <c r="O16" s="488"/>
      <c r="P16" s="487"/>
    </row>
    <row r="17" spans="2:17" s="420" customFormat="1" ht="11.25" x14ac:dyDescent="0.2">
      <c r="B17" s="940"/>
      <c r="C17" s="946"/>
      <c r="D17" s="482"/>
      <c r="E17" s="483">
        <v>1</v>
      </c>
      <c r="F17" s="484"/>
      <c r="G17" s="485"/>
      <c r="H17" s="486">
        <f>E17*G17</f>
        <v>0</v>
      </c>
      <c r="I17" s="487"/>
      <c r="J17" s="488"/>
      <c r="K17" s="489"/>
      <c r="L17" s="489"/>
      <c r="M17" s="489"/>
      <c r="N17" s="489"/>
      <c r="O17" s="488"/>
      <c r="P17" s="487"/>
    </row>
    <row r="18" spans="2:17" s="420" customFormat="1" ht="11.25" x14ac:dyDescent="0.2">
      <c r="B18" s="940"/>
      <c r="C18" s="946"/>
      <c r="D18" s="482"/>
      <c r="E18" s="483">
        <v>1</v>
      </c>
      <c r="F18" s="484"/>
      <c r="G18" s="485"/>
      <c r="H18" s="486">
        <f>E18*G18</f>
        <v>0</v>
      </c>
      <c r="I18" s="487"/>
      <c r="J18" s="488"/>
      <c r="K18" s="489"/>
      <c r="L18" s="489"/>
      <c r="M18" s="489"/>
      <c r="N18" s="489"/>
      <c r="O18" s="488"/>
      <c r="P18" s="487"/>
    </row>
    <row r="19" spans="2:17" s="420" customFormat="1" ht="11.25" x14ac:dyDescent="0.2">
      <c r="B19" s="940"/>
      <c r="C19" s="946"/>
      <c r="D19" s="482" t="s">
        <v>598</v>
      </c>
      <c r="E19" s="483">
        <v>1</v>
      </c>
      <c r="F19" s="484"/>
      <c r="G19" s="485"/>
      <c r="H19" s="486">
        <f t="shared" ref="H19" si="1">E19*G19</f>
        <v>0</v>
      </c>
      <c r="I19" s="905">
        <f>SUM(H13:H19)</f>
        <v>0</v>
      </c>
      <c r="J19" s="488">
        <f>I19*$J$5</f>
        <v>0</v>
      </c>
      <c r="K19" s="489">
        <f>SUM(I19:J19)*$K$5</f>
        <v>0</v>
      </c>
      <c r="L19" s="489">
        <f>SUM(I19:K19)*$L$5</f>
        <v>0</v>
      </c>
      <c r="M19" s="489">
        <f>SUM(I19:L19)*$M$5</f>
        <v>0</v>
      </c>
      <c r="N19" s="489">
        <f>SUM(I19:M19)*$N$5</f>
        <v>0</v>
      </c>
      <c r="O19" s="488">
        <f>SUM(I19:N19)</f>
        <v>0</v>
      </c>
      <c r="P19" s="487">
        <f>ROUND(O19,-3)</f>
        <v>0</v>
      </c>
      <c r="Q19" s="420" t="s">
        <v>600</v>
      </c>
    </row>
    <row r="20" spans="2:17" s="420" customFormat="1" ht="12" thickBot="1" x14ac:dyDescent="0.25">
      <c r="B20" s="941"/>
      <c r="C20" s="947"/>
      <c r="D20" s="444"/>
      <c r="E20" s="445"/>
      <c r="F20" s="446"/>
      <c r="G20" s="447"/>
      <c r="H20" s="448"/>
      <c r="I20" s="449"/>
      <c r="J20" s="450"/>
      <c r="K20" s="451"/>
      <c r="L20" s="451"/>
      <c r="M20" s="451"/>
      <c r="N20" s="451"/>
      <c r="O20" s="450"/>
      <c r="P20" s="449"/>
    </row>
    <row r="21" spans="2:17" s="426" customFormat="1" ht="11.25" x14ac:dyDescent="0.2">
      <c r="B21" s="936" t="str">
        <f>'Detailed Matrix'!E179</f>
        <v>Rainwater Harvesting</v>
      </c>
      <c r="C21" s="942" t="str">
        <f>'Detailed Matrix'!F179</f>
        <v>Stage 02 - Recycling &lt;50%</v>
      </c>
      <c r="D21" s="427" t="s">
        <v>556</v>
      </c>
      <c r="E21" s="428">
        <v>1</v>
      </c>
      <c r="F21" s="429"/>
      <c r="G21" s="430"/>
      <c r="H21" s="431">
        <f t="shared" ref="H21:H27" si="2">E21*G21</f>
        <v>0</v>
      </c>
      <c r="I21" s="432"/>
      <c r="J21" s="433"/>
      <c r="K21" s="434"/>
      <c r="L21" s="434"/>
      <c r="M21" s="434"/>
      <c r="N21" s="434"/>
      <c r="O21" s="433"/>
      <c r="P21" s="432"/>
    </row>
    <row r="22" spans="2:17" s="426" customFormat="1" ht="11.25" x14ac:dyDescent="0.2">
      <c r="B22" s="937"/>
      <c r="C22" s="943"/>
      <c r="D22" s="482"/>
      <c r="E22" s="483">
        <v>1</v>
      </c>
      <c r="F22" s="484"/>
      <c r="G22" s="485"/>
      <c r="H22" s="486">
        <f t="shared" si="2"/>
        <v>0</v>
      </c>
      <c r="I22" s="487"/>
      <c r="J22" s="488"/>
      <c r="K22" s="489"/>
      <c r="L22" s="489"/>
      <c r="M22" s="489"/>
      <c r="N22" s="489"/>
      <c r="O22" s="488"/>
      <c r="P22" s="487"/>
    </row>
    <row r="23" spans="2:17" s="426" customFormat="1" ht="11.25" x14ac:dyDescent="0.2">
      <c r="B23" s="937"/>
      <c r="C23" s="943"/>
      <c r="D23" s="482"/>
      <c r="E23" s="483">
        <v>1</v>
      </c>
      <c r="F23" s="484"/>
      <c r="G23" s="485"/>
      <c r="H23" s="486">
        <f t="shared" si="2"/>
        <v>0</v>
      </c>
      <c r="I23" s="487"/>
      <c r="J23" s="488"/>
      <c r="K23" s="489"/>
      <c r="L23" s="489"/>
      <c r="M23" s="489"/>
      <c r="N23" s="489"/>
      <c r="O23" s="488"/>
      <c r="P23" s="487"/>
    </row>
    <row r="24" spans="2:17" s="426" customFormat="1" ht="11.25" x14ac:dyDescent="0.2">
      <c r="B24" s="937"/>
      <c r="C24" s="943"/>
      <c r="D24" s="482"/>
      <c r="E24" s="483">
        <v>1</v>
      </c>
      <c r="F24" s="484"/>
      <c r="G24" s="485"/>
      <c r="H24" s="486">
        <f t="shared" si="2"/>
        <v>0</v>
      </c>
      <c r="I24" s="487"/>
      <c r="J24" s="488"/>
      <c r="K24" s="489"/>
      <c r="L24" s="489"/>
      <c r="M24" s="489"/>
      <c r="N24" s="489"/>
      <c r="O24" s="488"/>
      <c r="P24" s="487"/>
    </row>
    <row r="25" spans="2:17" s="426" customFormat="1" ht="11.25" x14ac:dyDescent="0.2">
      <c r="B25" s="937"/>
      <c r="C25" s="943"/>
      <c r="D25" s="482"/>
      <c r="E25" s="483">
        <v>1</v>
      </c>
      <c r="F25" s="484"/>
      <c r="G25" s="485"/>
      <c r="H25" s="486">
        <f t="shared" si="2"/>
        <v>0</v>
      </c>
      <c r="I25" s="487"/>
      <c r="J25" s="488"/>
      <c r="K25" s="489"/>
      <c r="L25" s="489"/>
      <c r="M25" s="489"/>
      <c r="N25" s="489"/>
      <c r="O25" s="488"/>
      <c r="P25" s="487"/>
    </row>
    <row r="26" spans="2:17" s="426" customFormat="1" ht="11.25" x14ac:dyDescent="0.2">
      <c r="B26" s="937"/>
      <c r="C26" s="943"/>
      <c r="D26" s="482" t="s">
        <v>644</v>
      </c>
      <c r="E26" s="483">
        <v>-1</v>
      </c>
      <c r="F26" s="484"/>
      <c r="G26" s="485">
        <f>I12</f>
        <v>0</v>
      </c>
      <c r="H26" s="486">
        <f t="shared" si="2"/>
        <v>0</v>
      </c>
      <c r="I26" s="487"/>
      <c r="J26" s="488"/>
      <c r="K26" s="489"/>
      <c r="L26" s="489"/>
      <c r="M26" s="489"/>
      <c r="N26" s="489"/>
      <c r="O26" s="488"/>
      <c r="P26" s="487"/>
    </row>
    <row r="27" spans="2:17" s="426" customFormat="1" ht="11.25" x14ac:dyDescent="0.2">
      <c r="B27" s="937"/>
      <c r="C27" s="943"/>
      <c r="D27" s="482" t="s">
        <v>598</v>
      </c>
      <c r="E27" s="483"/>
      <c r="F27" s="484"/>
      <c r="G27" s="485"/>
      <c r="H27" s="486">
        <f t="shared" si="2"/>
        <v>0</v>
      </c>
      <c r="I27" s="875">
        <f>SUM(H21:H27)</f>
        <v>0</v>
      </c>
      <c r="J27" s="488">
        <f>I27*$J$5</f>
        <v>0</v>
      </c>
      <c r="K27" s="489">
        <f>SUM(I27:J27)*$K$5</f>
        <v>0</v>
      </c>
      <c r="L27" s="489">
        <f>SUM(I27:K27)*$L$5</f>
        <v>0</v>
      </c>
      <c r="M27" s="489">
        <f>SUM(I27:L27)*$M$5</f>
        <v>0</v>
      </c>
      <c r="N27" s="489">
        <f>SUM(I27:M27)*$N$5</f>
        <v>0</v>
      </c>
      <c r="O27" s="488">
        <f>SUM(I27:N27)</f>
        <v>0</v>
      </c>
      <c r="P27" s="487">
        <f>ROUND(O27,-3)</f>
        <v>0</v>
      </c>
      <c r="Q27" s="426" t="s">
        <v>600</v>
      </c>
    </row>
    <row r="28" spans="2:17" s="426" customFormat="1" ht="11.25" x14ac:dyDescent="0.2">
      <c r="B28" s="937"/>
      <c r="C28" s="943"/>
      <c r="D28" s="482"/>
      <c r="E28" s="483"/>
      <c r="F28" s="484"/>
      <c r="G28" s="485"/>
      <c r="H28" s="486"/>
      <c r="I28" s="487"/>
      <c r="J28" s="488"/>
      <c r="K28" s="489"/>
      <c r="L28" s="489"/>
      <c r="M28" s="489"/>
      <c r="N28" s="489"/>
      <c r="O28" s="488"/>
      <c r="P28" s="487"/>
    </row>
    <row r="29" spans="2:17" s="426" customFormat="1" ht="11.25" x14ac:dyDescent="0.2">
      <c r="B29" s="937"/>
      <c r="C29" s="943"/>
      <c r="D29" s="482" t="s">
        <v>557</v>
      </c>
      <c r="E29" s="483">
        <v>1</v>
      </c>
      <c r="F29" s="484"/>
      <c r="G29" s="485"/>
      <c r="H29" s="486">
        <f>E29*G29</f>
        <v>0</v>
      </c>
      <c r="I29" s="487"/>
      <c r="J29" s="488"/>
      <c r="K29" s="489"/>
      <c r="L29" s="489"/>
      <c r="M29" s="489"/>
      <c r="N29" s="489"/>
      <c r="O29" s="488"/>
      <c r="P29" s="487"/>
    </row>
    <row r="30" spans="2:17" s="426" customFormat="1" ht="11.25" x14ac:dyDescent="0.2">
      <c r="B30" s="937"/>
      <c r="C30" s="943"/>
      <c r="D30" s="482"/>
      <c r="E30" s="483">
        <v>1</v>
      </c>
      <c r="F30" s="484"/>
      <c r="G30" s="485"/>
      <c r="H30" s="486">
        <f>E30*G30</f>
        <v>0</v>
      </c>
      <c r="I30" s="487"/>
      <c r="J30" s="488"/>
      <c r="K30" s="489"/>
      <c r="L30" s="489"/>
      <c r="M30" s="489"/>
      <c r="N30" s="489"/>
      <c r="O30" s="488"/>
      <c r="P30" s="487"/>
    </row>
    <row r="31" spans="2:17" s="426" customFormat="1" ht="11.25" x14ac:dyDescent="0.2">
      <c r="B31" s="937"/>
      <c r="C31" s="943"/>
      <c r="D31" s="482"/>
      <c r="E31" s="483">
        <v>1</v>
      </c>
      <c r="F31" s="484"/>
      <c r="G31" s="485"/>
      <c r="H31" s="486">
        <f>E31*G31</f>
        <v>0</v>
      </c>
      <c r="I31" s="487"/>
      <c r="J31" s="488"/>
      <c r="K31" s="489"/>
      <c r="L31" s="489"/>
      <c r="M31" s="489"/>
      <c r="N31" s="489"/>
      <c r="O31" s="488"/>
      <c r="P31" s="487"/>
    </row>
    <row r="32" spans="2:17" s="426" customFormat="1" ht="11.25" x14ac:dyDescent="0.2">
      <c r="B32" s="937"/>
      <c r="C32" s="943"/>
      <c r="D32" s="482"/>
      <c r="E32" s="483">
        <v>1</v>
      </c>
      <c r="F32" s="484"/>
      <c r="G32" s="485"/>
      <c r="H32" s="486">
        <f>E32*G32</f>
        <v>0</v>
      </c>
      <c r="I32" s="487"/>
      <c r="J32" s="488"/>
      <c r="K32" s="489"/>
      <c r="L32" s="489"/>
      <c r="M32" s="489"/>
      <c r="N32" s="489"/>
      <c r="O32" s="488"/>
      <c r="P32" s="487"/>
    </row>
    <row r="33" spans="2:17" s="426" customFormat="1" ht="11.25" x14ac:dyDescent="0.2">
      <c r="B33" s="937"/>
      <c r="C33" s="943"/>
      <c r="D33" s="482" t="s">
        <v>644</v>
      </c>
      <c r="E33" s="483">
        <v>-1</v>
      </c>
      <c r="F33" s="484"/>
      <c r="G33" s="485">
        <f>I19</f>
        <v>0</v>
      </c>
      <c r="H33" s="486">
        <f>E33*G33</f>
        <v>0</v>
      </c>
      <c r="I33" s="487"/>
      <c r="J33" s="488"/>
      <c r="K33" s="489"/>
      <c r="L33" s="489"/>
      <c r="M33" s="489"/>
      <c r="N33" s="489"/>
      <c r="O33" s="488"/>
      <c r="P33" s="487"/>
    </row>
    <row r="34" spans="2:17" s="426" customFormat="1" ht="11.25" x14ac:dyDescent="0.2">
      <c r="B34" s="937"/>
      <c r="C34" s="943"/>
      <c r="D34" s="482" t="s">
        <v>598</v>
      </c>
      <c r="E34" s="483">
        <v>1</v>
      </c>
      <c r="F34" s="484"/>
      <c r="G34" s="485"/>
      <c r="H34" s="486">
        <f t="shared" ref="H34" si="3">E34*G34</f>
        <v>0</v>
      </c>
      <c r="I34" s="905">
        <f>SUM(H28:H34)</f>
        <v>0</v>
      </c>
      <c r="J34" s="488">
        <f>I34*$J$5</f>
        <v>0</v>
      </c>
      <c r="K34" s="489">
        <f>SUM(I34:J34)*$K$5</f>
        <v>0</v>
      </c>
      <c r="L34" s="489">
        <f>SUM(I34:K34)*$L$5</f>
        <v>0</v>
      </c>
      <c r="M34" s="489">
        <f>SUM(I34:L34)*$M$5</f>
        <v>0</v>
      </c>
      <c r="N34" s="489">
        <f>SUM(I34:M34)*$N$5</f>
        <v>0</v>
      </c>
      <c r="O34" s="488">
        <f>SUM(I34:N34)</f>
        <v>0</v>
      </c>
      <c r="P34" s="487">
        <f>ROUND(O34,-3)</f>
        <v>0</v>
      </c>
      <c r="Q34" s="426" t="s">
        <v>600</v>
      </c>
    </row>
    <row r="35" spans="2:17" s="426" customFormat="1" ht="12" thickBot="1" x14ac:dyDescent="0.25">
      <c r="B35" s="938"/>
      <c r="C35" s="944"/>
      <c r="D35" s="444"/>
      <c r="E35" s="445"/>
      <c r="F35" s="446"/>
      <c r="G35" s="447"/>
      <c r="H35" s="448"/>
      <c r="I35" s="449"/>
      <c r="J35" s="450"/>
      <c r="K35" s="451"/>
      <c r="L35" s="451"/>
      <c r="M35" s="451"/>
      <c r="N35" s="451"/>
      <c r="O35" s="450"/>
      <c r="P35" s="449"/>
    </row>
    <row r="36" spans="2:17" s="420" customFormat="1" ht="11.25" x14ac:dyDescent="0.2">
      <c r="B36" s="936" t="str">
        <f>'Detailed Matrix'!E180</f>
        <v>Rainwater Harvesting</v>
      </c>
      <c r="C36" s="942" t="str">
        <f>'Detailed Matrix'!F180</f>
        <v>Stage 03 - Recycling &lt;70%</v>
      </c>
      <c r="D36" s="427" t="s">
        <v>556</v>
      </c>
      <c r="E36" s="428">
        <v>1</v>
      </c>
      <c r="F36" s="429"/>
      <c r="G36" s="430"/>
      <c r="H36" s="431">
        <f t="shared" ref="H36:H42" si="4">E36*G36</f>
        <v>0</v>
      </c>
      <c r="I36" s="432"/>
      <c r="J36" s="433"/>
      <c r="K36" s="434"/>
      <c r="L36" s="434"/>
      <c r="M36" s="434"/>
      <c r="N36" s="434"/>
      <c r="O36" s="433"/>
      <c r="P36" s="432"/>
    </row>
    <row r="37" spans="2:17" s="420" customFormat="1" ht="11.25" x14ac:dyDescent="0.2">
      <c r="B37" s="937"/>
      <c r="C37" s="943"/>
      <c r="D37" s="482"/>
      <c r="E37" s="483">
        <v>1</v>
      </c>
      <c r="F37" s="484"/>
      <c r="G37" s="485"/>
      <c r="H37" s="486">
        <f t="shared" si="4"/>
        <v>0</v>
      </c>
      <c r="I37" s="487"/>
      <c r="J37" s="488"/>
      <c r="K37" s="489"/>
      <c r="L37" s="489"/>
      <c r="M37" s="489"/>
      <c r="N37" s="489"/>
      <c r="O37" s="488"/>
      <c r="P37" s="487"/>
    </row>
    <row r="38" spans="2:17" s="420" customFormat="1" ht="11.25" x14ac:dyDescent="0.2">
      <c r="B38" s="937"/>
      <c r="C38" s="943"/>
      <c r="D38" s="482"/>
      <c r="E38" s="483">
        <v>1</v>
      </c>
      <c r="F38" s="484"/>
      <c r="G38" s="485"/>
      <c r="H38" s="486">
        <f t="shared" si="4"/>
        <v>0</v>
      </c>
      <c r="I38" s="487"/>
      <c r="J38" s="488"/>
      <c r="K38" s="489"/>
      <c r="L38" s="489"/>
      <c r="M38" s="489"/>
      <c r="N38" s="489"/>
      <c r="O38" s="488"/>
      <c r="P38" s="487"/>
    </row>
    <row r="39" spans="2:17" s="420" customFormat="1" ht="11.25" x14ac:dyDescent="0.2">
      <c r="B39" s="937"/>
      <c r="C39" s="943"/>
      <c r="D39" s="482"/>
      <c r="E39" s="483">
        <v>1</v>
      </c>
      <c r="F39" s="484"/>
      <c r="G39" s="485"/>
      <c r="H39" s="486">
        <f t="shared" si="4"/>
        <v>0</v>
      </c>
      <c r="I39" s="487"/>
      <c r="J39" s="488"/>
      <c r="K39" s="489"/>
      <c r="L39" s="489"/>
      <c r="M39" s="489"/>
      <c r="N39" s="489"/>
      <c r="O39" s="488"/>
      <c r="P39" s="487"/>
    </row>
    <row r="40" spans="2:17" s="420" customFormat="1" ht="11.25" x14ac:dyDescent="0.2">
      <c r="B40" s="937"/>
      <c r="C40" s="943"/>
      <c r="D40" s="482"/>
      <c r="E40" s="483">
        <v>1</v>
      </c>
      <c r="F40" s="484"/>
      <c r="G40" s="485"/>
      <c r="H40" s="486">
        <f t="shared" si="4"/>
        <v>0</v>
      </c>
      <c r="I40" s="487"/>
      <c r="J40" s="488"/>
      <c r="K40" s="489"/>
      <c r="L40" s="489"/>
      <c r="M40" s="489"/>
      <c r="N40" s="489"/>
      <c r="O40" s="488"/>
      <c r="P40" s="487"/>
    </row>
    <row r="41" spans="2:17" s="420" customFormat="1" ht="11.25" x14ac:dyDescent="0.2">
      <c r="B41" s="937"/>
      <c r="C41" s="943"/>
      <c r="D41" s="482" t="s">
        <v>645</v>
      </c>
      <c r="E41" s="483">
        <v>-1</v>
      </c>
      <c r="F41" s="484"/>
      <c r="G41" s="485">
        <f>I27+I12</f>
        <v>0</v>
      </c>
      <c r="H41" s="486">
        <f t="shared" si="4"/>
        <v>0</v>
      </c>
      <c r="I41" s="487"/>
      <c r="J41" s="488"/>
      <c r="K41" s="489"/>
      <c r="L41" s="489"/>
      <c r="M41" s="489"/>
      <c r="N41" s="489"/>
      <c r="O41" s="488"/>
      <c r="P41" s="487"/>
    </row>
    <row r="42" spans="2:17" s="420" customFormat="1" ht="11.25" x14ac:dyDescent="0.2">
      <c r="B42" s="937"/>
      <c r="C42" s="943"/>
      <c r="D42" s="482" t="s">
        <v>598</v>
      </c>
      <c r="E42" s="483"/>
      <c r="F42" s="484"/>
      <c r="G42" s="485"/>
      <c r="H42" s="486">
        <f t="shared" si="4"/>
        <v>0</v>
      </c>
      <c r="I42" s="875">
        <f>SUM(H36:H42)</f>
        <v>0</v>
      </c>
      <c r="J42" s="488">
        <f>I42*$J$5</f>
        <v>0</v>
      </c>
      <c r="K42" s="489">
        <f>SUM(I42:J42)*$K$5</f>
        <v>0</v>
      </c>
      <c r="L42" s="489">
        <f>SUM(I42:K42)*$L$5</f>
        <v>0</v>
      </c>
      <c r="M42" s="489">
        <f>SUM(I42:L42)*$M$5</f>
        <v>0</v>
      </c>
      <c r="N42" s="489">
        <f>SUM(I42:M42)*$N$5</f>
        <v>0</v>
      </c>
      <c r="O42" s="488">
        <f>SUM(I42:N42)</f>
        <v>0</v>
      </c>
      <c r="P42" s="487">
        <f>ROUND(O42,-3)</f>
        <v>0</v>
      </c>
      <c r="Q42" s="420" t="s">
        <v>600</v>
      </c>
    </row>
    <row r="43" spans="2:17" s="420" customFormat="1" ht="11.25" x14ac:dyDescent="0.2">
      <c r="B43" s="937"/>
      <c r="C43" s="943"/>
      <c r="D43" s="482"/>
      <c r="E43" s="483"/>
      <c r="F43" s="484"/>
      <c r="G43" s="485"/>
      <c r="H43" s="486"/>
      <c r="I43" s="487"/>
      <c r="J43" s="488"/>
      <c r="K43" s="489"/>
      <c r="L43" s="489"/>
      <c r="M43" s="489"/>
      <c r="N43" s="489"/>
      <c r="O43" s="488"/>
      <c r="P43" s="487"/>
    </row>
    <row r="44" spans="2:17" s="420" customFormat="1" ht="11.25" x14ac:dyDescent="0.2">
      <c r="B44" s="937"/>
      <c r="C44" s="943"/>
      <c r="D44" s="482" t="s">
        <v>557</v>
      </c>
      <c r="E44" s="483">
        <v>1</v>
      </c>
      <c r="F44" s="484"/>
      <c r="G44" s="485"/>
      <c r="H44" s="486">
        <f>E44*G44</f>
        <v>0</v>
      </c>
      <c r="I44" s="487"/>
      <c r="J44" s="488"/>
      <c r="K44" s="489"/>
      <c r="L44" s="489"/>
      <c r="M44" s="489"/>
      <c r="N44" s="489"/>
      <c r="O44" s="488"/>
      <c r="P44" s="487"/>
    </row>
    <row r="45" spans="2:17" s="420" customFormat="1" ht="11.25" x14ac:dyDescent="0.2">
      <c r="B45" s="937"/>
      <c r="C45" s="943"/>
      <c r="D45" s="482"/>
      <c r="E45" s="483">
        <v>1</v>
      </c>
      <c r="F45" s="484"/>
      <c r="G45" s="485"/>
      <c r="H45" s="486">
        <f>E45*G45</f>
        <v>0</v>
      </c>
      <c r="I45" s="487"/>
      <c r="J45" s="488"/>
      <c r="K45" s="489"/>
      <c r="L45" s="489"/>
      <c r="M45" s="489"/>
      <c r="N45" s="489"/>
      <c r="O45" s="488"/>
      <c r="P45" s="487"/>
    </row>
    <row r="46" spans="2:17" s="420" customFormat="1" ht="11.25" x14ac:dyDescent="0.2">
      <c r="B46" s="937"/>
      <c r="C46" s="943"/>
      <c r="D46" s="482"/>
      <c r="E46" s="483">
        <v>1</v>
      </c>
      <c r="F46" s="484"/>
      <c r="G46" s="485"/>
      <c r="H46" s="486">
        <f>E46*G46</f>
        <v>0</v>
      </c>
      <c r="I46" s="487"/>
      <c r="J46" s="488"/>
      <c r="K46" s="489"/>
      <c r="L46" s="489"/>
      <c r="M46" s="489"/>
      <c r="N46" s="489"/>
      <c r="O46" s="488"/>
      <c r="P46" s="487"/>
    </row>
    <row r="47" spans="2:17" s="420" customFormat="1" ht="11.25" x14ac:dyDescent="0.2">
      <c r="B47" s="937"/>
      <c r="C47" s="943"/>
      <c r="D47" s="482"/>
      <c r="E47" s="483">
        <v>1</v>
      </c>
      <c r="F47" s="484"/>
      <c r="G47" s="485"/>
      <c r="H47" s="486">
        <f>E47*G47</f>
        <v>0</v>
      </c>
      <c r="I47" s="487"/>
      <c r="J47" s="488"/>
      <c r="K47" s="489"/>
      <c r="L47" s="489"/>
      <c r="M47" s="489"/>
      <c r="N47" s="489"/>
      <c r="O47" s="488"/>
      <c r="P47" s="487"/>
    </row>
    <row r="48" spans="2:17" s="420" customFormat="1" ht="11.25" x14ac:dyDescent="0.2">
      <c r="B48" s="937"/>
      <c r="C48" s="943"/>
      <c r="D48" s="482" t="s">
        <v>645</v>
      </c>
      <c r="E48" s="483">
        <v>-1</v>
      </c>
      <c r="F48" s="484"/>
      <c r="G48" s="485">
        <f>I34+I19</f>
        <v>0</v>
      </c>
      <c r="H48" s="486">
        <f>E48*G48</f>
        <v>0</v>
      </c>
      <c r="I48" s="487"/>
      <c r="J48" s="488"/>
      <c r="K48" s="489"/>
      <c r="L48" s="489"/>
      <c r="M48" s="489"/>
      <c r="N48" s="489"/>
      <c r="O48" s="488"/>
      <c r="P48" s="487"/>
    </row>
    <row r="49" spans="2:17" s="420" customFormat="1" ht="11.25" x14ac:dyDescent="0.2">
      <c r="B49" s="937"/>
      <c r="C49" s="943"/>
      <c r="D49" s="482" t="s">
        <v>598</v>
      </c>
      <c r="E49" s="483">
        <v>1</v>
      </c>
      <c r="F49" s="484"/>
      <c r="G49" s="485"/>
      <c r="H49" s="486">
        <f t="shared" ref="H49" si="5">E49*G49</f>
        <v>0</v>
      </c>
      <c r="I49" s="905">
        <f>SUM(H43:H49)</f>
        <v>0</v>
      </c>
      <c r="J49" s="488">
        <f>I49*$J$5</f>
        <v>0</v>
      </c>
      <c r="K49" s="489">
        <f>SUM(I49:J49)*$K$5</f>
        <v>0</v>
      </c>
      <c r="L49" s="489">
        <f>SUM(I49:K49)*$L$5</f>
        <v>0</v>
      </c>
      <c r="M49" s="489">
        <f>SUM(I49:L49)*$M$5</f>
        <v>0</v>
      </c>
      <c r="N49" s="489">
        <f>SUM(I49:M49)*$N$5</f>
        <v>0</v>
      </c>
      <c r="O49" s="488">
        <f>SUM(I49:N49)</f>
        <v>0</v>
      </c>
      <c r="P49" s="487">
        <f>ROUND(O49,-3)</f>
        <v>0</v>
      </c>
      <c r="Q49" s="420" t="s">
        <v>600</v>
      </c>
    </row>
    <row r="50" spans="2:17" s="420" customFormat="1" ht="12" thickBot="1" x14ac:dyDescent="0.25">
      <c r="B50" s="938"/>
      <c r="C50" s="944"/>
      <c r="D50" s="444"/>
      <c r="E50" s="445"/>
      <c r="F50" s="446"/>
      <c r="G50" s="447"/>
      <c r="H50" s="448"/>
      <c r="I50" s="449"/>
      <c r="J50" s="450"/>
      <c r="K50" s="451"/>
      <c r="L50" s="451"/>
      <c r="M50" s="451"/>
      <c r="N50" s="451"/>
      <c r="O50" s="450"/>
      <c r="P50" s="449"/>
    </row>
    <row r="51" spans="2:17" s="426" customFormat="1" ht="11.25" x14ac:dyDescent="0.2">
      <c r="B51" s="936" t="str">
        <f>'Detailed Matrix'!E181</f>
        <v>Rainwater Harvesting</v>
      </c>
      <c r="C51" s="942" t="str">
        <f>'Detailed Matrix'!F181</f>
        <v>Stage 04 - Recycling &lt;70%</v>
      </c>
      <c r="D51" s="427" t="s">
        <v>556</v>
      </c>
      <c r="E51" s="428">
        <v>1</v>
      </c>
      <c r="F51" s="429"/>
      <c r="G51" s="430"/>
      <c r="H51" s="431">
        <f t="shared" ref="H51:H57" si="6">E51*G51</f>
        <v>0</v>
      </c>
      <c r="I51" s="432"/>
      <c r="J51" s="433"/>
      <c r="K51" s="434"/>
      <c r="L51" s="434"/>
      <c r="M51" s="434"/>
      <c r="N51" s="434"/>
      <c r="O51" s="433"/>
      <c r="P51" s="432"/>
    </row>
    <row r="52" spans="2:17" s="426" customFormat="1" ht="11.25" x14ac:dyDescent="0.2">
      <c r="B52" s="937"/>
      <c r="C52" s="943"/>
      <c r="D52" s="482"/>
      <c r="E52" s="483">
        <v>1</v>
      </c>
      <c r="F52" s="484"/>
      <c r="G52" s="485"/>
      <c r="H52" s="486">
        <f t="shared" si="6"/>
        <v>0</v>
      </c>
      <c r="I52" s="487"/>
      <c r="J52" s="488"/>
      <c r="K52" s="489"/>
      <c r="L52" s="489"/>
      <c r="M52" s="489"/>
      <c r="N52" s="489"/>
      <c r="O52" s="488"/>
      <c r="P52" s="487"/>
    </row>
    <row r="53" spans="2:17" s="426" customFormat="1" ht="11.25" x14ac:dyDescent="0.2">
      <c r="B53" s="937"/>
      <c r="C53" s="943"/>
      <c r="D53" s="482"/>
      <c r="E53" s="483">
        <v>1</v>
      </c>
      <c r="F53" s="484"/>
      <c r="G53" s="485"/>
      <c r="H53" s="486">
        <f t="shared" si="6"/>
        <v>0</v>
      </c>
      <c r="I53" s="487"/>
      <c r="J53" s="488"/>
      <c r="K53" s="489"/>
      <c r="L53" s="489"/>
      <c r="M53" s="489"/>
      <c r="N53" s="489"/>
      <c r="O53" s="488"/>
      <c r="P53" s="487"/>
    </row>
    <row r="54" spans="2:17" s="426" customFormat="1" ht="11.25" x14ac:dyDescent="0.2">
      <c r="B54" s="937"/>
      <c r="C54" s="943"/>
      <c r="D54" s="482"/>
      <c r="E54" s="483">
        <v>1</v>
      </c>
      <c r="F54" s="484"/>
      <c r="G54" s="485"/>
      <c r="H54" s="486">
        <f t="shared" si="6"/>
        <v>0</v>
      </c>
      <c r="I54" s="487"/>
      <c r="J54" s="488"/>
      <c r="K54" s="489"/>
      <c r="L54" s="489"/>
      <c r="M54" s="489"/>
      <c r="N54" s="489"/>
      <c r="O54" s="488"/>
      <c r="P54" s="487"/>
    </row>
    <row r="55" spans="2:17" s="426" customFormat="1" ht="11.25" x14ac:dyDescent="0.2">
      <c r="B55" s="937"/>
      <c r="C55" s="943"/>
      <c r="D55" s="482"/>
      <c r="E55" s="483">
        <v>1</v>
      </c>
      <c r="F55" s="484"/>
      <c r="G55" s="485"/>
      <c r="H55" s="486">
        <f t="shared" si="6"/>
        <v>0</v>
      </c>
      <c r="I55" s="487"/>
      <c r="J55" s="488"/>
      <c r="K55" s="489"/>
      <c r="L55" s="489"/>
      <c r="M55" s="489"/>
      <c r="N55" s="489"/>
      <c r="O55" s="488"/>
      <c r="P55" s="487"/>
    </row>
    <row r="56" spans="2:17" s="426" customFormat="1" ht="11.25" x14ac:dyDescent="0.2">
      <c r="B56" s="937"/>
      <c r="C56" s="943"/>
      <c r="D56" s="482" t="s">
        <v>646</v>
      </c>
      <c r="E56" s="483">
        <v>-1</v>
      </c>
      <c r="F56" s="484"/>
      <c r="G56" s="485">
        <f>I42+I27+I12</f>
        <v>0</v>
      </c>
      <c r="H56" s="486">
        <f t="shared" si="6"/>
        <v>0</v>
      </c>
      <c r="I56" s="487"/>
      <c r="J56" s="488"/>
      <c r="K56" s="489"/>
      <c r="L56" s="489"/>
      <c r="M56" s="489"/>
      <c r="N56" s="489"/>
      <c r="O56" s="488"/>
      <c r="P56" s="487"/>
    </row>
    <row r="57" spans="2:17" s="426" customFormat="1" ht="11.25" x14ac:dyDescent="0.2">
      <c r="B57" s="937"/>
      <c r="C57" s="943"/>
      <c r="D57" s="482" t="s">
        <v>598</v>
      </c>
      <c r="E57" s="483"/>
      <c r="F57" s="484"/>
      <c r="G57" s="485"/>
      <c r="H57" s="486">
        <f t="shared" si="6"/>
        <v>0</v>
      </c>
      <c r="I57" s="875">
        <f>SUM(H51:H57)</f>
        <v>0</v>
      </c>
      <c r="J57" s="488">
        <f>I57*$J$5</f>
        <v>0</v>
      </c>
      <c r="K57" s="489">
        <f>SUM(I57:J57)*$K$5</f>
        <v>0</v>
      </c>
      <c r="L57" s="489">
        <f>SUM(I57:K57)*$L$5</f>
        <v>0</v>
      </c>
      <c r="M57" s="489">
        <f>SUM(I57:L57)*$M$5</f>
        <v>0</v>
      </c>
      <c r="N57" s="489">
        <f>SUM(I57:M57)*$N$5</f>
        <v>0</v>
      </c>
      <c r="O57" s="488">
        <f>SUM(I57:N57)</f>
        <v>0</v>
      </c>
      <c r="P57" s="487">
        <f>ROUND(O57,-3)</f>
        <v>0</v>
      </c>
      <c r="Q57" s="426" t="s">
        <v>600</v>
      </c>
    </row>
    <row r="58" spans="2:17" s="426" customFormat="1" ht="11.25" x14ac:dyDescent="0.2">
      <c r="B58" s="937"/>
      <c r="C58" s="943"/>
      <c r="D58" s="482"/>
      <c r="E58" s="483"/>
      <c r="F58" s="484"/>
      <c r="G58" s="485"/>
      <c r="H58" s="486"/>
      <c r="I58" s="487"/>
      <c r="J58" s="488"/>
      <c r="K58" s="489"/>
      <c r="L58" s="489"/>
      <c r="M58" s="489"/>
      <c r="N58" s="489"/>
      <c r="O58" s="488"/>
      <c r="P58" s="487"/>
    </row>
    <row r="59" spans="2:17" s="426" customFormat="1" ht="11.25" x14ac:dyDescent="0.2">
      <c r="B59" s="937"/>
      <c r="C59" s="943"/>
      <c r="D59" s="482" t="s">
        <v>557</v>
      </c>
      <c r="E59" s="483">
        <v>1</v>
      </c>
      <c r="F59" s="484"/>
      <c r="G59" s="485"/>
      <c r="H59" s="486">
        <f>E59*G59</f>
        <v>0</v>
      </c>
      <c r="I59" s="487"/>
      <c r="J59" s="488"/>
      <c r="K59" s="489"/>
      <c r="L59" s="489"/>
      <c r="M59" s="489"/>
      <c r="N59" s="489"/>
      <c r="O59" s="488"/>
      <c r="P59" s="487"/>
    </row>
    <row r="60" spans="2:17" s="426" customFormat="1" ht="11.25" x14ac:dyDescent="0.2">
      <c r="B60" s="937"/>
      <c r="C60" s="943"/>
      <c r="D60" s="482"/>
      <c r="E60" s="483">
        <v>1</v>
      </c>
      <c r="F60" s="484"/>
      <c r="G60" s="485"/>
      <c r="H60" s="486">
        <f>E60*G60</f>
        <v>0</v>
      </c>
      <c r="I60" s="487"/>
      <c r="J60" s="488"/>
      <c r="K60" s="489"/>
      <c r="L60" s="489"/>
      <c r="M60" s="489"/>
      <c r="N60" s="489"/>
      <c r="O60" s="488"/>
      <c r="P60" s="487"/>
    </row>
    <row r="61" spans="2:17" s="426" customFormat="1" ht="11.25" x14ac:dyDescent="0.2">
      <c r="B61" s="937"/>
      <c r="C61" s="943"/>
      <c r="D61" s="482"/>
      <c r="E61" s="483">
        <v>1</v>
      </c>
      <c r="F61" s="484"/>
      <c r="G61" s="485"/>
      <c r="H61" s="486">
        <f>E61*G61</f>
        <v>0</v>
      </c>
      <c r="I61" s="487"/>
      <c r="J61" s="488"/>
      <c r="K61" s="489"/>
      <c r="L61" s="489"/>
      <c r="M61" s="489"/>
      <c r="N61" s="489"/>
      <c r="O61" s="488"/>
      <c r="P61" s="487"/>
    </row>
    <row r="62" spans="2:17" s="426" customFormat="1" ht="11.25" x14ac:dyDescent="0.2">
      <c r="B62" s="937"/>
      <c r="C62" s="943"/>
      <c r="D62" s="482"/>
      <c r="E62" s="483">
        <v>1</v>
      </c>
      <c r="F62" s="484"/>
      <c r="G62" s="485"/>
      <c r="H62" s="486">
        <f>E62*G62</f>
        <v>0</v>
      </c>
      <c r="I62" s="487"/>
      <c r="J62" s="488"/>
      <c r="K62" s="489"/>
      <c r="L62" s="489"/>
      <c r="M62" s="489"/>
      <c r="N62" s="489"/>
      <c r="O62" s="488"/>
      <c r="P62" s="487"/>
    </row>
    <row r="63" spans="2:17" s="426" customFormat="1" ht="11.25" x14ac:dyDescent="0.2">
      <c r="B63" s="937"/>
      <c r="C63" s="943"/>
      <c r="D63" s="482" t="s">
        <v>646</v>
      </c>
      <c r="E63" s="483">
        <v>-1</v>
      </c>
      <c r="F63" s="484"/>
      <c r="G63" s="485">
        <f>I49+I34+I19</f>
        <v>0</v>
      </c>
      <c r="H63" s="486">
        <f>E63*G63</f>
        <v>0</v>
      </c>
      <c r="I63" s="487"/>
      <c r="J63" s="488"/>
      <c r="K63" s="489"/>
      <c r="L63" s="489"/>
      <c r="M63" s="489"/>
      <c r="N63" s="489"/>
      <c r="O63" s="488"/>
      <c r="P63" s="487"/>
    </row>
    <row r="64" spans="2:17" s="426" customFormat="1" ht="11.25" x14ac:dyDescent="0.2">
      <c r="B64" s="937"/>
      <c r="C64" s="943"/>
      <c r="D64" s="482" t="s">
        <v>598</v>
      </c>
      <c r="E64" s="483">
        <v>1</v>
      </c>
      <c r="F64" s="484"/>
      <c r="G64" s="485"/>
      <c r="H64" s="486">
        <f t="shared" ref="H64" si="7">E64*G64</f>
        <v>0</v>
      </c>
      <c r="I64" s="905">
        <f>SUM(H58:H64)</f>
        <v>0</v>
      </c>
      <c r="J64" s="488">
        <f>I64*$J$5</f>
        <v>0</v>
      </c>
      <c r="K64" s="489">
        <f>SUM(I64:J64)*$K$5</f>
        <v>0</v>
      </c>
      <c r="L64" s="489">
        <f>SUM(I64:K64)*$L$5</f>
        <v>0</v>
      </c>
      <c r="M64" s="489">
        <f>SUM(I64:L64)*$M$5</f>
        <v>0</v>
      </c>
      <c r="N64" s="489">
        <f>SUM(I64:M64)*$N$5</f>
        <v>0</v>
      </c>
      <c r="O64" s="488">
        <f>SUM(I64:N64)</f>
        <v>0</v>
      </c>
      <c r="P64" s="487">
        <f>ROUND(O64,-3)</f>
        <v>0</v>
      </c>
      <c r="Q64" s="426" t="s">
        <v>600</v>
      </c>
    </row>
    <row r="66" spans="2:17" s="420" customFormat="1" ht="11.25" x14ac:dyDescent="0.2">
      <c r="B66" s="936" t="str">
        <f>'Detailed Matrix'!E182</f>
        <v>Greywater Recycling</v>
      </c>
      <c r="C66" s="942" t="str">
        <f>'Detailed Matrix'!F182</f>
        <v>Stage 01 - Greywater Recycling &lt;25%</v>
      </c>
      <c r="D66" s="427" t="s">
        <v>556</v>
      </c>
      <c r="E66" s="428">
        <v>1</v>
      </c>
      <c r="F66" s="429"/>
      <c r="G66" s="430"/>
      <c r="H66" s="431">
        <f t="shared" ref="H66:H72" si="8">E66*G66</f>
        <v>0</v>
      </c>
      <c r="I66" s="432"/>
      <c r="J66" s="433"/>
      <c r="K66" s="434"/>
      <c r="L66" s="434"/>
      <c r="M66" s="434"/>
      <c r="N66" s="434"/>
      <c r="O66" s="433"/>
      <c r="P66" s="432"/>
    </row>
    <row r="67" spans="2:17" s="420" customFormat="1" ht="11.25" x14ac:dyDescent="0.2">
      <c r="B67" s="937"/>
      <c r="C67" s="943"/>
      <c r="D67" s="482"/>
      <c r="E67" s="483">
        <v>1</v>
      </c>
      <c r="F67" s="484"/>
      <c r="G67" s="485"/>
      <c r="H67" s="486">
        <f t="shared" si="8"/>
        <v>0</v>
      </c>
      <c r="I67" s="487"/>
      <c r="J67" s="488"/>
      <c r="K67" s="489"/>
      <c r="L67" s="489"/>
      <c r="M67" s="489"/>
      <c r="N67" s="489"/>
      <c r="O67" s="488"/>
      <c r="P67" s="487"/>
    </row>
    <row r="68" spans="2:17" s="420" customFormat="1" ht="11.25" x14ac:dyDescent="0.2">
      <c r="B68" s="937"/>
      <c r="C68" s="943"/>
      <c r="D68" s="482"/>
      <c r="E68" s="483">
        <v>1</v>
      </c>
      <c r="F68" s="484"/>
      <c r="G68" s="485"/>
      <c r="H68" s="486">
        <f t="shared" si="8"/>
        <v>0</v>
      </c>
      <c r="I68" s="487"/>
      <c r="J68" s="488"/>
      <c r="K68" s="489"/>
      <c r="L68" s="489"/>
      <c r="M68" s="489"/>
      <c r="N68" s="489"/>
      <c r="O68" s="488"/>
      <c r="P68" s="487"/>
    </row>
    <row r="69" spans="2:17" s="420" customFormat="1" ht="11.25" x14ac:dyDescent="0.2">
      <c r="B69" s="937"/>
      <c r="C69" s="943"/>
      <c r="D69" s="482"/>
      <c r="E69" s="483">
        <v>1</v>
      </c>
      <c r="F69" s="484"/>
      <c r="G69" s="485"/>
      <c r="H69" s="486">
        <f t="shared" si="8"/>
        <v>0</v>
      </c>
      <c r="I69" s="487"/>
      <c r="J69" s="488"/>
      <c r="K69" s="489"/>
      <c r="L69" s="489"/>
      <c r="M69" s="489"/>
      <c r="N69" s="489"/>
      <c r="O69" s="488"/>
      <c r="P69" s="487"/>
    </row>
    <row r="70" spans="2:17" s="420" customFormat="1" ht="11.25" x14ac:dyDescent="0.2">
      <c r="B70" s="937"/>
      <c r="C70" s="943"/>
      <c r="D70" s="482"/>
      <c r="E70" s="483">
        <v>1</v>
      </c>
      <c r="F70" s="484"/>
      <c r="G70" s="485"/>
      <c r="H70" s="486">
        <f t="shared" si="8"/>
        <v>0</v>
      </c>
      <c r="I70" s="487"/>
      <c r="J70" s="488"/>
      <c r="K70" s="489"/>
      <c r="L70" s="489"/>
      <c r="M70" s="489"/>
      <c r="N70" s="489"/>
      <c r="O70" s="488"/>
      <c r="P70" s="487"/>
    </row>
    <row r="71" spans="2:17" s="420" customFormat="1" ht="11.25" x14ac:dyDescent="0.2">
      <c r="B71" s="937"/>
      <c r="C71" s="943"/>
      <c r="D71" s="482"/>
      <c r="E71" s="483">
        <v>1</v>
      </c>
      <c r="F71" s="484"/>
      <c r="G71" s="485"/>
      <c r="H71" s="486">
        <f t="shared" si="8"/>
        <v>0</v>
      </c>
      <c r="I71" s="487"/>
      <c r="J71" s="488"/>
      <c r="K71" s="489"/>
      <c r="L71" s="489"/>
      <c r="M71" s="489"/>
      <c r="N71" s="489"/>
      <c r="O71" s="488"/>
      <c r="P71" s="487"/>
    </row>
    <row r="72" spans="2:17" s="420" customFormat="1" ht="11.25" x14ac:dyDescent="0.2">
      <c r="B72" s="937"/>
      <c r="C72" s="943"/>
      <c r="D72" s="482" t="s">
        <v>598</v>
      </c>
      <c r="E72" s="483"/>
      <c r="F72" s="484"/>
      <c r="G72" s="485"/>
      <c r="H72" s="486">
        <f t="shared" si="8"/>
        <v>0</v>
      </c>
      <c r="I72" s="875">
        <f>SUM(H66:H72)</f>
        <v>0</v>
      </c>
      <c r="J72" s="488">
        <f>I72*$J$5</f>
        <v>0</v>
      </c>
      <c r="K72" s="489">
        <f>SUM(I72:J72)*$K$5</f>
        <v>0</v>
      </c>
      <c r="L72" s="489">
        <f>SUM(I72:K72)*$L$5</f>
        <v>0</v>
      </c>
      <c r="M72" s="489">
        <f>SUM(I72:L72)*$M$5</f>
        <v>0</v>
      </c>
      <c r="N72" s="489">
        <f>SUM(I72:M72)*$N$5</f>
        <v>0</v>
      </c>
      <c r="O72" s="488">
        <f>SUM(I72:N72)</f>
        <v>0</v>
      </c>
      <c r="P72" s="487">
        <f>ROUND(O72,-3)</f>
        <v>0</v>
      </c>
      <c r="Q72" s="420" t="s">
        <v>600</v>
      </c>
    </row>
    <row r="73" spans="2:17" s="420" customFormat="1" ht="11.25" x14ac:dyDescent="0.2">
      <c r="B73" s="937"/>
      <c r="C73" s="943"/>
      <c r="D73" s="482"/>
      <c r="E73" s="483"/>
      <c r="F73" s="484"/>
      <c r="G73" s="485"/>
      <c r="H73" s="486"/>
      <c r="I73" s="487"/>
      <c r="J73" s="488"/>
      <c r="K73" s="489"/>
      <c r="L73" s="489"/>
      <c r="M73" s="489"/>
      <c r="N73" s="489"/>
      <c r="O73" s="488"/>
      <c r="P73" s="487"/>
    </row>
    <row r="74" spans="2:17" s="420" customFormat="1" ht="11.25" x14ac:dyDescent="0.2">
      <c r="B74" s="937"/>
      <c r="C74" s="943"/>
      <c r="D74" s="482" t="s">
        <v>557</v>
      </c>
      <c r="E74" s="483">
        <v>1</v>
      </c>
      <c r="F74" s="484"/>
      <c r="G74" s="485"/>
      <c r="H74" s="486">
        <f>E74*G74</f>
        <v>0</v>
      </c>
      <c r="I74" s="487"/>
      <c r="J74" s="488"/>
      <c r="K74" s="489"/>
      <c r="L74" s="489"/>
      <c r="M74" s="489"/>
      <c r="N74" s="489"/>
      <c r="O74" s="488"/>
      <c r="P74" s="487"/>
    </row>
    <row r="75" spans="2:17" s="420" customFormat="1" ht="11.25" x14ac:dyDescent="0.2">
      <c r="B75" s="937"/>
      <c r="C75" s="943"/>
      <c r="D75" s="482"/>
      <c r="E75" s="483">
        <v>1</v>
      </c>
      <c r="F75" s="484"/>
      <c r="G75" s="485"/>
      <c r="H75" s="486">
        <f>E75*G75</f>
        <v>0</v>
      </c>
      <c r="I75" s="487"/>
      <c r="J75" s="488"/>
      <c r="K75" s="489"/>
      <c r="L75" s="489"/>
      <c r="M75" s="489"/>
      <c r="N75" s="489"/>
      <c r="O75" s="488"/>
      <c r="P75" s="487"/>
    </row>
    <row r="76" spans="2:17" s="420" customFormat="1" ht="11.25" x14ac:dyDescent="0.2">
      <c r="B76" s="937"/>
      <c r="C76" s="943"/>
      <c r="D76" s="482"/>
      <c r="E76" s="483">
        <v>1</v>
      </c>
      <c r="F76" s="484"/>
      <c r="G76" s="485"/>
      <c r="H76" s="486">
        <f>E76*G76</f>
        <v>0</v>
      </c>
      <c r="I76" s="487"/>
      <c r="J76" s="488"/>
      <c r="K76" s="489"/>
      <c r="L76" s="489"/>
      <c r="M76" s="489"/>
      <c r="N76" s="489"/>
      <c r="O76" s="488"/>
      <c r="P76" s="487"/>
    </row>
    <row r="77" spans="2:17" s="420" customFormat="1" ht="11.25" x14ac:dyDescent="0.2">
      <c r="B77" s="937"/>
      <c r="C77" s="943"/>
      <c r="D77" s="482"/>
      <c r="E77" s="483">
        <v>1</v>
      </c>
      <c r="F77" s="484"/>
      <c r="G77" s="485"/>
      <c r="H77" s="486">
        <f>E77*G77</f>
        <v>0</v>
      </c>
      <c r="I77" s="487"/>
      <c r="J77" s="488"/>
      <c r="K77" s="489"/>
      <c r="L77" s="489"/>
      <c r="M77" s="489"/>
      <c r="N77" s="489"/>
      <c r="O77" s="488"/>
      <c r="P77" s="487"/>
    </row>
    <row r="78" spans="2:17" s="420" customFormat="1" ht="11.25" x14ac:dyDescent="0.2">
      <c r="B78" s="937"/>
      <c r="C78" s="943"/>
      <c r="D78" s="482"/>
      <c r="E78" s="483">
        <v>1</v>
      </c>
      <c r="F78" s="484"/>
      <c r="G78" s="485"/>
      <c r="H78" s="486">
        <f>E78*G78</f>
        <v>0</v>
      </c>
      <c r="I78" s="487"/>
      <c r="J78" s="488"/>
      <c r="K78" s="489"/>
      <c r="L78" s="489"/>
      <c r="M78" s="489"/>
      <c r="N78" s="489"/>
      <c r="O78" s="488"/>
      <c r="P78" s="487"/>
    </row>
    <row r="79" spans="2:17" s="420" customFormat="1" ht="11.25" x14ac:dyDescent="0.2">
      <c r="B79" s="937"/>
      <c r="C79" s="943"/>
      <c r="D79" s="482" t="s">
        <v>598</v>
      </c>
      <c r="E79" s="483">
        <v>1</v>
      </c>
      <c r="F79" s="484"/>
      <c r="G79" s="485"/>
      <c r="H79" s="486">
        <f t="shared" ref="H79" si="9">E79*G79</f>
        <v>0</v>
      </c>
      <c r="I79" s="905">
        <f>SUM(H73:H79)</f>
        <v>0</v>
      </c>
      <c r="J79" s="488">
        <f>I79*$J$5</f>
        <v>0</v>
      </c>
      <c r="K79" s="489">
        <f>SUM(I79:J79)*$K$5</f>
        <v>0</v>
      </c>
      <c r="L79" s="489">
        <f>SUM(I79:K79)*$L$5</f>
        <v>0</v>
      </c>
      <c r="M79" s="489">
        <f>SUM(I79:L79)*$M$5</f>
        <v>0</v>
      </c>
      <c r="N79" s="489">
        <f>SUM(I79:M79)*$N$5</f>
        <v>0</v>
      </c>
      <c r="O79" s="488">
        <f>SUM(I79:N79)</f>
        <v>0</v>
      </c>
      <c r="P79" s="487">
        <f>ROUND(O79,-3)</f>
        <v>0</v>
      </c>
      <c r="Q79" s="420" t="s">
        <v>600</v>
      </c>
    </row>
    <row r="81" spans="2:17" s="426" customFormat="1" ht="11.25" x14ac:dyDescent="0.2">
      <c r="B81" s="936" t="str">
        <f>'Detailed Matrix'!E183</f>
        <v>Greywater Recycling</v>
      </c>
      <c r="C81" s="942" t="str">
        <f>'Detailed Matrix'!F183</f>
        <v>Stage 02 - Greywater Recycling &lt;50%</v>
      </c>
      <c r="D81" s="427" t="s">
        <v>556</v>
      </c>
      <c r="E81" s="428">
        <v>1</v>
      </c>
      <c r="F81" s="429"/>
      <c r="G81" s="430"/>
      <c r="H81" s="431">
        <f t="shared" ref="H81:H87" si="10">E81*G81</f>
        <v>0</v>
      </c>
      <c r="I81" s="432"/>
      <c r="J81" s="433"/>
      <c r="K81" s="434"/>
      <c r="L81" s="434"/>
      <c r="M81" s="434"/>
      <c r="N81" s="434"/>
      <c r="O81" s="433"/>
      <c r="P81" s="432"/>
    </row>
    <row r="82" spans="2:17" s="426" customFormat="1" ht="11.25" x14ac:dyDescent="0.2">
      <c r="B82" s="937"/>
      <c r="C82" s="943"/>
      <c r="D82" s="482"/>
      <c r="E82" s="483">
        <v>1</v>
      </c>
      <c r="F82" s="484"/>
      <c r="G82" s="485"/>
      <c r="H82" s="486">
        <f t="shared" si="10"/>
        <v>0</v>
      </c>
      <c r="I82" s="487"/>
      <c r="J82" s="488"/>
      <c r="K82" s="489"/>
      <c r="L82" s="489"/>
      <c r="M82" s="489"/>
      <c r="N82" s="489"/>
      <c r="O82" s="488"/>
      <c r="P82" s="487"/>
    </row>
    <row r="83" spans="2:17" s="426" customFormat="1" ht="11.25" x14ac:dyDescent="0.2">
      <c r="B83" s="937"/>
      <c r="C83" s="943"/>
      <c r="D83" s="482"/>
      <c r="E83" s="483">
        <v>1</v>
      </c>
      <c r="F83" s="484"/>
      <c r="G83" s="485"/>
      <c r="H83" s="486">
        <f t="shared" si="10"/>
        <v>0</v>
      </c>
      <c r="I83" s="487"/>
      <c r="J83" s="488"/>
      <c r="K83" s="489"/>
      <c r="L83" s="489"/>
      <c r="M83" s="489"/>
      <c r="N83" s="489"/>
      <c r="O83" s="488"/>
      <c r="P83" s="487"/>
    </row>
    <row r="84" spans="2:17" s="426" customFormat="1" ht="11.25" x14ac:dyDescent="0.2">
      <c r="B84" s="937"/>
      <c r="C84" s="943"/>
      <c r="D84" s="482"/>
      <c r="E84" s="483">
        <v>1</v>
      </c>
      <c r="F84" s="484"/>
      <c r="G84" s="485"/>
      <c r="H84" s="486">
        <f t="shared" si="10"/>
        <v>0</v>
      </c>
      <c r="I84" s="487"/>
      <c r="J84" s="488"/>
      <c r="K84" s="489"/>
      <c r="L84" s="489"/>
      <c r="M84" s="489"/>
      <c r="N84" s="489"/>
      <c r="O84" s="488"/>
      <c r="P84" s="487"/>
    </row>
    <row r="85" spans="2:17" s="426" customFormat="1" ht="11.25" x14ac:dyDescent="0.2">
      <c r="B85" s="937"/>
      <c r="C85" s="943"/>
      <c r="D85" s="482"/>
      <c r="E85" s="483">
        <v>1</v>
      </c>
      <c r="F85" s="484"/>
      <c r="G85" s="485"/>
      <c r="H85" s="486">
        <f t="shared" si="10"/>
        <v>0</v>
      </c>
      <c r="I85" s="487"/>
      <c r="J85" s="488"/>
      <c r="K85" s="489"/>
      <c r="L85" s="489"/>
      <c r="M85" s="489"/>
      <c r="N85" s="489"/>
      <c r="O85" s="488"/>
      <c r="P85" s="487"/>
    </row>
    <row r="86" spans="2:17" s="426" customFormat="1" ht="11.25" x14ac:dyDescent="0.2">
      <c r="B86" s="937"/>
      <c r="C86" s="943"/>
      <c r="D86" s="482" t="s">
        <v>644</v>
      </c>
      <c r="E86" s="483">
        <v>-1</v>
      </c>
      <c r="F86" s="484"/>
      <c r="G86" s="485">
        <f>I72</f>
        <v>0</v>
      </c>
      <c r="H86" s="486">
        <f t="shared" si="10"/>
        <v>0</v>
      </c>
      <c r="I86" s="487"/>
      <c r="J86" s="488"/>
      <c r="K86" s="489"/>
      <c r="L86" s="489"/>
      <c r="M86" s="489"/>
      <c r="N86" s="489"/>
      <c r="O86" s="488"/>
      <c r="P86" s="487"/>
    </row>
    <row r="87" spans="2:17" s="426" customFormat="1" ht="11.25" x14ac:dyDescent="0.2">
      <c r="B87" s="937"/>
      <c r="C87" s="943"/>
      <c r="D87" s="482" t="s">
        <v>598</v>
      </c>
      <c r="E87" s="483"/>
      <c r="F87" s="484"/>
      <c r="G87" s="485"/>
      <c r="H87" s="486">
        <f t="shared" si="10"/>
        <v>0</v>
      </c>
      <c r="I87" s="875">
        <f>SUM(H81:H87)</f>
        <v>0</v>
      </c>
      <c r="J87" s="488">
        <f>I87*$J$5</f>
        <v>0</v>
      </c>
      <c r="K87" s="489">
        <f>SUM(I87:J87)*$K$5</f>
        <v>0</v>
      </c>
      <c r="L87" s="489">
        <f>SUM(I87:K87)*$L$5</f>
        <v>0</v>
      </c>
      <c r="M87" s="489">
        <f>SUM(I87:L87)*$M$5</f>
        <v>0</v>
      </c>
      <c r="N87" s="489">
        <f>SUM(I87:M87)*$N$5</f>
        <v>0</v>
      </c>
      <c r="O87" s="488">
        <f>SUM(I87:N87)</f>
        <v>0</v>
      </c>
      <c r="P87" s="487">
        <f>ROUND(O87,-3)</f>
        <v>0</v>
      </c>
      <c r="Q87" s="426" t="s">
        <v>600</v>
      </c>
    </row>
    <row r="88" spans="2:17" s="426" customFormat="1" ht="11.25" x14ac:dyDescent="0.2">
      <c r="B88" s="937"/>
      <c r="C88" s="943"/>
      <c r="D88" s="482"/>
      <c r="E88" s="483"/>
      <c r="F88" s="484"/>
      <c r="G88" s="485"/>
      <c r="H88" s="486"/>
      <c r="I88" s="487"/>
      <c r="J88" s="488"/>
      <c r="K88" s="489"/>
      <c r="L88" s="489"/>
      <c r="M88" s="489"/>
      <c r="N88" s="489"/>
      <c r="O88" s="488"/>
      <c r="P88" s="487"/>
    </row>
    <row r="89" spans="2:17" s="426" customFormat="1" ht="11.25" x14ac:dyDescent="0.2">
      <c r="B89" s="937"/>
      <c r="C89" s="943"/>
      <c r="D89" s="482" t="s">
        <v>557</v>
      </c>
      <c r="E89" s="483">
        <v>1</v>
      </c>
      <c r="F89" s="484"/>
      <c r="G89" s="485"/>
      <c r="H89" s="486">
        <f>E89*G89</f>
        <v>0</v>
      </c>
      <c r="I89" s="487"/>
      <c r="J89" s="488"/>
      <c r="K89" s="489"/>
      <c r="L89" s="489"/>
      <c r="M89" s="489"/>
      <c r="N89" s="489"/>
      <c r="O89" s="488"/>
      <c r="P89" s="487"/>
    </row>
    <row r="90" spans="2:17" s="426" customFormat="1" ht="11.25" x14ac:dyDescent="0.2">
      <c r="B90" s="937"/>
      <c r="C90" s="943"/>
      <c r="D90" s="482"/>
      <c r="E90" s="483">
        <v>1</v>
      </c>
      <c r="F90" s="484"/>
      <c r="G90" s="485"/>
      <c r="H90" s="486">
        <f>E90*G90</f>
        <v>0</v>
      </c>
      <c r="I90" s="487"/>
      <c r="J90" s="488"/>
      <c r="K90" s="489"/>
      <c r="L90" s="489"/>
      <c r="M90" s="489"/>
      <c r="N90" s="489"/>
      <c r="O90" s="488"/>
      <c r="P90" s="487"/>
    </row>
    <row r="91" spans="2:17" s="426" customFormat="1" ht="11.25" x14ac:dyDescent="0.2">
      <c r="B91" s="937"/>
      <c r="C91" s="943"/>
      <c r="D91" s="482"/>
      <c r="E91" s="483">
        <v>1</v>
      </c>
      <c r="F91" s="484"/>
      <c r="G91" s="485"/>
      <c r="H91" s="486">
        <f>E91*G91</f>
        <v>0</v>
      </c>
      <c r="I91" s="487"/>
      <c r="J91" s="488"/>
      <c r="K91" s="489"/>
      <c r="L91" s="489"/>
      <c r="M91" s="489"/>
      <c r="N91" s="489"/>
      <c r="O91" s="488"/>
      <c r="P91" s="487"/>
    </row>
    <row r="92" spans="2:17" s="426" customFormat="1" ht="11.25" x14ac:dyDescent="0.2">
      <c r="B92" s="937"/>
      <c r="C92" s="943"/>
      <c r="D92" s="482"/>
      <c r="E92" s="483">
        <v>1</v>
      </c>
      <c r="F92" s="484"/>
      <c r="G92" s="485"/>
      <c r="H92" s="486">
        <f>E92*G92</f>
        <v>0</v>
      </c>
      <c r="I92" s="487"/>
      <c r="J92" s="488"/>
      <c r="K92" s="489"/>
      <c r="L92" s="489"/>
      <c r="M92" s="489"/>
      <c r="N92" s="489"/>
      <c r="O92" s="488"/>
      <c r="P92" s="487"/>
    </row>
    <row r="93" spans="2:17" s="426" customFormat="1" ht="11.25" x14ac:dyDescent="0.2">
      <c r="B93" s="937"/>
      <c r="C93" s="943"/>
      <c r="D93" s="482" t="s">
        <v>644</v>
      </c>
      <c r="E93" s="483">
        <v>-1</v>
      </c>
      <c r="F93" s="484"/>
      <c r="G93" s="485">
        <f>I79</f>
        <v>0</v>
      </c>
      <c r="H93" s="486">
        <f>E93*G93</f>
        <v>0</v>
      </c>
      <c r="I93" s="487"/>
      <c r="J93" s="488"/>
      <c r="K93" s="489"/>
      <c r="L93" s="489"/>
      <c r="M93" s="489"/>
      <c r="N93" s="489"/>
      <c r="O93" s="488"/>
      <c r="P93" s="487"/>
    </row>
    <row r="94" spans="2:17" s="426" customFormat="1" ht="11.25" x14ac:dyDescent="0.2">
      <c r="B94" s="937"/>
      <c r="C94" s="943"/>
      <c r="D94" s="482" t="s">
        <v>598</v>
      </c>
      <c r="E94" s="483">
        <v>1</v>
      </c>
      <c r="F94" s="484"/>
      <c r="G94" s="485"/>
      <c r="H94" s="486">
        <f t="shared" ref="H94" si="11">E94*G94</f>
        <v>0</v>
      </c>
      <c r="I94" s="905">
        <f>SUM(H88:H94)</f>
        <v>0</v>
      </c>
      <c r="J94" s="488">
        <f>I94*$J$5</f>
        <v>0</v>
      </c>
      <c r="K94" s="489">
        <f>SUM(I94:J94)*$K$5</f>
        <v>0</v>
      </c>
      <c r="L94" s="489">
        <f>SUM(I94:K94)*$L$5</f>
        <v>0</v>
      </c>
      <c r="M94" s="489">
        <f>SUM(I94:L94)*$M$5</f>
        <v>0</v>
      </c>
      <c r="N94" s="489">
        <f>SUM(I94:M94)*$N$5</f>
        <v>0</v>
      </c>
      <c r="O94" s="488">
        <f>SUM(I94:N94)</f>
        <v>0</v>
      </c>
      <c r="P94" s="487">
        <f>ROUND(O94,-3)</f>
        <v>0</v>
      </c>
      <c r="Q94" s="426" t="s">
        <v>600</v>
      </c>
    </row>
    <row r="95" spans="2:17" s="426" customFormat="1" ht="12" thickBot="1" x14ac:dyDescent="0.25">
      <c r="B95" s="938"/>
      <c r="C95" s="944"/>
      <c r="D95" s="444"/>
      <c r="E95" s="445"/>
      <c r="F95" s="446"/>
      <c r="G95" s="447"/>
      <c r="H95" s="448"/>
      <c r="I95" s="449"/>
      <c r="J95" s="450"/>
      <c r="K95" s="451"/>
      <c r="L95" s="451"/>
      <c r="M95" s="451"/>
      <c r="N95" s="451"/>
      <c r="O95" s="450"/>
      <c r="P95" s="449"/>
    </row>
    <row r="96" spans="2:17" s="420" customFormat="1" ht="11.25" x14ac:dyDescent="0.2">
      <c r="B96" s="936" t="str">
        <f>'Detailed Matrix'!E184</f>
        <v>Greywater Recycling</v>
      </c>
      <c r="C96" s="942" t="str">
        <f>'Detailed Matrix'!F184</f>
        <v>Stage 03 - Greywater Recycling &lt;75%</v>
      </c>
      <c r="D96" s="427" t="s">
        <v>556</v>
      </c>
      <c r="E96" s="428">
        <v>1</v>
      </c>
      <c r="F96" s="429"/>
      <c r="G96" s="430"/>
      <c r="H96" s="431">
        <f t="shared" ref="H96:H102" si="12">E96*G96</f>
        <v>0</v>
      </c>
      <c r="I96" s="432"/>
      <c r="J96" s="433"/>
      <c r="K96" s="434"/>
      <c r="L96" s="434"/>
      <c r="M96" s="434"/>
      <c r="N96" s="434"/>
      <c r="O96" s="433"/>
      <c r="P96" s="432"/>
    </row>
    <row r="97" spans="2:17" s="420" customFormat="1" ht="11.25" x14ac:dyDescent="0.2">
      <c r="B97" s="937"/>
      <c r="C97" s="943"/>
      <c r="D97" s="482"/>
      <c r="E97" s="483">
        <v>1</v>
      </c>
      <c r="F97" s="484"/>
      <c r="G97" s="485"/>
      <c r="H97" s="486">
        <f t="shared" si="12"/>
        <v>0</v>
      </c>
      <c r="I97" s="487"/>
      <c r="J97" s="488"/>
      <c r="K97" s="489"/>
      <c r="L97" s="489"/>
      <c r="M97" s="489"/>
      <c r="N97" s="489"/>
      <c r="O97" s="488"/>
      <c r="P97" s="487"/>
    </row>
    <row r="98" spans="2:17" s="420" customFormat="1" ht="11.25" x14ac:dyDescent="0.2">
      <c r="B98" s="937"/>
      <c r="C98" s="943"/>
      <c r="D98" s="482"/>
      <c r="E98" s="483">
        <v>1</v>
      </c>
      <c r="F98" s="484"/>
      <c r="G98" s="485"/>
      <c r="H98" s="486">
        <f t="shared" si="12"/>
        <v>0</v>
      </c>
      <c r="I98" s="487"/>
      <c r="J98" s="488"/>
      <c r="K98" s="489"/>
      <c r="L98" s="489"/>
      <c r="M98" s="489"/>
      <c r="N98" s="489"/>
      <c r="O98" s="488"/>
      <c r="P98" s="487"/>
    </row>
    <row r="99" spans="2:17" s="420" customFormat="1" ht="11.25" x14ac:dyDescent="0.2">
      <c r="B99" s="937"/>
      <c r="C99" s="943"/>
      <c r="D99" s="482"/>
      <c r="E99" s="483">
        <v>1</v>
      </c>
      <c r="F99" s="484"/>
      <c r="G99" s="485"/>
      <c r="H99" s="486">
        <f t="shared" si="12"/>
        <v>0</v>
      </c>
      <c r="I99" s="487"/>
      <c r="J99" s="488"/>
      <c r="K99" s="489"/>
      <c r="L99" s="489"/>
      <c r="M99" s="489"/>
      <c r="N99" s="489"/>
      <c r="O99" s="488"/>
      <c r="P99" s="487"/>
    </row>
    <row r="100" spans="2:17" s="420" customFormat="1" ht="11.25" x14ac:dyDescent="0.2">
      <c r="B100" s="937"/>
      <c r="C100" s="943"/>
      <c r="D100" s="482"/>
      <c r="E100" s="483">
        <v>1</v>
      </c>
      <c r="F100" s="484"/>
      <c r="G100" s="485"/>
      <c r="H100" s="486">
        <f t="shared" si="12"/>
        <v>0</v>
      </c>
      <c r="I100" s="487"/>
      <c r="J100" s="488"/>
      <c r="K100" s="489"/>
      <c r="L100" s="489"/>
      <c r="M100" s="489"/>
      <c r="N100" s="489"/>
      <c r="O100" s="488"/>
      <c r="P100" s="487"/>
    </row>
    <row r="101" spans="2:17" s="420" customFormat="1" ht="11.25" x14ac:dyDescent="0.2">
      <c r="B101" s="937"/>
      <c r="C101" s="943"/>
      <c r="D101" s="482" t="s">
        <v>645</v>
      </c>
      <c r="E101" s="483">
        <v>-1</v>
      </c>
      <c r="F101" s="484"/>
      <c r="G101" s="485">
        <f>I87+I72</f>
        <v>0</v>
      </c>
      <c r="H101" s="486">
        <f t="shared" si="12"/>
        <v>0</v>
      </c>
      <c r="I101" s="487"/>
      <c r="J101" s="488"/>
      <c r="K101" s="489"/>
      <c r="L101" s="489"/>
      <c r="M101" s="489"/>
      <c r="N101" s="489"/>
      <c r="O101" s="488"/>
      <c r="P101" s="487"/>
    </row>
    <row r="102" spans="2:17" s="420" customFormat="1" ht="11.25" x14ac:dyDescent="0.2">
      <c r="B102" s="937"/>
      <c r="C102" s="943"/>
      <c r="D102" s="482" t="s">
        <v>598</v>
      </c>
      <c r="E102" s="483"/>
      <c r="F102" s="484"/>
      <c r="G102" s="485"/>
      <c r="H102" s="486">
        <f t="shared" si="12"/>
        <v>0</v>
      </c>
      <c r="I102" s="875">
        <f>SUM(H96:H102)</f>
        <v>0</v>
      </c>
      <c r="J102" s="488">
        <f>I102*$J$5</f>
        <v>0</v>
      </c>
      <c r="K102" s="489">
        <f>SUM(I102:J102)*$K$5</f>
        <v>0</v>
      </c>
      <c r="L102" s="489">
        <f>SUM(I102:K102)*$L$5</f>
        <v>0</v>
      </c>
      <c r="M102" s="489">
        <f>SUM(I102:L102)*$M$5</f>
        <v>0</v>
      </c>
      <c r="N102" s="489">
        <f>SUM(I102:M102)*$N$5</f>
        <v>0</v>
      </c>
      <c r="O102" s="488">
        <f>SUM(I102:N102)</f>
        <v>0</v>
      </c>
      <c r="P102" s="487">
        <f>ROUND(O102,-3)</f>
        <v>0</v>
      </c>
      <c r="Q102" s="420" t="s">
        <v>600</v>
      </c>
    </row>
    <row r="103" spans="2:17" s="420" customFormat="1" ht="11.25" x14ac:dyDescent="0.2">
      <c r="B103" s="937"/>
      <c r="C103" s="943"/>
      <c r="D103" s="482"/>
      <c r="E103" s="483"/>
      <c r="F103" s="484"/>
      <c r="G103" s="485"/>
      <c r="H103" s="486"/>
      <c r="I103" s="487"/>
      <c r="J103" s="488"/>
      <c r="K103" s="489"/>
      <c r="L103" s="489"/>
      <c r="M103" s="489"/>
      <c r="N103" s="489"/>
      <c r="O103" s="488"/>
      <c r="P103" s="487"/>
    </row>
    <row r="104" spans="2:17" s="420" customFormat="1" ht="11.25" x14ac:dyDescent="0.2">
      <c r="B104" s="937"/>
      <c r="C104" s="943"/>
      <c r="D104" s="482" t="s">
        <v>557</v>
      </c>
      <c r="E104" s="483">
        <v>1</v>
      </c>
      <c r="F104" s="484"/>
      <c r="G104" s="485"/>
      <c r="H104" s="486">
        <f>E104*G104</f>
        <v>0</v>
      </c>
      <c r="I104" s="487"/>
      <c r="J104" s="488"/>
      <c r="K104" s="489"/>
      <c r="L104" s="489"/>
      <c r="M104" s="489"/>
      <c r="N104" s="489"/>
      <c r="O104" s="488"/>
      <c r="P104" s="487"/>
    </row>
    <row r="105" spans="2:17" s="420" customFormat="1" ht="11.25" x14ac:dyDescent="0.2">
      <c r="B105" s="937"/>
      <c r="C105" s="943"/>
      <c r="D105" s="482"/>
      <c r="E105" s="483">
        <v>1</v>
      </c>
      <c r="F105" s="484"/>
      <c r="G105" s="485"/>
      <c r="H105" s="486">
        <f>E105*G105</f>
        <v>0</v>
      </c>
      <c r="I105" s="487"/>
      <c r="J105" s="488"/>
      <c r="K105" s="489"/>
      <c r="L105" s="489"/>
      <c r="M105" s="489"/>
      <c r="N105" s="489"/>
      <c r="O105" s="488"/>
      <c r="P105" s="487"/>
    </row>
    <row r="106" spans="2:17" s="420" customFormat="1" ht="11.25" x14ac:dyDescent="0.2">
      <c r="B106" s="937"/>
      <c r="C106" s="943"/>
      <c r="D106" s="482"/>
      <c r="E106" s="483">
        <v>1</v>
      </c>
      <c r="F106" s="484"/>
      <c r="G106" s="485"/>
      <c r="H106" s="486">
        <f>E106*G106</f>
        <v>0</v>
      </c>
      <c r="I106" s="487"/>
      <c r="J106" s="488"/>
      <c r="K106" s="489"/>
      <c r="L106" s="489"/>
      <c r="M106" s="489"/>
      <c r="N106" s="489"/>
      <c r="O106" s="488"/>
      <c r="P106" s="487"/>
    </row>
    <row r="107" spans="2:17" s="420" customFormat="1" ht="11.25" x14ac:dyDescent="0.2">
      <c r="B107" s="937"/>
      <c r="C107" s="943"/>
      <c r="D107" s="482"/>
      <c r="E107" s="483">
        <v>1</v>
      </c>
      <c r="F107" s="484"/>
      <c r="G107" s="485"/>
      <c r="H107" s="486">
        <f>E107*G107</f>
        <v>0</v>
      </c>
      <c r="I107" s="487"/>
      <c r="J107" s="488"/>
      <c r="K107" s="489"/>
      <c r="L107" s="489"/>
      <c r="M107" s="489"/>
      <c r="N107" s="489"/>
      <c r="O107" s="488"/>
      <c r="P107" s="487"/>
    </row>
    <row r="108" spans="2:17" s="420" customFormat="1" ht="11.25" x14ac:dyDescent="0.2">
      <c r="B108" s="937"/>
      <c r="C108" s="943"/>
      <c r="D108" s="482" t="s">
        <v>645</v>
      </c>
      <c r="E108" s="483">
        <v>-1</v>
      </c>
      <c r="F108" s="484"/>
      <c r="G108" s="485">
        <f>I94+I79</f>
        <v>0</v>
      </c>
      <c r="H108" s="486">
        <f>E108*G108</f>
        <v>0</v>
      </c>
      <c r="I108" s="487"/>
      <c r="J108" s="488"/>
      <c r="K108" s="489"/>
      <c r="L108" s="489"/>
      <c r="M108" s="489"/>
      <c r="N108" s="489"/>
      <c r="O108" s="488"/>
      <c r="P108" s="487"/>
    </row>
    <row r="109" spans="2:17" s="420" customFormat="1" ht="11.25" x14ac:dyDescent="0.2">
      <c r="B109" s="937"/>
      <c r="C109" s="943"/>
      <c r="D109" s="482" t="s">
        <v>598</v>
      </c>
      <c r="E109" s="483">
        <v>1</v>
      </c>
      <c r="F109" s="484"/>
      <c r="G109" s="485"/>
      <c r="H109" s="486">
        <f t="shared" ref="H109" si="13">E109*G109</f>
        <v>0</v>
      </c>
      <c r="I109" s="905">
        <f>SUM(H103:H109)</f>
        <v>0</v>
      </c>
      <c r="J109" s="488">
        <f>I109*$J$5</f>
        <v>0</v>
      </c>
      <c r="K109" s="489">
        <f>SUM(I109:J109)*$K$5</f>
        <v>0</v>
      </c>
      <c r="L109" s="489">
        <f>SUM(I109:K109)*$L$5</f>
        <v>0</v>
      </c>
      <c r="M109" s="489">
        <f>SUM(I109:L109)*$M$5</f>
        <v>0</v>
      </c>
      <c r="N109" s="489">
        <f>SUM(I109:M109)*$N$5</f>
        <v>0</v>
      </c>
      <c r="O109" s="488">
        <f>SUM(I109:N109)</f>
        <v>0</v>
      </c>
      <c r="P109" s="487">
        <f>ROUND(O109,-3)</f>
        <v>0</v>
      </c>
      <c r="Q109" s="420" t="s">
        <v>600</v>
      </c>
    </row>
    <row r="110" spans="2:17" s="420" customFormat="1" ht="12" thickBot="1" x14ac:dyDescent="0.25">
      <c r="B110" s="938"/>
      <c r="C110" s="944"/>
      <c r="D110" s="444"/>
      <c r="E110" s="445"/>
      <c r="F110" s="446"/>
      <c r="G110" s="447"/>
      <c r="H110" s="448"/>
      <c r="I110" s="449"/>
      <c r="J110" s="450"/>
      <c r="K110" s="451"/>
      <c r="L110" s="451"/>
      <c r="M110" s="451"/>
      <c r="N110" s="451"/>
      <c r="O110" s="450"/>
      <c r="P110" s="449"/>
    </row>
    <row r="111" spans="2:17" s="420" customFormat="1" ht="11.25" x14ac:dyDescent="0.2">
      <c r="B111" s="936" t="str">
        <f>'Detailed Matrix'!E185</f>
        <v>Greywater Recycling</v>
      </c>
      <c r="C111" s="942" t="str">
        <f>'Detailed Matrix'!F185</f>
        <v>Stage 04 - Greywater Recycling &gt;90%</v>
      </c>
      <c r="D111" s="427" t="s">
        <v>556</v>
      </c>
      <c r="E111" s="428">
        <v>1</v>
      </c>
      <c r="F111" s="429"/>
      <c r="G111" s="430"/>
      <c r="H111" s="431">
        <f t="shared" ref="H111:H117" si="14">E111*G111</f>
        <v>0</v>
      </c>
      <c r="I111" s="432"/>
      <c r="J111" s="433"/>
      <c r="K111" s="434"/>
      <c r="L111" s="434"/>
      <c r="M111" s="434"/>
      <c r="N111" s="434"/>
      <c r="O111" s="433"/>
      <c r="P111" s="432"/>
    </row>
    <row r="112" spans="2:17" s="420" customFormat="1" ht="11.25" x14ac:dyDescent="0.2">
      <c r="B112" s="937"/>
      <c r="C112" s="943"/>
      <c r="D112" s="482"/>
      <c r="E112" s="483">
        <v>1</v>
      </c>
      <c r="F112" s="484"/>
      <c r="G112" s="485"/>
      <c r="H112" s="486">
        <f t="shared" si="14"/>
        <v>0</v>
      </c>
      <c r="I112" s="487"/>
      <c r="J112" s="488"/>
      <c r="K112" s="489"/>
      <c r="L112" s="489"/>
      <c r="M112" s="489"/>
      <c r="N112" s="489"/>
      <c r="O112" s="488"/>
      <c r="P112" s="487"/>
    </row>
    <row r="113" spans="2:17" s="420" customFormat="1" ht="11.25" x14ac:dyDescent="0.2">
      <c r="B113" s="937"/>
      <c r="C113" s="943"/>
      <c r="D113" s="482"/>
      <c r="E113" s="483">
        <v>1</v>
      </c>
      <c r="F113" s="484"/>
      <c r="G113" s="485"/>
      <c r="H113" s="486">
        <f t="shared" si="14"/>
        <v>0</v>
      </c>
      <c r="I113" s="487"/>
      <c r="J113" s="488"/>
      <c r="K113" s="489"/>
      <c r="L113" s="489"/>
      <c r="M113" s="489"/>
      <c r="N113" s="489"/>
      <c r="O113" s="488"/>
      <c r="P113" s="487"/>
    </row>
    <row r="114" spans="2:17" s="420" customFormat="1" ht="11.25" x14ac:dyDescent="0.2">
      <c r="B114" s="937"/>
      <c r="C114" s="943"/>
      <c r="D114" s="482"/>
      <c r="E114" s="483">
        <v>1</v>
      </c>
      <c r="F114" s="484"/>
      <c r="G114" s="485"/>
      <c r="H114" s="486">
        <f t="shared" si="14"/>
        <v>0</v>
      </c>
      <c r="I114" s="487"/>
      <c r="J114" s="488"/>
      <c r="K114" s="489"/>
      <c r="L114" s="489"/>
      <c r="M114" s="489"/>
      <c r="N114" s="489"/>
      <c r="O114" s="488"/>
      <c r="P114" s="487"/>
    </row>
    <row r="115" spans="2:17" s="420" customFormat="1" ht="11.25" x14ac:dyDescent="0.2">
      <c r="B115" s="937"/>
      <c r="C115" s="943"/>
      <c r="D115" s="482"/>
      <c r="E115" s="483">
        <v>1</v>
      </c>
      <c r="F115" s="484"/>
      <c r="G115" s="485"/>
      <c r="H115" s="486">
        <f t="shared" si="14"/>
        <v>0</v>
      </c>
      <c r="I115" s="487"/>
      <c r="J115" s="488"/>
      <c r="K115" s="489"/>
      <c r="L115" s="489"/>
      <c r="M115" s="489"/>
      <c r="N115" s="489"/>
      <c r="O115" s="488"/>
      <c r="P115" s="487"/>
    </row>
    <row r="116" spans="2:17" s="420" customFormat="1" ht="11.25" x14ac:dyDescent="0.2">
      <c r="B116" s="937"/>
      <c r="C116" s="943"/>
      <c r="D116" s="482" t="s">
        <v>646</v>
      </c>
      <c r="E116" s="483">
        <v>-1</v>
      </c>
      <c r="F116" s="484"/>
      <c r="G116" s="485">
        <f>I102+I87+I72</f>
        <v>0</v>
      </c>
      <c r="H116" s="486">
        <f t="shared" si="14"/>
        <v>0</v>
      </c>
      <c r="I116" s="487"/>
      <c r="J116" s="488"/>
      <c r="K116" s="489"/>
      <c r="L116" s="489"/>
      <c r="M116" s="489"/>
      <c r="N116" s="489"/>
      <c r="O116" s="488"/>
      <c r="P116" s="487"/>
    </row>
    <row r="117" spans="2:17" s="420" customFormat="1" ht="11.25" x14ac:dyDescent="0.2">
      <c r="B117" s="937"/>
      <c r="C117" s="943"/>
      <c r="D117" s="482" t="s">
        <v>598</v>
      </c>
      <c r="E117" s="483"/>
      <c r="F117" s="484"/>
      <c r="G117" s="485"/>
      <c r="H117" s="486">
        <f t="shared" si="14"/>
        <v>0</v>
      </c>
      <c r="I117" s="875">
        <f>SUM(H111:H117)</f>
        <v>0</v>
      </c>
      <c r="J117" s="488">
        <f>I117*$J$5</f>
        <v>0</v>
      </c>
      <c r="K117" s="489">
        <f>SUM(I117:J117)*$K$5</f>
        <v>0</v>
      </c>
      <c r="L117" s="489">
        <f>SUM(I117:K117)*$L$5</f>
        <v>0</v>
      </c>
      <c r="M117" s="489">
        <f>SUM(I117:L117)*$M$5</f>
        <v>0</v>
      </c>
      <c r="N117" s="489">
        <f>SUM(I117:M117)*$N$5</f>
        <v>0</v>
      </c>
      <c r="O117" s="488">
        <f>SUM(I117:N117)</f>
        <v>0</v>
      </c>
      <c r="P117" s="487">
        <f>ROUND(O117,-3)</f>
        <v>0</v>
      </c>
      <c r="Q117" s="420" t="s">
        <v>600</v>
      </c>
    </row>
    <row r="118" spans="2:17" s="420" customFormat="1" ht="11.25" x14ac:dyDescent="0.2">
      <c r="B118" s="937"/>
      <c r="C118" s="943"/>
      <c r="D118" s="482"/>
      <c r="E118" s="483"/>
      <c r="F118" s="484"/>
      <c r="G118" s="485"/>
      <c r="H118" s="486"/>
      <c r="I118" s="487"/>
      <c r="J118" s="488"/>
      <c r="K118" s="489"/>
      <c r="L118" s="489"/>
      <c r="M118" s="489"/>
      <c r="N118" s="489"/>
      <c r="O118" s="488"/>
      <c r="P118" s="487"/>
    </row>
    <row r="119" spans="2:17" s="420" customFormat="1" ht="11.25" x14ac:dyDescent="0.2">
      <c r="B119" s="937"/>
      <c r="C119" s="943"/>
      <c r="D119" s="482" t="s">
        <v>557</v>
      </c>
      <c r="E119" s="483">
        <v>1</v>
      </c>
      <c r="F119" s="484"/>
      <c r="G119" s="485"/>
      <c r="H119" s="486">
        <f>E119*G119</f>
        <v>0</v>
      </c>
      <c r="I119" s="487"/>
      <c r="J119" s="488"/>
      <c r="K119" s="489"/>
      <c r="L119" s="489"/>
      <c r="M119" s="489"/>
      <c r="N119" s="489"/>
      <c r="O119" s="488"/>
      <c r="P119" s="487"/>
    </row>
    <row r="120" spans="2:17" s="420" customFormat="1" ht="11.25" x14ac:dyDescent="0.2">
      <c r="B120" s="937"/>
      <c r="C120" s="943"/>
      <c r="D120" s="482"/>
      <c r="E120" s="483">
        <v>1</v>
      </c>
      <c r="F120" s="484"/>
      <c r="G120" s="485"/>
      <c r="H120" s="486">
        <f>E120*G120</f>
        <v>0</v>
      </c>
      <c r="I120" s="487"/>
      <c r="J120" s="488"/>
      <c r="K120" s="489"/>
      <c r="L120" s="489"/>
      <c r="M120" s="489"/>
      <c r="N120" s="489"/>
      <c r="O120" s="488"/>
      <c r="P120" s="487"/>
    </row>
    <row r="121" spans="2:17" s="420" customFormat="1" ht="11.25" x14ac:dyDescent="0.2">
      <c r="B121" s="937"/>
      <c r="C121" s="943"/>
      <c r="D121" s="482"/>
      <c r="E121" s="483">
        <v>1</v>
      </c>
      <c r="F121" s="484"/>
      <c r="G121" s="485"/>
      <c r="H121" s="486">
        <f>E121*G121</f>
        <v>0</v>
      </c>
      <c r="I121" s="487"/>
      <c r="J121" s="488"/>
      <c r="K121" s="489"/>
      <c r="L121" s="489"/>
      <c r="M121" s="489"/>
      <c r="N121" s="489"/>
      <c r="O121" s="488"/>
      <c r="P121" s="487"/>
    </row>
    <row r="122" spans="2:17" s="420" customFormat="1" ht="11.25" x14ac:dyDescent="0.2">
      <c r="B122" s="937"/>
      <c r="C122" s="943"/>
      <c r="D122" s="482"/>
      <c r="E122" s="483">
        <v>1</v>
      </c>
      <c r="F122" s="484"/>
      <c r="G122" s="485"/>
      <c r="H122" s="486">
        <f>E122*G122</f>
        <v>0</v>
      </c>
      <c r="I122" s="487"/>
      <c r="J122" s="488"/>
      <c r="K122" s="489"/>
      <c r="L122" s="489"/>
      <c r="M122" s="489"/>
      <c r="N122" s="489"/>
      <c r="O122" s="488"/>
      <c r="P122" s="487"/>
    </row>
    <row r="123" spans="2:17" s="420" customFormat="1" ht="11.25" x14ac:dyDescent="0.2">
      <c r="B123" s="937"/>
      <c r="C123" s="943"/>
      <c r="D123" s="482" t="s">
        <v>646</v>
      </c>
      <c r="E123" s="483">
        <v>-1</v>
      </c>
      <c r="F123" s="484"/>
      <c r="G123" s="485">
        <f>I109+I94+I79</f>
        <v>0</v>
      </c>
      <c r="H123" s="486">
        <f>E123*G123</f>
        <v>0</v>
      </c>
      <c r="I123" s="487"/>
      <c r="J123" s="488"/>
      <c r="K123" s="489"/>
      <c r="L123" s="489"/>
      <c r="M123" s="489"/>
      <c r="N123" s="489"/>
      <c r="O123" s="488"/>
      <c r="P123" s="487"/>
    </row>
    <row r="124" spans="2:17" s="420" customFormat="1" ht="11.25" x14ac:dyDescent="0.2">
      <c r="B124" s="937"/>
      <c r="C124" s="943"/>
      <c r="D124" s="482" t="s">
        <v>598</v>
      </c>
      <c r="E124" s="483">
        <v>1</v>
      </c>
      <c r="F124" s="484"/>
      <c r="G124" s="485"/>
      <c r="H124" s="486">
        <f t="shared" ref="H124" si="15">E124*G124</f>
        <v>0</v>
      </c>
      <c r="I124" s="905">
        <f>SUM(H118:H124)</f>
        <v>0</v>
      </c>
      <c r="J124" s="488">
        <f>I124*$J$5</f>
        <v>0</v>
      </c>
      <c r="K124" s="489">
        <f>SUM(I124:J124)*$K$5</f>
        <v>0</v>
      </c>
      <c r="L124" s="489">
        <f>SUM(I124:K124)*$L$5</f>
        <v>0</v>
      </c>
      <c r="M124" s="489">
        <f>SUM(I124:L124)*$M$5</f>
        <v>0</v>
      </c>
      <c r="N124" s="489">
        <f>SUM(I124:M124)*$N$5</f>
        <v>0</v>
      </c>
      <c r="O124" s="488">
        <f>SUM(I124:N124)</f>
        <v>0</v>
      </c>
      <c r="P124" s="487">
        <f>ROUND(O124,-3)</f>
        <v>0</v>
      </c>
      <c r="Q124" s="420" t="s">
        <v>600</v>
      </c>
    </row>
    <row r="125" spans="2:17" s="420" customFormat="1" ht="12" thickBot="1" x14ac:dyDescent="0.25">
      <c r="B125" s="938"/>
      <c r="C125" s="944"/>
      <c r="D125" s="444"/>
      <c r="E125" s="445"/>
      <c r="F125" s="446"/>
      <c r="G125" s="447"/>
      <c r="H125" s="448"/>
      <c r="I125" s="449"/>
      <c r="J125" s="450"/>
      <c r="K125" s="451"/>
      <c r="L125" s="451"/>
      <c r="M125" s="451"/>
      <c r="N125" s="451"/>
      <c r="O125" s="450"/>
      <c r="P125" s="449"/>
    </row>
    <row r="126" spans="2:17" s="420" customFormat="1" ht="11.25" x14ac:dyDescent="0.2">
      <c r="B126" s="754" t="str">
        <f>'Detailed Matrix'!E186</f>
        <v>Other Water Recycling</v>
      </c>
      <c r="C126" s="914" t="str">
        <f>'Detailed Matrix'!F186</f>
        <v>Ozone laundry</v>
      </c>
      <c r="D126" s="452" t="s">
        <v>556</v>
      </c>
      <c r="E126" s="453"/>
      <c r="F126" s="454"/>
      <c r="G126" s="455"/>
      <c r="H126" s="456"/>
      <c r="I126" s="457"/>
      <c r="J126" s="458"/>
      <c r="K126" s="459"/>
      <c r="L126" s="459"/>
      <c r="M126" s="459"/>
      <c r="N126" s="459"/>
      <c r="O126" s="458"/>
      <c r="P126" s="457"/>
    </row>
    <row r="127" spans="2:17" s="420" customFormat="1" ht="11.25" x14ac:dyDescent="0.2">
      <c r="B127" s="755"/>
      <c r="C127" s="915"/>
      <c r="D127" s="565" t="s">
        <v>647</v>
      </c>
      <c r="E127" s="479">
        <v>1</v>
      </c>
      <c r="F127" s="480" t="s">
        <v>576</v>
      </c>
      <c r="G127" s="481">
        <v>50000</v>
      </c>
      <c r="H127" s="464">
        <f t="shared" ref="H127" si="16">E127*G127</f>
        <v>50000</v>
      </c>
      <c r="I127" s="465">
        <f>SUM(H126:H127)</f>
        <v>50000</v>
      </c>
      <c r="J127" s="466">
        <f>I127*$J$5</f>
        <v>6500</v>
      </c>
      <c r="K127" s="467">
        <f>SUM(I127:J127)*$K$5</f>
        <v>2542.5</v>
      </c>
      <c r="L127" s="467">
        <f>SUM(I127:K127)*$L$5</f>
        <v>3247.3375000000001</v>
      </c>
      <c r="M127" s="467">
        <f>SUM(I127:L127)*$M$5</f>
        <v>3737.3902499999999</v>
      </c>
      <c r="N127" s="467">
        <f>SUM(I127:M127)*$N$5</f>
        <v>6602.7227750000011</v>
      </c>
      <c r="O127" s="468">
        <f>SUM(I127:N127)</f>
        <v>72629.950525000007</v>
      </c>
      <c r="P127" s="465">
        <f>ROUND(O127,-3)</f>
        <v>73000</v>
      </c>
      <c r="Q127" s="420" t="s">
        <v>514</v>
      </c>
    </row>
    <row r="132" spans="2:17" s="420" customFormat="1" ht="11.25" x14ac:dyDescent="0.2">
      <c r="B132" s="755"/>
      <c r="C132" s="915"/>
      <c r="D132" s="565" t="s">
        <v>557</v>
      </c>
      <c r="E132" s="479"/>
      <c r="F132" s="480"/>
      <c r="G132" s="481"/>
      <c r="H132" s="464"/>
      <c r="I132" s="661"/>
      <c r="J132" s="662"/>
      <c r="K132" s="663"/>
      <c r="L132" s="663"/>
      <c r="M132" s="663"/>
      <c r="N132" s="663"/>
      <c r="O132" s="664"/>
      <c r="P132" s="661"/>
    </row>
    <row r="133" spans="2:17" s="420" customFormat="1" ht="11.25" x14ac:dyDescent="0.2">
      <c r="B133" s="755"/>
      <c r="C133" s="915"/>
      <c r="D133" s="565" t="s">
        <v>647</v>
      </c>
      <c r="E133" s="479">
        <v>1</v>
      </c>
      <c r="F133" s="480" t="s">
        <v>576</v>
      </c>
      <c r="G133" s="481">
        <v>500000</v>
      </c>
      <c r="H133" s="464">
        <f t="shared" ref="H133" si="17">E133*G133</f>
        <v>500000</v>
      </c>
      <c r="I133" s="465">
        <f>SUM(H132:H133)</f>
        <v>500000</v>
      </c>
      <c r="J133" s="466">
        <f>I133*$J$5</f>
        <v>65000</v>
      </c>
      <c r="K133" s="467">
        <f>SUM(I133:J133)*$K$5</f>
        <v>25425</v>
      </c>
      <c r="L133" s="467">
        <f>SUM(I133:K133)*$L$5</f>
        <v>32473.375</v>
      </c>
      <c r="M133" s="467">
        <f>SUM(I133:L133)*$M$5</f>
        <v>37373.902499999997</v>
      </c>
      <c r="N133" s="467">
        <f>SUM(I133:M133)*$N$5</f>
        <v>66027.227750000005</v>
      </c>
      <c r="O133" s="468">
        <f>SUM(I133:N133)</f>
        <v>726299.50524999993</v>
      </c>
      <c r="P133" s="465">
        <f>ROUND(O133,-3)</f>
        <v>726000</v>
      </c>
      <c r="Q133" s="420" t="s">
        <v>514</v>
      </c>
    </row>
    <row r="134" spans="2:17" s="420" customFormat="1" ht="11.25" x14ac:dyDescent="0.2">
      <c r="B134" s="755"/>
      <c r="C134" s="915"/>
      <c r="D134" s="565"/>
      <c r="E134" s="479"/>
      <c r="F134" s="480"/>
      <c r="G134" s="481"/>
      <c r="H134" s="464"/>
      <c r="I134" s="661"/>
      <c r="J134" s="662"/>
      <c r="K134" s="663"/>
      <c r="L134" s="663"/>
      <c r="M134" s="663"/>
      <c r="N134" s="663"/>
      <c r="O134" s="664"/>
      <c r="P134" s="661"/>
    </row>
    <row r="135" spans="2:17" s="420" customFormat="1" ht="11.25" x14ac:dyDescent="0.2">
      <c r="B135" s="755"/>
      <c r="C135" s="915"/>
      <c r="D135" s="565"/>
      <c r="E135" s="479"/>
      <c r="F135" s="480"/>
      <c r="G135" s="481"/>
      <c r="H135" s="464"/>
      <c r="I135" s="661"/>
      <c r="J135" s="662"/>
      <c r="K135" s="663"/>
      <c r="L135" s="663"/>
      <c r="M135" s="663"/>
      <c r="N135" s="663"/>
      <c r="O135" s="664"/>
      <c r="P135" s="661"/>
    </row>
    <row r="136" spans="2:17" s="420" customFormat="1" ht="11.25" x14ac:dyDescent="0.2">
      <c r="B136" s="755"/>
      <c r="C136" s="915"/>
      <c r="D136" s="565"/>
      <c r="E136" s="479"/>
      <c r="F136" s="480"/>
      <c r="G136" s="481"/>
      <c r="H136" s="464"/>
      <c r="I136" s="661"/>
      <c r="J136" s="662"/>
      <c r="K136" s="663"/>
      <c r="L136" s="663"/>
      <c r="M136" s="663"/>
      <c r="N136" s="663"/>
      <c r="O136" s="664"/>
      <c r="P136" s="661"/>
    </row>
    <row r="137" spans="2:17" s="420" customFormat="1" ht="12" thickBot="1" x14ac:dyDescent="0.25">
      <c r="B137" s="917"/>
      <c r="C137" s="916"/>
      <c r="D137" s="469"/>
      <c r="E137" s="470"/>
      <c r="F137" s="471"/>
      <c r="G137" s="472"/>
      <c r="H137" s="473"/>
      <c r="I137" s="474"/>
      <c r="J137" s="475"/>
      <c r="K137" s="476"/>
      <c r="L137" s="476"/>
      <c r="M137" s="476"/>
      <c r="N137" s="476"/>
      <c r="O137" s="475"/>
      <c r="P137" s="474"/>
    </row>
    <row r="138" spans="2:17" s="420" customFormat="1" ht="11.25" x14ac:dyDescent="0.2">
      <c r="B138" s="936" t="str">
        <f>'Detailed Matrix'!E187</f>
        <v>Other Water Recycling</v>
      </c>
      <c r="C138" s="942" t="str">
        <f>'Detailed Matrix'!F187</f>
        <v>Condensate recovery from HVAC</v>
      </c>
      <c r="D138" s="427" t="s">
        <v>556</v>
      </c>
      <c r="E138" s="428">
        <v>1</v>
      </c>
      <c r="F138" s="429"/>
      <c r="G138" s="430"/>
      <c r="H138" s="431">
        <f t="shared" ref="H138:H144" si="18">E138*G138</f>
        <v>0</v>
      </c>
      <c r="I138" s="432"/>
      <c r="J138" s="433"/>
      <c r="K138" s="434"/>
      <c r="L138" s="434"/>
      <c r="M138" s="434"/>
      <c r="N138" s="434"/>
      <c r="O138" s="433"/>
      <c r="P138" s="432"/>
    </row>
    <row r="139" spans="2:17" s="420" customFormat="1" ht="11.25" x14ac:dyDescent="0.2">
      <c r="B139" s="937"/>
      <c r="C139" s="943"/>
      <c r="D139" s="482"/>
      <c r="E139" s="483">
        <v>1</v>
      </c>
      <c r="F139" s="484"/>
      <c r="G139" s="485"/>
      <c r="H139" s="486">
        <f t="shared" si="18"/>
        <v>0</v>
      </c>
      <c r="I139" s="487"/>
      <c r="J139" s="488"/>
      <c r="K139" s="489"/>
      <c r="L139" s="489"/>
      <c r="M139" s="489"/>
      <c r="N139" s="489"/>
      <c r="O139" s="488"/>
      <c r="P139" s="487"/>
    </row>
    <row r="140" spans="2:17" s="420" customFormat="1" ht="11.25" x14ac:dyDescent="0.2">
      <c r="B140" s="937"/>
      <c r="C140" s="943"/>
      <c r="D140" s="482"/>
      <c r="E140" s="483">
        <v>1</v>
      </c>
      <c r="F140" s="484"/>
      <c r="G140" s="485"/>
      <c r="H140" s="486">
        <f t="shared" si="18"/>
        <v>0</v>
      </c>
      <c r="I140" s="487"/>
      <c r="J140" s="488"/>
      <c r="K140" s="489"/>
      <c r="L140" s="489"/>
      <c r="M140" s="489"/>
      <c r="N140" s="489"/>
      <c r="O140" s="488"/>
      <c r="P140" s="487"/>
    </row>
    <row r="141" spans="2:17" s="420" customFormat="1" ht="11.25" x14ac:dyDescent="0.2">
      <c r="B141" s="937"/>
      <c r="C141" s="943"/>
      <c r="D141" s="482"/>
      <c r="E141" s="483">
        <v>1</v>
      </c>
      <c r="F141" s="484"/>
      <c r="G141" s="485"/>
      <c r="H141" s="486">
        <f t="shared" si="18"/>
        <v>0</v>
      </c>
      <c r="I141" s="487"/>
      <c r="J141" s="488"/>
      <c r="K141" s="489"/>
      <c r="L141" s="489"/>
      <c r="M141" s="489"/>
      <c r="N141" s="489"/>
      <c r="O141" s="488"/>
      <c r="P141" s="487"/>
    </row>
    <row r="142" spans="2:17" s="420" customFormat="1" ht="11.25" x14ac:dyDescent="0.2">
      <c r="B142" s="937"/>
      <c r="C142" s="943"/>
      <c r="D142" s="482"/>
      <c r="E142" s="483">
        <v>1</v>
      </c>
      <c r="F142" s="484"/>
      <c r="G142" s="485"/>
      <c r="H142" s="486">
        <f t="shared" si="18"/>
        <v>0</v>
      </c>
      <c r="I142" s="487"/>
      <c r="J142" s="488"/>
      <c r="K142" s="489"/>
      <c r="L142" s="489"/>
      <c r="M142" s="489"/>
      <c r="N142" s="489"/>
      <c r="O142" s="488"/>
      <c r="P142" s="487"/>
    </row>
    <row r="143" spans="2:17" s="420" customFormat="1" ht="11.25" x14ac:dyDescent="0.2">
      <c r="B143" s="937"/>
      <c r="C143" s="943"/>
      <c r="D143" s="482"/>
      <c r="E143" s="483">
        <v>1</v>
      </c>
      <c r="F143" s="484"/>
      <c r="G143" s="485"/>
      <c r="H143" s="486">
        <f t="shared" si="18"/>
        <v>0</v>
      </c>
      <c r="I143" s="487"/>
      <c r="J143" s="488"/>
      <c r="K143" s="489"/>
      <c r="L143" s="489"/>
      <c r="M143" s="489"/>
      <c r="N143" s="489"/>
      <c r="O143" s="488"/>
      <c r="P143" s="487"/>
    </row>
    <row r="144" spans="2:17" s="420" customFormat="1" ht="11.25" x14ac:dyDescent="0.2">
      <c r="B144" s="937"/>
      <c r="C144" s="943"/>
      <c r="D144" s="482" t="s">
        <v>598</v>
      </c>
      <c r="E144" s="483"/>
      <c r="F144" s="484"/>
      <c r="G144" s="485"/>
      <c r="H144" s="486">
        <f t="shared" si="18"/>
        <v>0</v>
      </c>
      <c r="I144" s="487">
        <f>SUM(H138:H144)</f>
        <v>0</v>
      </c>
      <c r="J144" s="488">
        <f>I144*$J$5</f>
        <v>0</v>
      </c>
      <c r="K144" s="489">
        <f>SUM(I144:J144)*$K$5</f>
        <v>0</v>
      </c>
      <c r="L144" s="489">
        <f>SUM(I144:K144)*$L$5</f>
        <v>0</v>
      </c>
      <c r="M144" s="489">
        <f>SUM(I144:L144)*$M$5</f>
        <v>0</v>
      </c>
      <c r="N144" s="489">
        <f>SUM(I144:M144)*$N$5</f>
        <v>0</v>
      </c>
      <c r="O144" s="488">
        <f>SUM(I144:N144)</f>
        <v>0</v>
      </c>
      <c r="P144" s="487">
        <f>ROUND(O144,-3)</f>
        <v>0</v>
      </c>
      <c r="Q144" s="420" t="s">
        <v>600</v>
      </c>
    </row>
    <row r="146" spans="4:17" s="420" customFormat="1" ht="11.25" x14ac:dyDescent="0.2">
      <c r="D146" s="482" t="s">
        <v>557</v>
      </c>
      <c r="E146" s="483">
        <v>1</v>
      </c>
      <c r="F146" s="484"/>
      <c r="G146" s="485"/>
      <c r="H146" s="486">
        <f>E146*G146</f>
        <v>0</v>
      </c>
      <c r="I146" s="487"/>
      <c r="J146" s="488"/>
      <c r="K146" s="489"/>
      <c r="L146" s="489"/>
      <c r="M146" s="489"/>
      <c r="N146" s="489"/>
      <c r="O146" s="488"/>
      <c r="P146" s="487"/>
    </row>
    <row r="147" spans="4:17" s="420" customFormat="1" ht="11.25" x14ac:dyDescent="0.2">
      <c r="D147" s="482"/>
      <c r="E147" s="483">
        <v>1</v>
      </c>
      <c r="F147" s="484"/>
      <c r="G147" s="485"/>
      <c r="H147" s="486">
        <f>E147*G147</f>
        <v>0</v>
      </c>
      <c r="I147" s="487"/>
      <c r="J147" s="488"/>
      <c r="K147" s="489"/>
      <c r="L147" s="489"/>
      <c r="M147" s="489"/>
      <c r="N147" s="489"/>
      <c r="O147" s="488"/>
      <c r="P147" s="487"/>
    </row>
    <row r="148" spans="4:17" s="420" customFormat="1" ht="11.25" x14ac:dyDescent="0.2">
      <c r="D148" s="482"/>
      <c r="E148" s="483">
        <v>1</v>
      </c>
      <c r="F148" s="484"/>
      <c r="G148" s="485"/>
      <c r="H148" s="486">
        <f>E148*G148</f>
        <v>0</v>
      </c>
      <c r="I148" s="487"/>
      <c r="J148" s="488"/>
      <c r="K148" s="489"/>
      <c r="L148" s="489"/>
      <c r="M148" s="489"/>
      <c r="N148" s="489"/>
      <c r="O148" s="488"/>
      <c r="P148" s="487"/>
    </row>
    <row r="149" spans="4:17" s="420" customFormat="1" ht="11.25" x14ac:dyDescent="0.2">
      <c r="D149" s="482"/>
      <c r="E149" s="483">
        <v>1</v>
      </c>
      <c r="F149" s="484"/>
      <c r="G149" s="485"/>
      <c r="H149" s="486">
        <f>E149*G149</f>
        <v>0</v>
      </c>
      <c r="I149" s="487"/>
      <c r="J149" s="488"/>
      <c r="K149" s="489"/>
      <c r="L149" s="489"/>
      <c r="M149" s="489"/>
      <c r="N149" s="489"/>
      <c r="O149" s="488"/>
      <c r="P149" s="487"/>
    </row>
    <row r="150" spans="4:17" s="420" customFormat="1" ht="11.25" x14ac:dyDescent="0.2">
      <c r="D150" s="482"/>
      <c r="E150" s="483">
        <v>1</v>
      </c>
      <c r="F150" s="484"/>
      <c r="G150" s="485"/>
      <c r="H150" s="486">
        <f>E150*G150</f>
        <v>0</v>
      </c>
      <c r="I150" s="487"/>
      <c r="J150" s="488"/>
      <c r="K150" s="489"/>
      <c r="L150" s="489"/>
      <c r="M150" s="489"/>
      <c r="N150" s="489"/>
      <c r="O150" s="488"/>
      <c r="P150" s="487"/>
    </row>
    <row r="151" spans="4:17" s="420" customFormat="1" ht="11.25" x14ac:dyDescent="0.2">
      <c r="D151" s="482" t="s">
        <v>598</v>
      </c>
      <c r="E151" s="483">
        <v>1</v>
      </c>
      <c r="F151" s="484"/>
      <c r="G151" s="485"/>
      <c r="H151" s="486">
        <f t="shared" ref="H151" si="19">E151*G151</f>
        <v>0</v>
      </c>
      <c r="I151" s="487">
        <f>SUM(H145:H151)</f>
        <v>0</v>
      </c>
      <c r="J151" s="488">
        <f>I151*$J$5</f>
        <v>0</v>
      </c>
      <c r="K151" s="489">
        <f>SUM(I151:J151)*$K$5</f>
        <v>0</v>
      </c>
      <c r="L151" s="489">
        <f>SUM(I151:K151)*$L$5</f>
        <v>0</v>
      </c>
      <c r="M151" s="489">
        <f>SUM(I151:L151)*$M$5</f>
        <v>0</v>
      </c>
      <c r="N151" s="489">
        <f>SUM(I151:M151)*$N$5</f>
        <v>0</v>
      </c>
      <c r="O151" s="488">
        <f>SUM(I151:N151)</f>
        <v>0</v>
      </c>
      <c r="P151" s="487">
        <f>ROUND(O151,-3)</f>
        <v>0</v>
      </c>
      <c r="Q151" s="420" t="s">
        <v>600</v>
      </c>
    </row>
  </sheetData>
  <mergeCells count="1">
    <mergeCell ref="B2:P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B68C6-55C1-460D-B7BD-A2276219B9C4}">
  <sheetPr>
    <tabColor theme="9" tint="0.79998168889431442"/>
  </sheetPr>
  <dimension ref="B2:Q45"/>
  <sheetViews>
    <sheetView topLeftCell="C25" zoomScale="130" zoomScaleNormal="130" workbookViewId="0">
      <selection activeCell="G39" sqref="G39"/>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Monitoring</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1.25" x14ac:dyDescent="0.2">
      <c r="B6" s="1277" t="str">
        <f>'Detailed Matrix'!E189</f>
        <v xml:space="preserve">BREEAM Wat02/03 </v>
      </c>
      <c r="C6" s="1281" t="str">
        <f>'Detailed Matrix'!F189</f>
        <v>Compliant Monitoring &amp; Leak detection at main meter + sub metering for uses above 10% demand</v>
      </c>
      <c r="D6" s="452"/>
      <c r="E6" s="453"/>
      <c r="F6" s="454"/>
      <c r="G6" s="455"/>
      <c r="H6" s="456"/>
      <c r="I6" s="457"/>
      <c r="J6" s="458"/>
      <c r="K6" s="459"/>
      <c r="L6" s="459"/>
      <c r="M6" s="459"/>
      <c r="N6" s="459"/>
      <c r="O6" s="458"/>
      <c r="P6" s="457"/>
    </row>
    <row r="7" spans="2:17" s="420" customFormat="1" ht="11.25" x14ac:dyDescent="0.2">
      <c r="B7" s="1278"/>
      <c r="C7" s="1282"/>
      <c r="D7" s="669" t="s">
        <v>556</v>
      </c>
      <c r="E7" s="479"/>
      <c r="F7" s="480"/>
      <c r="G7" s="481"/>
      <c r="H7" s="665"/>
      <c r="I7" s="666"/>
      <c r="J7" s="667"/>
      <c r="K7" s="668"/>
      <c r="L7" s="668"/>
      <c r="M7" s="668"/>
      <c r="N7" s="668"/>
      <c r="O7" s="667"/>
      <c r="P7" s="666"/>
    </row>
    <row r="8" spans="2:17" s="420" customFormat="1" ht="11.25" x14ac:dyDescent="0.2">
      <c r="B8" s="1278"/>
      <c r="C8" s="1282"/>
      <c r="D8" s="565" t="s">
        <v>648</v>
      </c>
      <c r="E8" s="479">
        <v>10</v>
      </c>
      <c r="F8" s="480" t="s">
        <v>12</v>
      </c>
      <c r="G8" s="481">
        <v>3500</v>
      </c>
      <c r="H8" s="464">
        <f t="shared" ref="H8" si="0">E8*G8</f>
        <v>35000</v>
      </c>
      <c r="I8" s="465">
        <f>SUM(H6:H8)</f>
        <v>35000</v>
      </c>
      <c r="J8" s="466">
        <f>I8*$J$5</f>
        <v>4550</v>
      </c>
      <c r="K8" s="467">
        <f>SUM(I8:J8)*$K$5</f>
        <v>1779.75</v>
      </c>
      <c r="L8" s="467">
        <f>SUM(I8:K8)*$L$5</f>
        <v>2273.13625</v>
      </c>
      <c r="M8" s="467">
        <f>SUM(I8:L8)*$M$5</f>
        <v>2616.1731749999999</v>
      </c>
      <c r="N8" s="467">
        <f>SUM(I8:M8)*$N$5</f>
        <v>4621.9059425000005</v>
      </c>
      <c r="O8" s="468">
        <f>SUM(I8:N8)</f>
        <v>50840.965367500001</v>
      </c>
      <c r="P8" s="465">
        <f>ROUND(O8,-3)</f>
        <v>51000</v>
      </c>
      <c r="Q8" s="420" t="s">
        <v>514</v>
      </c>
    </row>
    <row r="9" spans="2:17" s="420" customFormat="1" ht="11.25" x14ac:dyDescent="0.2">
      <c r="B9" s="1278"/>
      <c r="C9" s="1282"/>
      <c r="D9" s="565"/>
      <c r="E9" s="479"/>
      <c r="F9" s="480"/>
      <c r="G9" s="481"/>
      <c r="H9" s="464"/>
      <c r="I9" s="661"/>
      <c r="J9" s="662"/>
      <c r="K9" s="663"/>
      <c r="L9" s="663"/>
      <c r="M9" s="663"/>
      <c r="N9" s="663"/>
      <c r="O9" s="664"/>
      <c r="P9" s="661"/>
    </row>
    <row r="10" spans="2:17" s="420" customFormat="1" ht="11.25" x14ac:dyDescent="0.2">
      <c r="B10" s="1278"/>
      <c r="C10" s="1282"/>
      <c r="D10" s="669" t="s">
        <v>557</v>
      </c>
      <c r="E10" s="479"/>
      <c r="F10" s="480"/>
      <c r="G10" s="481"/>
      <c r="H10" s="665"/>
      <c r="I10" s="666"/>
      <c r="J10" s="667"/>
      <c r="K10" s="668"/>
      <c r="L10" s="668"/>
      <c r="M10" s="668"/>
      <c r="N10" s="668"/>
      <c r="O10" s="667"/>
      <c r="P10" s="666"/>
    </row>
    <row r="11" spans="2:17" s="420" customFormat="1" ht="11.25" x14ac:dyDescent="0.2">
      <c r="B11" s="1278"/>
      <c r="C11" s="1282"/>
      <c r="D11" s="565" t="s">
        <v>648</v>
      </c>
      <c r="E11" s="479">
        <v>25</v>
      </c>
      <c r="F11" s="480" t="s">
        <v>12</v>
      </c>
      <c r="G11" s="481">
        <v>3500</v>
      </c>
      <c r="H11" s="464">
        <f t="shared" ref="H11" si="1">E11*G11</f>
        <v>87500</v>
      </c>
      <c r="I11" s="465">
        <f>SUM(H9:H11)</f>
        <v>87500</v>
      </c>
      <c r="J11" s="466">
        <f>I11*$J$5</f>
        <v>11375</v>
      </c>
      <c r="K11" s="467">
        <f>SUM(I11:J11)*$K$5</f>
        <v>4449.375</v>
      </c>
      <c r="L11" s="467">
        <f>SUM(I11:K11)*$L$5</f>
        <v>5682.8406249999998</v>
      </c>
      <c r="M11" s="467">
        <f>SUM(I11:L11)*$M$5</f>
        <v>6540.4329374999998</v>
      </c>
      <c r="N11" s="467">
        <f>SUM(I11:M11)*$N$5</f>
        <v>11554.76485625</v>
      </c>
      <c r="O11" s="468">
        <f>SUM(I11:N11)</f>
        <v>127102.41341874999</v>
      </c>
      <c r="P11" s="465">
        <f>ROUND(O11,-3)</f>
        <v>127000</v>
      </c>
    </row>
    <row r="12" spans="2:17" s="420" customFormat="1" ht="12" thickBot="1" x14ac:dyDescent="0.25">
      <c r="B12" s="1279"/>
      <c r="C12" s="1283"/>
      <c r="D12" s="469"/>
      <c r="E12" s="470"/>
      <c r="F12" s="471"/>
      <c r="G12" s="472"/>
      <c r="H12" s="473"/>
      <c r="I12" s="474"/>
      <c r="J12" s="475"/>
      <c r="K12" s="476"/>
      <c r="L12" s="476"/>
      <c r="M12" s="476"/>
      <c r="N12" s="476"/>
      <c r="O12" s="475"/>
      <c r="P12" s="474"/>
    </row>
    <row r="13" spans="2:17" s="426" customFormat="1" ht="11.25" x14ac:dyDescent="0.2">
      <c r="B13" s="1277" t="str">
        <f>'Detailed Matrix'!E190</f>
        <v>Smart Meters</v>
      </c>
      <c r="C13" s="1281" t="str">
        <f>'Detailed Matrix'!F190</f>
        <v>Stage 01 - Smart meters with AMR for automated data collection including notification and damage limitation in the event of a pipe break/leakages</v>
      </c>
      <c r="D13" s="452"/>
      <c r="E13" s="453"/>
      <c r="F13" s="454"/>
      <c r="G13" s="455"/>
      <c r="H13" s="456"/>
      <c r="I13" s="457"/>
      <c r="J13" s="458"/>
      <c r="K13" s="459"/>
      <c r="L13" s="459"/>
      <c r="M13" s="459"/>
      <c r="N13" s="459"/>
      <c r="O13" s="458"/>
      <c r="P13" s="457"/>
    </row>
    <row r="14" spans="2:17" s="426" customFormat="1" ht="11.25" x14ac:dyDescent="0.2">
      <c r="B14" s="1278"/>
      <c r="C14" s="1282"/>
      <c r="D14" s="669" t="s">
        <v>556</v>
      </c>
      <c r="E14" s="479"/>
      <c r="F14" s="480"/>
      <c r="G14" s="481"/>
      <c r="H14" s="665"/>
      <c r="I14" s="666"/>
      <c r="J14" s="667"/>
      <c r="K14" s="668"/>
      <c r="L14" s="668"/>
      <c r="M14" s="668"/>
      <c r="N14" s="668"/>
      <c r="O14" s="667"/>
      <c r="P14" s="666"/>
    </row>
    <row r="15" spans="2:17" s="426" customFormat="1" ht="11.25" x14ac:dyDescent="0.2">
      <c r="B15" s="1278"/>
      <c r="C15" s="1282"/>
      <c r="D15" s="565" t="s">
        <v>648</v>
      </c>
      <c r="E15" s="479">
        <f>E8</f>
        <v>10</v>
      </c>
      <c r="F15" s="480" t="s">
        <v>12</v>
      </c>
      <c r="G15" s="481">
        <v>5000</v>
      </c>
      <c r="H15" s="464">
        <f t="shared" ref="H15" si="2">E15*G15</f>
        <v>50000</v>
      </c>
      <c r="I15" s="465">
        <f>SUM(H13:H15)</f>
        <v>50000</v>
      </c>
      <c r="J15" s="466">
        <f>I15*$J$5</f>
        <v>6500</v>
      </c>
      <c r="K15" s="467">
        <f>SUM(I15:J15)*$K$5</f>
        <v>2542.5</v>
      </c>
      <c r="L15" s="467">
        <f>SUM(I15:K15)*$L$5</f>
        <v>3247.3375000000001</v>
      </c>
      <c r="M15" s="467">
        <f>SUM(I15:L15)*$M$5</f>
        <v>3737.3902499999999</v>
      </c>
      <c r="N15" s="467">
        <f>SUM(I15:M15)*$N$5</f>
        <v>6602.7227750000011</v>
      </c>
      <c r="O15" s="468">
        <f>SUM(I15:N15)</f>
        <v>72629.950525000007</v>
      </c>
      <c r="P15" s="465">
        <f>ROUND(O15,-3)</f>
        <v>73000</v>
      </c>
      <c r="Q15" s="426" t="s">
        <v>514</v>
      </c>
    </row>
    <row r="16" spans="2:17" s="426" customFormat="1" ht="11.25" x14ac:dyDescent="0.2">
      <c r="B16" s="1278"/>
      <c r="C16" s="1282"/>
      <c r="D16" s="748"/>
      <c r="E16" s="479"/>
      <c r="F16" s="480"/>
      <c r="G16" s="481"/>
      <c r="H16" s="464"/>
      <c r="I16" s="661"/>
      <c r="J16" s="662"/>
      <c r="K16" s="663"/>
      <c r="L16" s="663"/>
      <c r="M16" s="663"/>
      <c r="N16" s="663"/>
      <c r="O16" s="664"/>
      <c r="P16" s="661"/>
    </row>
    <row r="17" spans="2:17" s="426" customFormat="1" ht="11.25" x14ac:dyDescent="0.2">
      <c r="B17" s="1278"/>
      <c r="C17" s="1282"/>
      <c r="D17" s="669" t="s">
        <v>557</v>
      </c>
      <c r="E17" s="479"/>
      <c r="F17" s="480"/>
      <c r="G17" s="481"/>
      <c r="H17" s="464"/>
      <c r="I17" s="661"/>
      <c r="J17" s="662"/>
      <c r="K17" s="663"/>
      <c r="L17" s="663"/>
      <c r="M17" s="663"/>
      <c r="N17" s="663"/>
      <c r="O17" s="664"/>
      <c r="P17" s="661"/>
    </row>
    <row r="18" spans="2:17" s="426" customFormat="1" ht="11.25" x14ac:dyDescent="0.2">
      <c r="B18" s="1278"/>
      <c r="C18" s="1282"/>
      <c r="D18" s="565" t="s">
        <v>648</v>
      </c>
      <c r="E18" s="479">
        <f>E11</f>
        <v>25</v>
      </c>
      <c r="F18" s="480" t="s">
        <v>12</v>
      </c>
      <c r="G18" s="481">
        <v>5000</v>
      </c>
      <c r="H18" s="464">
        <f t="shared" ref="H18" si="3">E18*G18</f>
        <v>125000</v>
      </c>
      <c r="I18" s="465">
        <f>SUM(H16:H18)</f>
        <v>125000</v>
      </c>
      <c r="J18" s="466">
        <f>I18*$J$5</f>
        <v>16250</v>
      </c>
      <c r="K18" s="467">
        <f>SUM(I18:J18)*$K$5</f>
        <v>6356.25</v>
      </c>
      <c r="L18" s="467">
        <f>SUM(I18:K18)*$L$5</f>
        <v>8118.34375</v>
      </c>
      <c r="M18" s="467">
        <f>SUM(I18:L18)*$M$5</f>
        <v>9343.4756249999991</v>
      </c>
      <c r="N18" s="467">
        <f>SUM(I18:M18)*$N$5</f>
        <v>16506.806937500001</v>
      </c>
      <c r="O18" s="468">
        <f>SUM(I18:N18)</f>
        <v>181574.87631249998</v>
      </c>
      <c r="P18" s="465">
        <f>ROUND(O18,-3)</f>
        <v>182000</v>
      </c>
    </row>
    <row r="19" spans="2:17" s="426" customFormat="1" ht="12" thickBot="1" x14ac:dyDescent="0.25">
      <c r="B19" s="1279"/>
      <c r="C19" s="1283"/>
      <c r="D19" s="469"/>
      <c r="E19" s="470"/>
      <c r="F19" s="471"/>
      <c r="G19" s="472"/>
      <c r="H19" s="473"/>
      <c r="I19" s="474"/>
      <c r="J19" s="475"/>
      <c r="K19" s="476"/>
      <c r="L19" s="476"/>
      <c r="M19" s="476"/>
      <c r="N19" s="476"/>
      <c r="O19" s="475"/>
      <c r="P19" s="474"/>
    </row>
    <row r="20" spans="2:17" s="420" customFormat="1" ht="11.25" x14ac:dyDescent="0.2">
      <c r="B20" s="1277" t="str">
        <f>'Detailed Matrix'!E191</f>
        <v>Smart Meters</v>
      </c>
      <c r="C20" s="1281" t="str">
        <f>'Detailed Matrix'!F191</f>
        <v>Stage 02 - Smart meters with AMI for detailed consumption feedback
i.e “70% of your potable water is recycled”</v>
      </c>
      <c r="D20" s="452"/>
      <c r="E20" s="453"/>
      <c r="F20" s="454"/>
      <c r="G20" s="455"/>
      <c r="H20" s="456"/>
      <c r="I20" s="457"/>
      <c r="J20" s="458"/>
      <c r="K20" s="459"/>
      <c r="L20" s="459"/>
      <c r="M20" s="459"/>
      <c r="N20" s="459"/>
      <c r="O20" s="458"/>
      <c r="P20" s="457"/>
    </row>
    <row r="21" spans="2:17" s="420" customFormat="1" ht="11.25" x14ac:dyDescent="0.2">
      <c r="B21" s="1278"/>
      <c r="C21" s="1282"/>
      <c r="D21" s="669" t="s">
        <v>556</v>
      </c>
      <c r="E21" s="479"/>
      <c r="F21" s="480"/>
      <c r="G21" s="481"/>
      <c r="H21" s="665"/>
      <c r="I21" s="666"/>
      <c r="J21" s="667"/>
      <c r="K21" s="668"/>
      <c r="L21" s="668"/>
      <c r="M21" s="668"/>
      <c r="N21" s="668"/>
      <c r="O21" s="667"/>
      <c r="P21" s="666"/>
    </row>
    <row r="22" spans="2:17" s="420" customFormat="1" ht="11.25" x14ac:dyDescent="0.2">
      <c r="B22" s="1278"/>
      <c r="C22" s="1282"/>
      <c r="D22" s="565" t="s">
        <v>648</v>
      </c>
      <c r="E22" s="479">
        <v>10</v>
      </c>
      <c r="F22" s="480" t="s">
        <v>12</v>
      </c>
      <c r="G22" s="481">
        <v>7500</v>
      </c>
      <c r="H22" s="464">
        <f t="shared" ref="H22:H23" si="4">E22*G22</f>
        <v>75000</v>
      </c>
      <c r="I22" s="666"/>
      <c r="J22" s="667"/>
      <c r="K22" s="668"/>
      <c r="L22" s="668"/>
      <c r="M22" s="668"/>
      <c r="N22" s="668"/>
      <c r="O22" s="667"/>
      <c r="P22" s="666"/>
    </row>
    <row r="23" spans="2:17" s="420" customFormat="1" ht="11.25" x14ac:dyDescent="0.2">
      <c r="B23" s="1278"/>
      <c r="C23" s="1282"/>
      <c r="D23" s="565" t="s">
        <v>548</v>
      </c>
      <c r="E23" s="749">
        <f>-E22</f>
        <v>-10</v>
      </c>
      <c r="F23" s="750" t="s">
        <v>12</v>
      </c>
      <c r="G23" s="751">
        <f>G15</f>
        <v>5000</v>
      </c>
      <c r="H23" s="464">
        <f t="shared" si="4"/>
        <v>-50000</v>
      </c>
      <c r="I23" s="465">
        <f>SUM(H20:H23)</f>
        <v>25000</v>
      </c>
      <c r="J23" s="466">
        <f>I23*$J$5</f>
        <v>3250</v>
      </c>
      <c r="K23" s="467">
        <f>SUM(I23:J23)*$K$5</f>
        <v>1271.25</v>
      </c>
      <c r="L23" s="467">
        <f>SUM(I23:K23)*$L$5</f>
        <v>1623.66875</v>
      </c>
      <c r="M23" s="467">
        <f>SUM(I23:L23)*$M$5</f>
        <v>1868.695125</v>
      </c>
      <c r="N23" s="467">
        <f>SUM(I23:M23)*$N$5</f>
        <v>3301.3613875000005</v>
      </c>
      <c r="O23" s="468">
        <f>SUM(I23:N23)</f>
        <v>36314.975262500004</v>
      </c>
      <c r="P23" s="465">
        <f>ROUND(O23,-3)</f>
        <v>36000</v>
      </c>
      <c r="Q23" s="420" t="s">
        <v>514</v>
      </c>
    </row>
    <row r="24" spans="2:17" s="420" customFormat="1" ht="11.25" x14ac:dyDescent="0.2">
      <c r="B24" s="1278"/>
      <c r="C24" s="1282"/>
      <c r="D24" s="748"/>
      <c r="E24" s="749"/>
      <c r="F24" s="750"/>
      <c r="G24" s="751"/>
      <c r="H24" s="660"/>
      <c r="I24" s="661"/>
      <c r="J24" s="662"/>
      <c r="K24" s="663"/>
      <c r="L24" s="663"/>
      <c r="M24" s="663"/>
      <c r="N24" s="663"/>
      <c r="O24" s="664"/>
      <c r="P24" s="661"/>
    </row>
    <row r="25" spans="2:17" s="420" customFormat="1" ht="11.25" x14ac:dyDescent="0.2">
      <c r="B25" s="1278"/>
      <c r="C25" s="1282"/>
      <c r="D25" s="669" t="s">
        <v>557</v>
      </c>
      <c r="E25" s="749"/>
      <c r="F25" s="750"/>
      <c r="G25" s="751"/>
      <c r="H25" s="660"/>
      <c r="I25" s="661"/>
      <c r="J25" s="662"/>
      <c r="K25" s="663"/>
      <c r="L25" s="663"/>
      <c r="M25" s="663"/>
      <c r="N25" s="663"/>
      <c r="O25" s="664"/>
      <c r="P25" s="661"/>
    </row>
    <row r="26" spans="2:17" s="420" customFormat="1" ht="11.25" x14ac:dyDescent="0.2">
      <c r="B26" s="1278"/>
      <c r="C26" s="1282"/>
      <c r="D26" s="565" t="s">
        <v>648</v>
      </c>
      <c r="E26" s="479">
        <f>E18</f>
        <v>25</v>
      </c>
      <c r="F26" s="480" t="s">
        <v>12</v>
      </c>
      <c r="G26" s="481">
        <v>7500</v>
      </c>
      <c r="H26" s="464">
        <f t="shared" ref="H26:H27" si="5">E26*G26</f>
        <v>187500</v>
      </c>
      <c r="I26" s="661"/>
      <c r="J26" s="662"/>
      <c r="K26" s="663"/>
      <c r="L26" s="663"/>
      <c r="M26" s="663"/>
      <c r="N26" s="663"/>
      <c r="O26" s="664"/>
      <c r="P26" s="661"/>
    </row>
    <row r="27" spans="2:17" s="420" customFormat="1" ht="11.25" x14ac:dyDescent="0.2">
      <c r="B27" s="1278"/>
      <c r="C27" s="1282"/>
      <c r="D27" s="565" t="s">
        <v>548</v>
      </c>
      <c r="E27" s="749">
        <f>-E26</f>
        <v>-25</v>
      </c>
      <c r="F27" s="750" t="s">
        <v>12</v>
      </c>
      <c r="G27" s="751">
        <f>G18</f>
        <v>5000</v>
      </c>
      <c r="H27" s="464">
        <f t="shared" si="5"/>
        <v>-125000</v>
      </c>
      <c r="I27" s="465">
        <f>SUM(H24:H27)</f>
        <v>62500</v>
      </c>
      <c r="J27" s="466">
        <f>I27*$J$5</f>
        <v>8125</v>
      </c>
      <c r="K27" s="467">
        <f>SUM(I27:J27)*$K$5</f>
        <v>3178.125</v>
      </c>
      <c r="L27" s="467">
        <f>SUM(I27:K27)*$L$5</f>
        <v>4059.171875</v>
      </c>
      <c r="M27" s="467">
        <f>SUM(I27:L27)*$M$5</f>
        <v>4671.7378124999996</v>
      </c>
      <c r="N27" s="467">
        <f>SUM(I27:M27)*$N$5</f>
        <v>8253.4034687500007</v>
      </c>
      <c r="O27" s="468">
        <f>SUM(I27:N27)</f>
        <v>90787.438156249991</v>
      </c>
      <c r="P27" s="465">
        <f>ROUND(O27,-3)</f>
        <v>91000</v>
      </c>
    </row>
    <row r="28" spans="2:17" s="420" customFormat="1" ht="11.25" x14ac:dyDescent="0.2">
      <c r="B28" s="1278"/>
      <c r="C28" s="1282"/>
      <c r="D28" s="748"/>
      <c r="E28" s="749"/>
      <c r="F28" s="750"/>
      <c r="G28" s="751"/>
      <c r="H28" s="660"/>
      <c r="I28" s="661"/>
      <c r="J28" s="662"/>
      <c r="K28" s="663"/>
      <c r="L28" s="663"/>
      <c r="M28" s="663"/>
      <c r="N28" s="663"/>
      <c r="O28" s="664"/>
      <c r="P28" s="661"/>
    </row>
    <row r="29" spans="2:17" s="420" customFormat="1" ht="12" thickBot="1" x14ac:dyDescent="0.25">
      <c r="B29" s="1279"/>
      <c r="C29" s="1283"/>
      <c r="D29" s="469"/>
      <c r="E29" s="470"/>
      <c r="F29" s="471"/>
      <c r="G29" s="472"/>
      <c r="H29" s="473"/>
      <c r="I29" s="474"/>
      <c r="J29" s="475"/>
      <c r="K29" s="476"/>
      <c r="L29" s="476"/>
      <c r="M29" s="476"/>
      <c r="N29" s="476"/>
      <c r="O29" s="475"/>
      <c r="P29" s="474"/>
    </row>
    <row r="30" spans="2:17" s="426" customFormat="1" ht="11.25" x14ac:dyDescent="0.2">
      <c r="B30" s="1286" t="str">
        <f>'Detailed Matrix'!E192</f>
        <v>Smart Meters</v>
      </c>
      <c r="C30" s="1313" t="str">
        <f>'Detailed Matrix'!F192</f>
        <v>Stage 03 - AMI system for comprehensive data analysis and feedback</v>
      </c>
      <c r="D30" s="427" t="s">
        <v>556</v>
      </c>
      <c r="E30" s="428">
        <v>1</v>
      </c>
      <c r="F30" s="429"/>
      <c r="G30" s="430"/>
      <c r="H30" s="431">
        <f t="shared" ref="H30:H36" si="6">E30*G30</f>
        <v>0</v>
      </c>
      <c r="I30" s="432"/>
      <c r="J30" s="433"/>
      <c r="K30" s="434"/>
      <c r="L30" s="434"/>
      <c r="M30" s="434"/>
      <c r="N30" s="434"/>
      <c r="O30" s="433"/>
      <c r="P30" s="432"/>
    </row>
    <row r="31" spans="2:17" s="426" customFormat="1" ht="11.25" x14ac:dyDescent="0.2">
      <c r="B31" s="1287"/>
      <c r="C31" s="1314"/>
      <c r="D31" s="482"/>
      <c r="E31" s="483">
        <v>1</v>
      </c>
      <c r="F31" s="484"/>
      <c r="G31" s="485"/>
      <c r="H31" s="486">
        <f t="shared" si="6"/>
        <v>0</v>
      </c>
      <c r="I31" s="487"/>
      <c r="J31" s="488"/>
      <c r="K31" s="489"/>
      <c r="L31" s="489"/>
      <c r="M31" s="489"/>
      <c r="N31" s="489"/>
      <c r="O31" s="488"/>
      <c r="P31" s="487"/>
    </row>
    <row r="32" spans="2:17" s="426" customFormat="1" ht="11.25" x14ac:dyDescent="0.2">
      <c r="B32" s="1287"/>
      <c r="C32" s="1314"/>
      <c r="D32" s="565" t="s">
        <v>648</v>
      </c>
      <c r="E32" s="479">
        <v>10</v>
      </c>
      <c r="F32" s="480" t="s">
        <v>12</v>
      </c>
      <c r="G32" s="481">
        <v>15000</v>
      </c>
      <c r="H32" s="486">
        <f t="shared" si="6"/>
        <v>150000</v>
      </c>
      <c r="I32" s="487"/>
      <c r="J32" s="488"/>
      <c r="K32" s="489"/>
      <c r="L32" s="489"/>
      <c r="M32" s="489"/>
      <c r="N32" s="489"/>
      <c r="O32" s="488"/>
      <c r="P32" s="487"/>
    </row>
    <row r="33" spans="2:17" s="426" customFormat="1" ht="11.25" x14ac:dyDescent="0.2">
      <c r="B33" s="1287"/>
      <c r="C33" s="1314"/>
      <c r="D33" s="482"/>
      <c r="E33" s="483">
        <v>1</v>
      </c>
      <c r="F33" s="484"/>
      <c r="G33" s="485"/>
      <c r="H33" s="486">
        <f t="shared" si="6"/>
        <v>0</v>
      </c>
      <c r="I33" s="487"/>
      <c r="J33" s="488"/>
      <c r="K33" s="489"/>
      <c r="L33" s="489"/>
      <c r="M33" s="489"/>
      <c r="N33" s="489"/>
      <c r="O33" s="488"/>
      <c r="P33" s="487"/>
    </row>
    <row r="34" spans="2:17" s="426" customFormat="1" ht="11.25" x14ac:dyDescent="0.2">
      <c r="B34" s="1287"/>
      <c r="C34" s="1314"/>
      <c r="D34" s="482"/>
      <c r="E34" s="483">
        <v>1</v>
      </c>
      <c r="F34" s="484"/>
      <c r="G34" s="485"/>
      <c r="H34" s="486">
        <f t="shared" si="6"/>
        <v>0</v>
      </c>
      <c r="I34" s="487"/>
      <c r="J34" s="488"/>
      <c r="K34" s="489"/>
      <c r="L34" s="489"/>
      <c r="M34" s="489"/>
      <c r="N34" s="489"/>
      <c r="O34" s="488"/>
      <c r="P34" s="487"/>
    </row>
    <row r="35" spans="2:17" s="426" customFormat="1" ht="11.25" x14ac:dyDescent="0.2">
      <c r="B35" s="1287"/>
      <c r="C35" s="1314"/>
      <c r="D35" s="482" t="s">
        <v>645</v>
      </c>
      <c r="E35" s="483">
        <v>-1</v>
      </c>
      <c r="F35" s="484"/>
      <c r="G35" s="485">
        <f>I23+I15</f>
        <v>75000</v>
      </c>
      <c r="H35" s="486">
        <f t="shared" si="6"/>
        <v>-75000</v>
      </c>
      <c r="I35" s="487"/>
      <c r="J35" s="488"/>
      <c r="K35" s="489"/>
      <c r="L35" s="489"/>
      <c r="M35" s="489"/>
      <c r="N35" s="489"/>
      <c r="O35" s="488"/>
      <c r="P35" s="487"/>
    </row>
    <row r="36" spans="2:17" s="426" customFormat="1" ht="11.25" x14ac:dyDescent="0.2">
      <c r="B36" s="1287"/>
      <c r="C36" s="1314"/>
      <c r="D36" s="482" t="s">
        <v>598</v>
      </c>
      <c r="E36" s="483"/>
      <c r="F36" s="484"/>
      <c r="G36" s="485"/>
      <c r="H36" s="486">
        <f t="shared" si="6"/>
        <v>0</v>
      </c>
      <c r="I36" s="487">
        <f>SUM(H30:H36)</f>
        <v>75000</v>
      </c>
      <c r="J36" s="488">
        <f>I36*$J$5</f>
        <v>9750</v>
      </c>
      <c r="K36" s="489">
        <f>SUM(I36:J36)*$K$5</f>
        <v>3813.75</v>
      </c>
      <c r="L36" s="489">
        <f>SUM(I36:K36)*$L$5</f>
        <v>4871.0062500000004</v>
      </c>
      <c r="M36" s="489">
        <f>SUM(I36:L36)*$M$5</f>
        <v>5606.0853750000006</v>
      </c>
      <c r="N36" s="489">
        <f>SUM(I36:M36)*$N$5</f>
        <v>9904.0841625000012</v>
      </c>
      <c r="O36" s="488">
        <f>SUM(I36:N36)</f>
        <v>108944.9257875</v>
      </c>
      <c r="P36" s="487">
        <f>ROUND(O36,-3)</f>
        <v>109000</v>
      </c>
      <c r="Q36" s="426" t="s">
        <v>600</v>
      </c>
    </row>
    <row r="37" spans="2:17" s="426" customFormat="1" ht="11.25" x14ac:dyDescent="0.2">
      <c r="B37" s="1287"/>
      <c r="C37" s="1314"/>
      <c r="D37" s="482"/>
      <c r="E37" s="483"/>
      <c r="F37" s="484"/>
      <c r="G37" s="485"/>
      <c r="H37" s="486"/>
      <c r="I37" s="487"/>
      <c r="J37" s="488"/>
      <c r="K37" s="489"/>
      <c r="L37" s="489"/>
      <c r="M37" s="489"/>
      <c r="N37" s="489"/>
      <c r="O37" s="488"/>
      <c r="P37" s="487"/>
    </row>
    <row r="38" spans="2:17" s="426" customFormat="1" ht="11.25" x14ac:dyDescent="0.2">
      <c r="B38" s="1287"/>
      <c r="C38" s="1314"/>
      <c r="D38" s="482" t="s">
        <v>557</v>
      </c>
      <c r="E38" s="483">
        <v>1</v>
      </c>
      <c r="F38" s="484"/>
      <c r="G38" s="485"/>
      <c r="H38" s="486">
        <f>E38*G38</f>
        <v>0</v>
      </c>
      <c r="I38" s="487"/>
      <c r="J38" s="488"/>
      <c r="K38" s="489"/>
      <c r="L38" s="489"/>
      <c r="M38" s="489"/>
      <c r="N38" s="489"/>
      <c r="O38" s="488"/>
      <c r="P38" s="487"/>
    </row>
    <row r="39" spans="2:17" s="426" customFormat="1" ht="11.25" x14ac:dyDescent="0.2">
      <c r="B39" s="1287"/>
      <c r="C39" s="1314"/>
      <c r="D39" s="482"/>
      <c r="E39" s="483">
        <v>1</v>
      </c>
      <c r="F39" s="484"/>
      <c r="G39" s="485"/>
      <c r="H39" s="486">
        <f>E39*G39</f>
        <v>0</v>
      </c>
      <c r="I39" s="487"/>
      <c r="J39" s="488"/>
      <c r="K39" s="489"/>
      <c r="L39" s="489"/>
      <c r="M39" s="489"/>
      <c r="N39" s="489"/>
      <c r="O39" s="488"/>
      <c r="P39" s="487"/>
    </row>
    <row r="40" spans="2:17" s="426" customFormat="1" ht="11.25" x14ac:dyDescent="0.2">
      <c r="B40" s="1287"/>
      <c r="C40" s="1314"/>
      <c r="D40" s="565" t="s">
        <v>648</v>
      </c>
      <c r="E40" s="479">
        <v>25</v>
      </c>
      <c r="F40" s="480" t="s">
        <v>12</v>
      </c>
      <c r="G40" s="481">
        <v>15000</v>
      </c>
      <c r="H40" s="486">
        <f>E40*G40</f>
        <v>375000</v>
      </c>
      <c r="I40" s="487"/>
      <c r="J40" s="488"/>
      <c r="K40" s="489"/>
      <c r="L40" s="489"/>
      <c r="M40" s="489"/>
      <c r="N40" s="489"/>
      <c r="O40" s="488"/>
      <c r="P40" s="487"/>
    </row>
    <row r="41" spans="2:17" s="426" customFormat="1" ht="11.25" x14ac:dyDescent="0.2">
      <c r="B41" s="1287"/>
      <c r="C41" s="1314"/>
      <c r="D41" s="482"/>
      <c r="E41" s="483">
        <v>1</v>
      </c>
      <c r="F41" s="484"/>
      <c r="G41" s="485"/>
      <c r="H41" s="486">
        <f>E41*G41</f>
        <v>0</v>
      </c>
      <c r="I41" s="487"/>
      <c r="J41" s="488"/>
      <c r="K41" s="489"/>
      <c r="L41" s="489"/>
      <c r="M41" s="489"/>
      <c r="N41" s="489"/>
      <c r="O41" s="488"/>
      <c r="P41" s="487"/>
    </row>
    <row r="42" spans="2:17" s="426" customFormat="1" ht="11.25" x14ac:dyDescent="0.2">
      <c r="B42" s="1287"/>
      <c r="C42" s="1314"/>
      <c r="D42" s="482" t="s">
        <v>645</v>
      </c>
      <c r="E42" s="483">
        <v>-1</v>
      </c>
      <c r="F42" s="484"/>
      <c r="G42" s="485">
        <f>I27+I18</f>
        <v>187500</v>
      </c>
      <c r="H42" s="486">
        <f>E42*G42</f>
        <v>-187500</v>
      </c>
      <c r="I42" s="487"/>
      <c r="J42" s="488"/>
      <c r="K42" s="489"/>
      <c r="L42" s="489"/>
      <c r="M42" s="489"/>
      <c r="N42" s="489"/>
      <c r="O42" s="488"/>
      <c r="P42" s="487"/>
    </row>
    <row r="43" spans="2:17" s="426" customFormat="1" ht="11.25" x14ac:dyDescent="0.2">
      <c r="B43" s="1287"/>
      <c r="C43" s="1314"/>
      <c r="D43" s="482" t="s">
        <v>598</v>
      </c>
      <c r="E43" s="483">
        <v>1</v>
      </c>
      <c r="F43" s="484"/>
      <c r="G43" s="485"/>
      <c r="H43" s="486">
        <f t="shared" ref="H43" si="7">E43*G43</f>
        <v>0</v>
      </c>
      <c r="I43" s="487">
        <f>SUM(H37:H43)</f>
        <v>187500</v>
      </c>
      <c r="J43" s="488">
        <f>I43*$J$5</f>
        <v>24375</v>
      </c>
      <c r="K43" s="489">
        <f>SUM(I43:J43)*$K$5</f>
        <v>9534.375</v>
      </c>
      <c r="L43" s="489">
        <f>SUM(I43:K43)*$L$5</f>
        <v>12177.515625</v>
      </c>
      <c r="M43" s="489">
        <f>SUM(I43:L43)*$M$5</f>
        <v>14015.213437499999</v>
      </c>
      <c r="N43" s="489">
        <f>SUM(I43:M43)*$N$5</f>
        <v>24760.21040625</v>
      </c>
      <c r="O43" s="488">
        <f>SUM(I43:N43)</f>
        <v>272362.31446875003</v>
      </c>
      <c r="P43" s="487">
        <f>ROUND(O43,-3)</f>
        <v>272000</v>
      </c>
      <c r="Q43" s="426" t="s">
        <v>600</v>
      </c>
    </row>
    <row r="44" spans="2:17" s="426" customFormat="1" ht="11.25" x14ac:dyDescent="0.2">
      <c r="B44" s="1287"/>
      <c r="C44" s="1314"/>
      <c r="D44" s="482"/>
      <c r="E44" s="483"/>
      <c r="F44" s="484"/>
      <c r="G44" s="485"/>
      <c r="H44" s="486"/>
      <c r="I44" s="487"/>
      <c r="J44" s="488"/>
      <c r="K44" s="489"/>
      <c r="L44" s="489"/>
      <c r="M44" s="489"/>
      <c r="N44" s="489"/>
      <c r="O44" s="488"/>
      <c r="P44" s="487"/>
    </row>
    <row r="45" spans="2:17" s="426" customFormat="1" ht="12" thickBot="1" x14ac:dyDescent="0.25">
      <c r="B45" s="1288"/>
      <c r="C45" s="1315"/>
      <c r="D45" s="444"/>
      <c r="E45" s="445"/>
      <c r="F45" s="446"/>
      <c r="G45" s="447"/>
      <c r="H45" s="448"/>
      <c r="I45" s="449"/>
      <c r="J45" s="450"/>
      <c r="K45" s="451"/>
      <c r="L45" s="451"/>
      <c r="M45" s="451"/>
      <c r="N45" s="451"/>
      <c r="O45" s="450"/>
      <c r="P45" s="449"/>
    </row>
  </sheetData>
  <mergeCells count="9">
    <mergeCell ref="B2:P3"/>
    <mergeCell ref="B6:B12"/>
    <mergeCell ref="B13:B19"/>
    <mergeCell ref="B20:B29"/>
    <mergeCell ref="B30:B45"/>
    <mergeCell ref="C6:C12"/>
    <mergeCell ref="C13:C19"/>
    <mergeCell ref="C20:C29"/>
    <mergeCell ref="C30:C4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59B7B-D6E0-428F-B78F-8AD21F3BBBD8}">
  <sheetPr>
    <tabColor theme="9" tint="0.79998168889431442"/>
  </sheetPr>
  <dimension ref="B2:Q80"/>
  <sheetViews>
    <sheetView showGridLines="0" topLeftCell="D27" zoomScale="130" zoomScaleNormal="130" workbookViewId="0">
      <selection activeCell="G45" sqref="G45"/>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Outdoor Water Use</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1.25" x14ac:dyDescent="0.2">
      <c r="B6" s="908" t="str">
        <f>'Detailed Matrix'!E194</f>
        <v>Rainwater Collection</v>
      </c>
      <c r="C6" s="930" t="str">
        <f>'Detailed Matrix'!F194</f>
        <v>Rainwater tank to collect water</v>
      </c>
      <c r="D6" s="390" t="s">
        <v>556</v>
      </c>
      <c r="E6" s="391">
        <v>1</v>
      </c>
      <c r="F6" s="392"/>
      <c r="G6" s="393">
        <v>250</v>
      </c>
      <c r="H6" s="394">
        <f t="shared" ref="H6:H12" si="0">E6*G6</f>
        <v>250</v>
      </c>
      <c r="I6" s="395"/>
      <c r="J6" s="396"/>
      <c r="K6" s="397"/>
      <c r="L6" s="397"/>
      <c r="M6" s="397"/>
      <c r="N6" s="397"/>
      <c r="O6" s="396"/>
      <c r="P6" s="395"/>
    </row>
    <row r="7" spans="2:17" s="420" customFormat="1" ht="11.25" x14ac:dyDescent="0.2">
      <c r="B7" s="909"/>
      <c r="C7" s="931"/>
      <c r="D7" s="768"/>
      <c r="E7" s="399">
        <v>1</v>
      </c>
      <c r="F7" s="400"/>
      <c r="G7" s="401"/>
      <c r="H7" s="722">
        <f t="shared" si="0"/>
        <v>0</v>
      </c>
      <c r="I7" s="723"/>
      <c r="J7" s="724"/>
      <c r="K7" s="725"/>
      <c r="L7" s="725"/>
      <c r="M7" s="725"/>
      <c r="N7" s="725"/>
      <c r="O7" s="724"/>
      <c r="P7" s="723"/>
    </row>
    <row r="8" spans="2:17" s="420" customFormat="1" ht="11.25" x14ac:dyDescent="0.2">
      <c r="B8" s="909"/>
      <c r="C8" s="931"/>
      <c r="D8" s="768"/>
      <c r="E8" s="399">
        <v>1</v>
      </c>
      <c r="F8" s="400"/>
      <c r="G8" s="401"/>
      <c r="H8" s="722">
        <f t="shared" si="0"/>
        <v>0</v>
      </c>
      <c r="I8" s="723"/>
      <c r="J8" s="724"/>
      <c r="K8" s="725"/>
      <c r="L8" s="725"/>
      <c r="M8" s="725"/>
      <c r="N8" s="725"/>
      <c r="O8" s="724"/>
      <c r="P8" s="723"/>
    </row>
    <row r="9" spans="2:17" s="420" customFormat="1" ht="11.25" x14ac:dyDescent="0.2">
      <c r="B9" s="909"/>
      <c r="C9" s="931"/>
      <c r="D9" s="768"/>
      <c r="E9" s="399">
        <v>1</v>
      </c>
      <c r="F9" s="400"/>
      <c r="G9" s="401"/>
      <c r="H9" s="722">
        <f t="shared" si="0"/>
        <v>0</v>
      </c>
      <c r="I9" s="723"/>
      <c r="J9" s="724"/>
      <c r="K9" s="725"/>
      <c r="L9" s="725"/>
      <c r="M9" s="725"/>
      <c r="N9" s="725"/>
      <c r="O9" s="724"/>
      <c r="P9" s="723"/>
    </row>
    <row r="10" spans="2:17" s="420" customFormat="1" ht="11.25" x14ac:dyDescent="0.2">
      <c r="B10" s="909"/>
      <c r="C10" s="931"/>
      <c r="D10" s="768"/>
      <c r="E10" s="399">
        <v>1</v>
      </c>
      <c r="F10" s="400"/>
      <c r="G10" s="401"/>
      <c r="H10" s="722">
        <f t="shared" si="0"/>
        <v>0</v>
      </c>
      <c r="I10" s="723"/>
      <c r="J10" s="724"/>
      <c r="K10" s="725"/>
      <c r="L10" s="725"/>
      <c r="M10" s="725"/>
      <c r="N10" s="725"/>
      <c r="O10" s="724"/>
      <c r="P10" s="723"/>
    </row>
    <row r="11" spans="2:17" s="420" customFormat="1" ht="11.25" x14ac:dyDescent="0.2">
      <c r="B11" s="909"/>
      <c r="C11" s="931"/>
      <c r="D11" s="768"/>
      <c r="E11" s="399">
        <v>1</v>
      </c>
      <c r="F11" s="400"/>
      <c r="G11" s="401"/>
      <c r="H11" s="722">
        <f t="shared" si="0"/>
        <v>0</v>
      </c>
      <c r="I11" s="723"/>
      <c r="J11" s="724"/>
      <c r="K11" s="725"/>
      <c r="L11" s="725"/>
      <c r="M11" s="725"/>
      <c r="N11" s="725"/>
      <c r="O11" s="724"/>
      <c r="P11" s="723"/>
    </row>
    <row r="12" spans="2:17" s="420" customFormat="1" ht="22.5" x14ac:dyDescent="0.2">
      <c r="B12" s="909"/>
      <c r="C12" s="931"/>
      <c r="D12" s="948" t="s">
        <v>649</v>
      </c>
      <c r="E12" s="399"/>
      <c r="F12" s="400"/>
      <c r="G12" s="401"/>
      <c r="H12" s="722">
        <f t="shared" si="0"/>
        <v>0</v>
      </c>
      <c r="I12" s="723">
        <f>SUM(H6:H12)</f>
        <v>250</v>
      </c>
      <c r="J12" s="724">
        <f>I12*$J$5</f>
        <v>32.5</v>
      </c>
      <c r="K12" s="725">
        <f>SUM(I12:J12)*$K$5</f>
        <v>12.7125</v>
      </c>
      <c r="L12" s="725">
        <f>SUM(I12:K12)*$L$5</f>
        <v>16.236687499999999</v>
      </c>
      <c r="M12" s="725">
        <f>SUM(I12:L12)*$M$5</f>
        <v>18.68695125</v>
      </c>
      <c r="N12" s="725">
        <f>SUM(I12:M12)*$N$5</f>
        <v>33.013613874999997</v>
      </c>
      <c r="O12" s="724">
        <f>SUM(I12:N12)</f>
        <v>363.14975262499996</v>
      </c>
      <c r="P12" s="723">
        <f>ROUND(O12,-3)</f>
        <v>0</v>
      </c>
      <c r="Q12" s="420" t="s">
        <v>600</v>
      </c>
    </row>
    <row r="13" spans="2:17" s="420" customFormat="1" ht="11.25" x14ac:dyDescent="0.2">
      <c r="B13" s="909"/>
      <c r="C13" s="931"/>
      <c r="D13" s="768"/>
      <c r="E13" s="399"/>
      <c r="F13" s="400"/>
      <c r="G13" s="401"/>
      <c r="H13" s="722"/>
      <c r="I13" s="723"/>
      <c r="J13" s="724"/>
      <c r="K13" s="725"/>
      <c r="L13" s="725"/>
      <c r="M13" s="725"/>
      <c r="N13" s="725"/>
      <c r="O13" s="724"/>
      <c r="P13" s="723"/>
    </row>
    <row r="14" spans="2:17" s="420" customFormat="1" ht="11.25" x14ac:dyDescent="0.2">
      <c r="B14" s="909"/>
      <c r="C14" s="931"/>
      <c r="D14" s="768" t="s">
        <v>557</v>
      </c>
      <c r="E14" s="399">
        <v>1</v>
      </c>
      <c r="F14" s="400"/>
      <c r="G14" s="401">
        <v>500000</v>
      </c>
      <c r="H14" s="722">
        <f>E14*G14</f>
        <v>500000</v>
      </c>
      <c r="I14" s="723"/>
      <c r="J14" s="724"/>
      <c r="K14" s="725"/>
      <c r="L14" s="725"/>
      <c r="M14" s="725"/>
      <c r="N14" s="725"/>
      <c r="O14" s="724"/>
      <c r="P14" s="723"/>
    </row>
    <row r="15" spans="2:17" s="420" customFormat="1" ht="11.25" x14ac:dyDescent="0.2">
      <c r="B15" s="909"/>
      <c r="C15" s="931"/>
      <c r="D15" s="768"/>
      <c r="E15" s="399">
        <v>1</v>
      </c>
      <c r="F15" s="400"/>
      <c r="G15" s="401"/>
      <c r="H15" s="722">
        <f>E15*G15</f>
        <v>0</v>
      </c>
      <c r="I15" s="723"/>
      <c r="J15" s="724"/>
      <c r="K15" s="725"/>
      <c r="L15" s="725"/>
      <c r="M15" s="725"/>
      <c r="N15" s="725"/>
      <c r="O15" s="724"/>
      <c r="P15" s="723"/>
    </row>
    <row r="16" spans="2:17" s="420" customFormat="1" ht="11.25" x14ac:dyDescent="0.2">
      <c r="B16" s="909"/>
      <c r="C16" s="931"/>
      <c r="D16" s="768"/>
      <c r="E16" s="399">
        <v>1</v>
      </c>
      <c r="F16" s="400"/>
      <c r="G16" s="401"/>
      <c r="H16" s="722">
        <f>E16*G16</f>
        <v>0</v>
      </c>
      <c r="I16" s="723"/>
      <c r="J16" s="724"/>
      <c r="K16" s="725"/>
      <c r="L16" s="725"/>
      <c r="M16" s="725"/>
      <c r="N16" s="725"/>
      <c r="O16" s="724"/>
      <c r="P16" s="723"/>
    </row>
    <row r="17" spans="2:17" s="420" customFormat="1" ht="11.25" x14ac:dyDescent="0.2">
      <c r="B17" s="909"/>
      <c r="C17" s="931"/>
      <c r="D17" s="768"/>
      <c r="E17" s="399">
        <v>1</v>
      </c>
      <c r="F17" s="400"/>
      <c r="G17" s="401"/>
      <c r="H17" s="722">
        <f>E17*G17</f>
        <v>0</v>
      </c>
      <c r="I17" s="723"/>
      <c r="J17" s="724"/>
      <c r="K17" s="725"/>
      <c r="L17" s="725"/>
      <c r="M17" s="725"/>
      <c r="N17" s="725"/>
      <c r="O17" s="724"/>
      <c r="P17" s="723"/>
    </row>
    <row r="18" spans="2:17" s="420" customFormat="1" ht="11.25" x14ac:dyDescent="0.2">
      <c r="B18" s="909"/>
      <c r="C18" s="931"/>
      <c r="D18" s="768"/>
      <c r="E18" s="399">
        <v>1</v>
      </c>
      <c r="F18" s="400"/>
      <c r="G18" s="401"/>
      <c r="H18" s="722">
        <f>E18*G18</f>
        <v>0</v>
      </c>
      <c r="I18" s="723"/>
      <c r="J18" s="724"/>
      <c r="K18" s="725"/>
      <c r="L18" s="725"/>
      <c r="M18" s="725"/>
      <c r="N18" s="725"/>
      <c r="O18" s="724"/>
      <c r="P18" s="723"/>
    </row>
    <row r="19" spans="2:17" s="420" customFormat="1" ht="22.5" x14ac:dyDescent="0.2">
      <c r="B19" s="909"/>
      <c r="C19" s="931"/>
      <c r="D19" s="948" t="s">
        <v>649</v>
      </c>
      <c r="E19" s="399">
        <v>1</v>
      </c>
      <c r="F19" s="400"/>
      <c r="G19" s="401"/>
      <c r="H19" s="722">
        <f t="shared" ref="H19" si="1">E19*G19</f>
        <v>0</v>
      </c>
      <c r="I19" s="723">
        <f>SUM(H13:H19)</f>
        <v>500000</v>
      </c>
      <c r="J19" s="724">
        <f>I19*$J$5</f>
        <v>65000</v>
      </c>
      <c r="K19" s="725">
        <f>SUM(I19:J19)*$K$5</f>
        <v>25425</v>
      </c>
      <c r="L19" s="725">
        <f>SUM(I19:K19)*$L$5</f>
        <v>32473.375</v>
      </c>
      <c r="M19" s="725">
        <f>SUM(I19:L19)*$M$5</f>
        <v>37373.902499999997</v>
      </c>
      <c r="N19" s="725">
        <f>SUM(I19:M19)*$N$5</f>
        <v>66027.227750000005</v>
      </c>
      <c r="O19" s="724">
        <f>SUM(I19:N19)</f>
        <v>726299.50524999993</v>
      </c>
      <c r="P19" s="723">
        <f>ROUND(O19,-3)</f>
        <v>726000</v>
      </c>
      <c r="Q19" s="420" t="s">
        <v>600</v>
      </c>
    </row>
    <row r="20" spans="2:17" s="420" customFormat="1" ht="12" thickBot="1" x14ac:dyDescent="0.25">
      <c r="B20" s="910"/>
      <c r="C20" s="949"/>
      <c r="D20" s="407"/>
      <c r="E20" s="408"/>
      <c r="F20" s="409"/>
      <c r="G20" s="410"/>
      <c r="H20" s="411"/>
      <c r="I20" s="412"/>
      <c r="J20" s="413"/>
      <c r="K20" s="414"/>
      <c r="L20" s="414"/>
      <c r="M20" s="414"/>
      <c r="N20" s="414"/>
      <c r="O20" s="413"/>
      <c r="P20" s="412"/>
    </row>
    <row r="21" spans="2:17" s="426" customFormat="1" ht="10.5" customHeight="1" x14ac:dyDescent="0.2">
      <c r="B21" s="908" t="e">
        <f>'Detailed Matrix'!#REF!</f>
        <v>#REF!</v>
      </c>
      <c r="C21" s="1266" t="e">
        <f>'Detailed Matrix'!#REF!</f>
        <v>#REF!</v>
      </c>
      <c r="D21" s="390" t="s">
        <v>556</v>
      </c>
      <c r="E21" s="391">
        <v>1</v>
      </c>
      <c r="F21" s="392"/>
      <c r="G21" s="393"/>
      <c r="H21" s="394">
        <f t="shared" ref="H21:H27" si="2">E21*G21</f>
        <v>0</v>
      </c>
      <c r="I21" s="395"/>
      <c r="J21" s="396"/>
      <c r="K21" s="397"/>
      <c r="L21" s="397"/>
      <c r="M21" s="397"/>
      <c r="N21" s="397"/>
      <c r="O21" s="396"/>
      <c r="P21" s="395"/>
    </row>
    <row r="22" spans="2:17" s="426" customFormat="1" ht="14.45" customHeight="1" x14ac:dyDescent="0.2">
      <c r="B22" s="909"/>
      <c r="C22" s="1267"/>
      <c r="D22" s="768"/>
      <c r="E22" s="399">
        <v>1</v>
      </c>
      <c r="F22" s="400"/>
      <c r="G22" s="401"/>
      <c r="H22" s="722">
        <f t="shared" si="2"/>
        <v>0</v>
      </c>
      <c r="I22" s="723"/>
      <c r="J22" s="724"/>
      <c r="K22" s="725"/>
      <c r="L22" s="725"/>
      <c r="M22" s="725"/>
      <c r="N22" s="725"/>
      <c r="O22" s="724"/>
      <c r="P22" s="723"/>
    </row>
    <row r="23" spans="2:17" s="426" customFormat="1" ht="14.45" customHeight="1" x14ac:dyDescent="0.2">
      <c r="B23" s="909"/>
      <c r="C23" s="1267"/>
      <c r="D23" s="768"/>
      <c r="E23" s="399">
        <v>1</v>
      </c>
      <c r="F23" s="400"/>
      <c r="G23" s="401"/>
      <c r="H23" s="722">
        <f t="shared" si="2"/>
        <v>0</v>
      </c>
      <c r="I23" s="723"/>
      <c r="J23" s="724"/>
      <c r="K23" s="725"/>
      <c r="L23" s="725"/>
      <c r="M23" s="725"/>
      <c r="N23" s="725"/>
      <c r="O23" s="724"/>
      <c r="P23" s="723"/>
    </row>
    <row r="24" spans="2:17" s="426" customFormat="1" ht="14.45" customHeight="1" x14ac:dyDescent="0.2">
      <c r="B24" s="909"/>
      <c r="C24" s="1267"/>
      <c r="D24" s="768"/>
      <c r="E24" s="399">
        <v>1</v>
      </c>
      <c r="F24" s="400"/>
      <c r="G24" s="401"/>
      <c r="H24" s="722">
        <f t="shared" si="2"/>
        <v>0</v>
      </c>
      <c r="I24" s="723"/>
      <c r="J24" s="724"/>
      <c r="K24" s="725"/>
      <c r="L24" s="725"/>
      <c r="M24" s="725"/>
      <c r="N24" s="725"/>
      <c r="O24" s="724"/>
      <c r="P24" s="723"/>
    </row>
    <row r="25" spans="2:17" s="426" customFormat="1" ht="14.45" customHeight="1" x14ac:dyDescent="0.2">
      <c r="B25" s="909"/>
      <c r="C25" s="1267"/>
      <c r="D25" s="768"/>
      <c r="E25" s="399">
        <v>1</v>
      </c>
      <c r="F25" s="400"/>
      <c r="G25" s="401"/>
      <c r="H25" s="722">
        <f t="shared" si="2"/>
        <v>0</v>
      </c>
      <c r="I25" s="723"/>
      <c r="J25" s="724"/>
      <c r="K25" s="725"/>
      <c r="L25" s="725"/>
      <c r="M25" s="725"/>
      <c r="N25" s="725"/>
      <c r="O25" s="724"/>
      <c r="P25" s="723"/>
    </row>
    <row r="26" spans="2:17" s="426" customFormat="1" ht="14.45" customHeight="1" x14ac:dyDescent="0.2">
      <c r="B26" s="909"/>
      <c r="C26" s="1267"/>
      <c r="D26" s="768"/>
      <c r="E26" s="399">
        <v>1</v>
      </c>
      <c r="F26" s="400"/>
      <c r="G26" s="401"/>
      <c r="H26" s="722">
        <f t="shared" si="2"/>
        <v>0</v>
      </c>
      <c r="I26" s="723"/>
      <c r="J26" s="724"/>
      <c r="K26" s="725"/>
      <c r="L26" s="725"/>
      <c r="M26" s="725"/>
      <c r="N26" s="725"/>
      <c r="O26" s="724"/>
      <c r="P26" s="723"/>
    </row>
    <row r="27" spans="2:17" s="426" customFormat="1" ht="14.45" customHeight="1" x14ac:dyDescent="0.2">
      <c r="B27" s="909"/>
      <c r="C27" s="1267"/>
      <c r="D27" s="768" t="s">
        <v>650</v>
      </c>
      <c r="E27" s="399"/>
      <c r="F27" s="400"/>
      <c r="G27" s="401"/>
      <c r="H27" s="722">
        <f t="shared" si="2"/>
        <v>0</v>
      </c>
      <c r="I27" s="723">
        <f>SUM(H21:H27)</f>
        <v>0</v>
      </c>
      <c r="J27" s="724">
        <f>I27*$J$5</f>
        <v>0</v>
      </c>
      <c r="K27" s="725">
        <f>SUM(I27:J27)*$K$5</f>
        <v>0</v>
      </c>
      <c r="L27" s="725">
        <f>SUM(I27:K27)*$L$5</f>
        <v>0</v>
      </c>
      <c r="M27" s="725">
        <f>SUM(I27:L27)*$M$5</f>
        <v>0</v>
      </c>
      <c r="N27" s="725">
        <f>SUM(I27:M27)*$N$5</f>
        <v>0</v>
      </c>
      <c r="O27" s="724">
        <f>SUM(I27:N27)</f>
        <v>0</v>
      </c>
      <c r="P27" s="723">
        <f>ROUND(O27,-3)</f>
        <v>0</v>
      </c>
      <c r="Q27" s="426" t="s">
        <v>600</v>
      </c>
    </row>
    <row r="28" spans="2:17" s="426" customFormat="1" ht="14.45" customHeight="1" x14ac:dyDescent="0.2">
      <c r="B28" s="909"/>
      <c r="C28" s="1267"/>
      <c r="D28" s="768"/>
      <c r="E28" s="399"/>
      <c r="F28" s="400"/>
      <c r="G28" s="401"/>
      <c r="H28" s="722"/>
      <c r="I28" s="723"/>
      <c r="J28" s="724"/>
      <c r="K28" s="725"/>
      <c r="L28" s="725"/>
      <c r="M28" s="725"/>
      <c r="N28" s="725"/>
      <c r="O28" s="724"/>
      <c r="P28" s="723"/>
    </row>
    <row r="29" spans="2:17" s="426" customFormat="1" ht="14.45" customHeight="1" x14ac:dyDescent="0.2">
      <c r="B29" s="909"/>
      <c r="C29" s="1267"/>
      <c r="D29" s="768" t="s">
        <v>557</v>
      </c>
      <c r="E29" s="399">
        <v>1</v>
      </c>
      <c r="F29" s="400"/>
      <c r="G29" s="401"/>
      <c r="H29" s="722">
        <f>E29*G29</f>
        <v>0</v>
      </c>
      <c r="I29" s="723"/>
      <c r="J29" s="724"/>
      <c r="K29" s="725"/>
      <c r="L29" s="725"/>
      <c r="M29" s="725"/>
      <c r="N29" s="725"/>
      <c r="O29" s="724"/>
      <c r="P29" s="723"/>
    </row>
    <row r="30" spans="2:17" s="426" customFormat="1" ht="14.45" customHeight="1" x14ac:dyDescent="0.2">
      <c r="B30" s="909"/>
      <c r="C30" s="1267"/>
      <c r="D30" s="768"/>
      <c r="E30" s="399">
        <v>1</v>
      </c>
      <c r="F30" s="400"/>
      <c r="G30" s="401"/>
      <c r="H30" s="722">
        <f>E30*G30</f>
        <v>0</v>
      </c>
      <c r="I30" s="723"/>
      <c r="J30" s="724"/>
      <c r="K30" s="725"/>
      <c r="L30" s="725"/>
      <c r="M30" s="725"/>
      <c r="N30" s="725"/>
      <c r="O30" s="724"/>
      <c r="P30" s="723"/>
    </row>
    <row r="31" spans="2:17" s="426" customFormat="1" ht="14.45" customHeight="1" x14ac:dyDescent="0.2">
      <c r="B31" s="909"/>
      <c r="C31" s="1267"/>
      <c r="D31" s="768"/>
      <c r="E31" s="399">
        <v>1</v>
      </c>
      <c r="F31" s="400"/>
      <c r="G31" s="401"/>
      <c r="H31" s="722">
        <f>E31*G31</f>
        <v>0</v>
      </c>
      <c r="I31" s="723"/>
      <c r="J31" s="724"/>
      <c r="K31" s="725"/>
      <c r="L31" s="725"/>
      <c r="M31" s="725"/>
      <c r="N31" s="725"/>
      <c r="O31" s="724"/>
      <c r="P31" s="723"/>
    </row>
    <row r="32" spans="2:17" s="426" customFormat="1" ht="14.45" customHeight="1" x14ac:dyDescent="0.2">
      <c r="B32" s="909"/>
      <c r="C32" s="1267"/>
      <c r="D32" s="768"/>
      <c r="E32" s="399">
        <v>1</v>
      </c>
      <c r="F32" s="400"/>
      <c r="G32" s="401"/>
      <c r="H32" s="722">
        <f>E32*G32</f>
        <v>0</v>
      </c>
      <c r="I32" s="723"/>
      <c r="J32" s="724"/>
      <c r="K32" s="725"/>
      <c r="L32" s="725"/>
      <c r="M32" s="725"/>
      <c r="N32" s="725"/>
      <c r="O32" s="724"/>
      <c r="P32" s="723"/>
    </row>
    <row r="33" spans="2:17" s="426" customFormat="1" ht="14.45" customHeight="1" x14ac:dyDescent="0.2">
      <c r="B33" s="909"/>
      <c r="C33" s="1267"/>
      <c r="D33" s="768"/>
      <c r="E33" s="399">
        <v>1</v>
      </c>
      <c r="F33" s="400"/>
      <c r="G33" s="401"/>
      <c r="H33" s="722">
        <f>E33*G33</f>
        <v>0</v>
      </c>
      <c r="I33" s="723"/>
      <c r="J33" s="724"/>
      <c r="K33" s="725"/>
      <c r="L33" s="725"/>
      <c r="M33" s="725"/>
      <c r="N33" s="725"/>
      <c r="O33" s="724"/>
      <c r="P33" s="723"/>
    </row>
    <row r="34" spans="2:17" s="426" customFormat="1" ht="14.45" customHeight="1" x14ac:dyDescent="0.2">
      <c r="B34" s="909"/>
      <c r="C34" s="1267"/>
      <c r="D34" s="768" t="s">
        <v>650</v>
      </c>
      <c r="E34" s="399">
        <v>1</v>
      </c>
      <c r="F34" s="400"/>
      <c r="G34" s="401"/>
      <c r="H34" s="722">
        <f t="shared" ref="H34" si="3">E34*G34</f>
        <v>0</v>
      </c>
      <c r="I34" s="723">
        <f>SUM(H28:H34)</f>
        <v>0</v>
      </c>
      <c r="J34" s="724">
        <f>I34*$J$5</f>
        <v>0</v>
      </c>
      <c r="K34" s="725">
        <f>SUM(I34:J34)*$K$5</f>
        <v>0</v>
      </c>
      <c r="L34" s="725">
        <f>SUM(I34:K34)*$L$5</f>
        <v>0</v>
      </c>
      <c r="M34" s="725">
        <f>SUM(I34:L34)*$M$5</f>
        <v>0</v>
      </c>
      <c r="N34" s="725">
        <f>SUM(I34:M34)*$N$5</f>
        <v>0</v>
      </c>
      <c r="O34" s="724">
        <f>SUM(I34:N34)</f>
        <v>0</v>
      </c>
      <c r="P34" s="723">
        <f>ROUND(O34,-3)</f>
        <v>0</v>
      </c>
      <c r="Q34" s="426" t="s">
        <v>600</v>
      </c>
    </row>
    <row r="35" spans="2:17" s="426" customFormat="1" ht="15" customHeight="1" thickBot="1" x14ac:dyDescent="0.25">
      <c r="B35" s="910"/>
      <c r="C35" s="1268"/>
      <c r="D35" s="407"/>
      <c r="E35" s="408"/>
      <c r="F35" s="409"/>
      <c r="G35" s="410"/>
      <c r="H35" s="411"/>
      <c r="I35" s="412"/>
      <c r="J35" s="413"/>
      <c r="K35" s="414"/>
      <c r="L35" s="414"/>
      <c r="M35" s="414"/>
      <c r="N35" s="414"/>
      <c r="O35" s="413"/>
      <c r="P35" s="412"/>
    </row>
    <row r="36" spans="2:17" s="420" customFormat="1" ht="36" customHeight="1" x14ac:dyDescent="0.2">
      <c r="B36" s="908" t="str">
        <f>'Detailed Matrix'!E195</f>
        <v>Smart Irrigation Systems</v>
      </c>
      <c r="C36" s="1266" t="str">
        <f>'Detailed Matrix'!F195</f>
        <v>Install a programmed automatic, in-ground irrigation/sprinkler system with a weather-based SMART irrigation controller, including a rain sensor.</v>
      </c>
      <c r="D36" s="390" t="s">
        <v>556</v>
      </c>
      <c r="E36" s="391">
        <v>1</v>
      </c>
      <c r="F36" s="392"/>
      <c r="G36" s="393">
        <v>10000</v>
      </c>
      <c r="H36" s="394">
        <f t="shared" ref="H36:H42" si="4">E36*G36</f>
        <v>10000</v>
      </c>
      <c r="I36" s="395"/>
      <c r="J36" s="396"/>
      <c r="K36" s="397"/>
      <c r="L36" s="397"/>
      <c r="M36" s="397"/>
      <c r="N36" s="397"/>
      <c r="O36" s="396"/>
      <c r="P36" s="395"/>
    </row>
    <row r="37" spans="2:17" s="420" customFormat="1" ht="14.45" customHeight="1" x14ac:dyDescent="0.2">
      <c r="B37" s="909"/>
      <c r="C37" s="1267"/>
      <c r="D37" s="768"/>
      <c r="E37" s="399">
        <v>1</v>
      </c>
      <c r="F37" s="400"/>
      <c r="G37" s="401"/>
      <c r="H37" s="722">
        <f t="shared" si="4"/>
        <v>0</v>
      </c>
      <c r="I37" s="723"/>
      <c r="J37" s="724"/>
      <c r="K37" s="725"/>
      <c r="L37" s="725"/>
      <c r="M37" s="725"/>
      <c r="N37" s="725"/>
      <c r="O37" s="724"/>
      <c r="P37" s="723"/>
    </row>
    <row r="38" spans="2:17" s="420" customFormat="1" ht="14.45" customHeight="1" x14ac:dyDescent="0.2">
      <c r="B38" s="909"/>
      <c r="C38" s="1267"/>
      <c r="D38" s="768"/>
      <c r="E38" s="399">
        <v>1</v>
      </c>
      <c r="F38" s="400"/>
      <c r="G38" s="401"/>
      <c r="H38" s="722">
        <f t="shared" si="4"/>
        <v>0</v>
      </c>
      <c r="I38" s="723"/>
      <c r="J38" s="724"/>
      <c r="K38" s="725"/>
      <c r="L38" s="725"/>
      <c r="M38" s="725"/>
      <c r="N38" s="725"/>
      <c r="O38" s="724"/>
      <c r="P38" s="723"/>
    </row>
    <row r="39" spans="2:17" s="420" customFormat="1" ht="14.45" customHeight="1" x14ac:dyDescent="0.2">
      <c r="B39" s="909"/>
      <c r="C39" s="1267"/>
      <c r="D39" s="768"/>
      <c r="E39" s="399">
        <v>1</v>
      </c>
      <c r="F39" s="400"/>
      <c r="G39" s="401"/>
      <c r="H39" s="722">
        <f t="shared" si="4"/>
        <v>0</v>
      </c>
      <c r="I39" s="723"/>
      <c r="J39" s="724"/>
      <c r="K39" s="725"/>
      <c r="L39" s="725"/>
      <c r="M39" s="725"/>
      <c r="N39" s="725"/>
      <c r="O39" s="724"/>
      <c r="P39" s="723"/>
    </row>
    <row r="40" spans="2:17" s="420" customFormat="1" ht="14.45" customHeight="1" x14ac:dyDescent="0.2">
      <c r="B40" s="909"/>
      <c r="C40" s="1267"/>
      <c r="D40" s="768"/>
      <c r="E40" s="399">
        <v>1</v>
      </c>
      <c r="F40" s="400"/>
      <c r="G40" s="401"/>
      <c r="H40" s="722">
        <f t="shared" si="4"/>
        <v>0</v>
      </c>
      <c r="I40" s="723"/>
      <c r="J40" s="724"/>
      <c r="K40" s="725"/>
      <c r="L40" s="725"/>
      <c r="M40" s="725"/>
      <c r="N40" s="725"/>
      <c r="O40" s="724"/>
      <c r="P40" s="723"/>
    </row>
    <row r="41" spans="2:17" s="420" customFormat="1" ht="14.45" customHeight="1" x14ac:dyDescent="0.2">
      <c r="B41" s="909"/>
      <c r="C41" s="1267"/>
      <c r="D41" s="768"/>
      <c r="E41" s="399">
        <v>1</v>
      </c>
      <c r="F41" s="400"/>
      <c r="G41" s="401"/>
      <c r="H41" s="722">
        <f t="shared" si="4"/>
        <v>0</v>
      </c>
      <c r="I41" s="723"/>
      <c r="J41" s="724"/>
      <c r="K41" s="725"/>
      <c r="L41" s="725"/>
      <c r="M41" s="725"/>
      <c r="N41" s="725"/>
      <c r="O41" s="724"/>
      <c r="P41" s="723"/>
    </row>
    <row r="42" spans="2:17" s="420" customFormat="1" ht="14.45" customHeight="1" x14ac:dyDescent="0.2">
      <c r="B42" s="909"/>
      <c r="C42" s="1267"/>
      <c r="D42" s="768" t="s">
        <v>598</v>
      </c>
      <c r="E42" s="399"/>
      <c r="F42" s="400"/>
      <c r="G42" s="401"/>
      <c r="H42" s="722">
        <f t="shared" si="4"/>
        <v>0</v>
      </c>
      <c r="I42" s="723">
        <f>SUM(H36:H42)</f>
        <v>10000</v>
      </c>
      <c r="J42" s="724">
        <f>I42*$J$5</f>
        <v>1300</v>
      </c>
      <c r="K42" s="725">
        <f>SUM(I42:J42)*$K$5</f>
        <v>508.5</v>
      </c>
      <c r="L42" s="725">
        <f>SUM(I42:K42)*$L$5</f>
        <v>649.46749999999997</v>
      </c>
      <c r="M42" s="725">
        <f>SUM(I42:L42)*$M$5</f>
        <v>747.47805000000005</v>
      </c>
      <c r="N42" s="725">
        <f>SUM(I42:M42)*$N$5</f>
        <v>1320.5445550000002</v>
      </c>
      <c r="O42" s="724">
        <f>SUM(I42:N42)</f>
        <v>14525.990105000001</v>
      </c>
      <c r="P42" s="723">
        <f>ROUND(O42,-3)</f>
        <v>15000</v>
      </c>
      <c r="Q42" s="420" t="s">
        <v>600</v>
      </c>
    </row>
    <row r="43" spans="2:17" s="420" customFormat="1" ht="14.45" customHeight="1" x14ac:dyDescent="0.2">
      <c r="B43" s="909"/>
      <c r="C43" s="1267"/>
      <c r="D43" s="768"/>
      <c r="E43" s="399"/>
      <c r="F43" s="400"/>
      <c r="G43" s="401"/>
      <c r="H43" s="722"/>
      <c r="I43" s="723"/>
      <c r="J43" s="724"/>
      <c r="K43" s="725"/>
      <c r="L43" s="725"/>
      <c r="M43" s="725"/>
      <c r="N43" s="725"/>
      <c r="O43" s="724"/>
      <c r="P43" s="723"/>
    </row>
    <row r="44" spans="2:17" s="420" customFormat="1" ht="14.45" customHeight="1" x14ac:dyDescent="0.2">
      <c r="B44" s="909"/>
      <c r="C44" s="1267"/>
      <c r="D44" s="768" t="s">
        <v>557</v>
      </c>
      <c r="E44" s="399">
        <v>1</v>
      </c>
      <c r="F44" s="400"/>
      <c r="G44" s="401">
        <v>100000</v>
      </c>
      <c r="H44" s="722">
        <f>E44*G44</f>
        <v>100000</v>
      </c>
      <c r="I44" s="723"/>
      <c r="J44" s="724"/>
      <c r="K44" s="725"/>
      <c r="L44" s="725"/>
      <c r="M44" s="725"/>
      <c r="N44" s="725"/>
      <c r="O44" s="724"/>
      <c r="P44" s="723"/>
    </row>
    <row r="45" spans="2:17" s="420" customFormat="1" ht="14.45" customHeight="1" x14ac:dyDescent="0.2">
      <c r="B45" s="909"/>
      <c r="C45" s="1267"/>
      <c r="D45" s="768"/>
      <c r="E45" s="399">
        <v>1</v>
      </c>
      <c r="F45" s="400"/>
      <c r="G45" s="401"/>
      <c r="H45" s="722">
        <f>E45*G45</f>
        <v>0</v>
      </c>
      <c r="I45" s="723"/>
      <c r="J45" s="724"/>
      <c r="K45" s="725"/>
      <c r="L45" s="725"/>
      <c r="M45" s="725"/>
      <c r="N45" s="725"/>
      <c r="O45" s="724"/>
      <c r="P45" s="723"/>
    </row>
    <row r="46" spans="2:17" s="420" customFormat="1" ht="14.45" customHeight="1" x14ac:dyDescent="0.2">
      <c r="B46" s="909"/>
      <c r="C46" s="1267"/>
      <c r="D46" s="768"/>
      <c r="E46" s="399">
        <v>1</v>
      </c>
      <c r="F46" s="400"/>
      <c r="G46" s="401"/>
      <c r="H46" s="722">
        <f>E46*G46</f>
        <v>0</v>
      </c>
      <c r="I46" s="723"/>
      <c r="J46" s="724"/>
      <c r="K46" s="725"/>
      <c r="L46" s="725"/>
      <c r="M46" s="725"/>
      <c r="N46" s="725"/>
      <c r="O46" s="724"/>
      <c r="P46" s="723"/>
    </row>
    <row r="47" spans="2:17" s="420" customFormat="1" ht="14.45" customHeight="1" x14ac:dyDescent="0.2">
      <c r="B47" s="909"/>
      <c r="C47" s="1267"/>
      <c r="D47" s="768"/>
      <c r="E47" s="399">
        <v>1</v>
      </c>
      <c r="F47" s="400"/>
      <c r="G47" s="401"/>
      <c r="H47" s="722">
        <f>E47*G47</f>
        <v>0</v>
      </c>
      <c r="I47" s="723"/>
      <c r="J47" s="724"/>
      <c r="K47" s="725"/>
      <c r="L47" s="725"/>
      <c r="M47" s="725"/>
      <c r="N47" s="725"/>
      <c r="O47" s="724"/>
      <c r="P47" s="723"/>
    </row>
    <row r="48" spans="2:17" s="420" customFormat="1" ht="14.45" customHeight="1" x14ac:dyDescent="0.2">
      <c r="B48" s="909"/>
      <c r="C48" s="1267"/>
      <c r="D48" s="768"/>
      <c r="E48" s="399">
        <v>1</v>
      </c>
      <c r="F48" s="400"/>
      <c r="G48" s="401"/>
      <c r="H48" s="722">
        <f>E48*G48</f>
        <v>0</v>
      </c>
      <c r="I48" s="723"/>
      <c r="J48" s="724"/>
      <c r="K48" s="725"/>
      <c r="L48" s="725"/>
      <c r="M48" s="725"/>
      <c r="N48" s="725"/>
      <c r="O48" s="724"/>
      <c r="P48" s="723"/>
    </row>
    <row r="49" spans="2:17" s="420" customFormat="1" ht="14.45" customHeight="1" x14ac:dyDescent="0.2">
      <c r="B49" s="909"/>
      <c r="C49" s="1267"/>
      <c r="D49" s="768" t="s">
        <v>598</v>
      </c>
      <c r="E49" s="399">
        <v>1</v>
      </c>
      <c r="F49" s="400"/>
      <c r="G49" s="401"/>
      <c r="H49" s="722">
        <f t="shared" ref="H49" si="5">E49*G49</f>
        <v>0</v>
      </c>
      <c r="I49" s="723">
        <f>SUM(H43:H49)</f>
        <v>100000</v>
      </c>
      <c r="J49" s="724">
        <f>I49*$J$5</f>
        <v>13000</v>
      </c>
      <c r="K49" s="725">
        <f>SUM(I49:J49)*$K$5</f>
        <v>5085</v>
      </c>
      <c r="L49" s="725">
        <f>SUM(I49:K49)*$L$5</f>
        <v>6494.6750000000002</v>
      </c>
      <c r="M49" s="725">
        <f>SUM(I49:L49)*$M$5</f>
        <v>7474.7804999999998</v>
      </c>
      <c r="N49" s="725">
        <f>SUM(I49:M49)*$N$5</f>
        <v>13205.445550000002</v>
      </c>
      <c r="O49" s="724">
        <f>SUM(I49:N49)</f>
        <v>145259.90105000001</v>
      </c>
      <c r="P49" s="723">
        <f>ROUND(O49,-3)</f>
        <v>145000</v>
      </c>
      <c r="Q49" s="420" t="s">
        <v>600</v>
      </c>
    </row>
    <row r="50" spans="2:17" s="420" customFormat="1" ht="15" customHeight="1" thickBot="1" x14ac:dyDescent="0.25">
      <c r="B50" s="910"/>
      <c r="C50" s="1268"/>
      <c r="D50" s="407"/>
      <c r="E50" s="408"/>
      <c r="F50" s="409"/>
      <c r="G50" s="410"/>
      <c r="H50" s="411"/>
      <c r="I50" s="412"/>
      <c r="J50" s="413"/>
      <c r="K50" s="414"/>
      <c r="L50" s="414"/>
      <c r="M50" s="414"/>
      <c r="N50" s="414"/>
      <c r="O50" s="413"/>
      <c r="P50" s="412"/>
    </row>
    <row r="51" spans="2:17" s="426" customFormat="1" ht="33" customHeight="1" x14ac:dyDescent="0.2">
      <c r="B51" s="908" t="str">
        <f>'Detailed Matrix'!E196</f>
        <v>Creating sustainable water-efficient landscape at community level</v>
      </c>
      <c r="C51" s="1266" t="str">
        <f>'Detailed Matrix'!F196</f>
        <v>Transformation of the current landscape into a sustainable, water-efficient landscape for rainwater harvesting at a community level.</v>
      </c>
      <c r="D51" s="390" t="s">
        <v>556</v>
      </c>
      <c r="E51" s="391">
        <v>1</v>
      </c>
      <c r="F51" s="392"/>
      <c r="G51" s="393"/>
      <c r="H51" s="394">
        <f t="shared" ref="H51:H57" si="6">E51*G51</f>
        <v>0</v>
      </c>
      <c r="I51" s="395"/>
      <c r="J51" s="396"/>
      <c r="K51" s="397"/>
      <c r="L51" s="397"/>
      <c r="M51" s="397"/>
      <c r="N51" s="397"/>
      <c r="O51" s="396"/>
      <c r="P51" s="395"/>
    </row>
    <row r="52" spans="2:17" s="426" customFormat="1" ht="14.45" customHeight="1" x14ac:dyDescent="0.2">
      <c r="B52" s="909"/>
      <c r="C52" s="1267"/>
      <c r="D52" s="768"/>
      <c r="E52" s="399">
        <v>1</v>
      </c>
      <c r="F52" s="400"/>
      <c r="G52" s="401"/>
      <c r="H52" s="722">
        <f t="shared" si="6"/>
        <v>0</v>
      </c>
      <c r="I52" s="723"/>
      <c r="J52" s="724"/>
      <c r="K52" s="725"/>
      <c r="L52" s="725"/>
      <c r="M52" s="725"/>
      <c r="N52" s="725"/>
      <c r="O52" s="724"/>
      <c r="P52" s="723"/>
    </row>
    <row r="53" spans="2:17" s="426" customFormat="1" ht="14.45" customHeight="1" x14ac:dyDescent="0.2">
      <c r="B53" s="909"/>
      <c r="C53" s="1267"/>
      <c r="D53" s="768"/>
      <c r="E53" s="399">
        <v>1</v>
      </c>
      <c r="F53" s="400"/>
      <c r="G53" s="401"/>
      <c r="H53" s="722">
        <f t="shared" si="6"/>
        <v>0</v>
      </c>
      <c r="I53" s="723"/>
      <c r="J53" s="724"/>
      <c r="K53" s="725"/>
      <c r="L53" s="725"/>
      <c r="M53" s="725"/>
      <c r="N53" s="725"/>
      <c r="O53" s="724"/>
      <c r="P53" s="723"/>
    </row>
    <row r="54" spans="2:17" s="426" customFormat="1" ht="14.45" customHeight="1" x14ac:dyDescent="0.2">
      <c r="B54" s="909"/>
      <c r="C54" s="1267"/>
      <c r="D54" s="768"/>
      <c r="E54" s="399">
        <v>1</v>
      </c>
      <c r="F54" s="400"/>
      <c r="G54" s="401"/>
      <c r="H54" s="722">
        <f t="shared" si="6"/>
        <v>0</v>
      </c>
      <c r="I54" s="723"/>
      <c r="J54" s="724"/>
      <c r="K54" s="725"/>
      <c r="L54" s="725"/>
      <c r="M54" s="725"/>
      <c r="N54" s="725"/>
      <c r="O54" s="724"/>
      <c r="P54" s="723"/>
    </row>
    <row r="55" spans="2:17" s="426" customFormat="1" ht="14.45" customHeight="1" x14ac:dyDescent="0.2">
      <c r="B55" s="909"/>
      <c r="C55" s="1267"/>
      <c r="D55" s="768"/>
      <c r="E55" s="399">
        <v>1</v>
      </c>
      <c r="F55" s="400"/>
      <c r="G55" s="401"/>
      <c r="H55" s="722">
        <f t="shared" si="6"/>
        <v>0</v>
      </c>
      <c r="I55" s="723"/>
      <c r="J55" s="724"/>
      <c r="K55" s="725"/>
      <c r="L55" s="725"/>
      <c r="M55" s="725"/>
      <c r="N55" s="725"/>
      <c r="O55" s="724"/>
      <c r="P55" s="723"/>
    </row>
    <row r="56" spans="2:17" s="426" customFormat="1" ht="14.45" customHeight="1" x14ac:dyDescent="0.2">
      <c r="B56" s="909"/>
      <c r="C56" s="1267"/>
      <c r="D56" s="768"/>
      <c r="E56" s="399">
        <v>1</v>
      </c>
      <c r="F56" s="400"/>
      <c r="G56" s="401"/>
      <c r="H56" s="722">
        <f t="shared" si="6"/>
        <v>0</v>
      </c>
      <c r="I56" s="723"/>
      <c r="J56" s="724"/>
      <c r="K56" s="725"/>
      <c r="L56" s="725"/>
      <c r="M56" s="725"/>
      <c r="N56" s="725"/>
      <c r="O56" s="724"/>
      <c r="P56" s="723"/>
    </row>
    <row r="57" spans="2:17" s="426" customFormat="1" ht="14.45" customHeight="1" x14ac:dyDescent="0.2">
      <c r="B57" s="909"/>
      <c r="C57" s="1267"/>
      <c r="D57" s="768" t="s">
        <v>598</v>
      </c>
      <c r="E57" s="399"/>
      <c r="F57" s="400"/>
      <c r="G57" s="401"/>
      <c r="H57" s="722">
        <f t="shared" si="6"/>
        <v>0</v>
      </c>
      <c r="I57" s="723">
        <f>SUM(H51:H57)</f>
        <v>0</v>
      </c>
      <c r="J57" s="724">
        <f>I57*$J$5</f>
        <v>0</v>
      </c>
      <c r="K57" s="725">
        <f>SUM(I57:J57)*$K$5</f>
        <v>0</v>
      </c>
      <c r="L57" s="725">
        <f>SUM(I57:K57)*$L$5</f>
        <v>0</v>
      </c>
      <c r="M57" s="725">
        <f>SUM(I57:L57)*$M$5</f>
        <v>0</v>
      </c>
      <c r="N57" s="725">
        <f>SUM(I57:M57)*$N$5</f>
        <v>0</v>
      </c>
      <c r="O57" s="724">
        <f>SUM(I57:N57)</f>
        <v>0</v>
      </c>
      <c r="P57" s="723">
        <f>ROUND(O57,-3)</f>
        <v>0</v>
      </c>
      <c r="Q57" s="426" t="s">
        <v>600</v>
      </c>
    </row>
    <row r="58" spans="2:17" s="426" customFormat="1" ht="14.45" customHeight="1" x14ac:dyDescent="0.2">
      <c r="B58" s="909"/>
      <c r="C58" s="1267"/>
      <c r="D58" s="768"/>
      <c r="E58" s="399"/>
      <c r="F58" s="400"/>
      <c r="G58" s="401"/>
      <c r="H58" s="722"/>
      <c r="I58" s="723"/>
      <c r="J58" s="724"/>
      <c r="K58" s="725"/>
      <c r="L58" s="725"/>
      <c r="M58" s="725"/>
      <c r="N58" s="725"/>
      <c r="O58" s="724"/>
      <c r="P58" s="723"/>
    </row>
    <row r="59" spans="2:17" s="426" customFormat="1" ht="14.45" customHeight="1" x14ac:dyDescent="0.2">
      <c r="B59" s="909"/>
      <c r="C59" s="1267"/>
      <c r="D59" s="768" t="s">
        <v>557</v>
      </c>
      <c r="E59" s="399">
        <v>1</v>
      </c>
      <c r="F59" s="400"/>
      <c r="G59" s="401"/>
      <c r="H59" s="722">
        <f>E59*G59</f>
        <v>0</v>
      </c>
      <c r="I59" s="723"/>
      <c r="J59" s="724"/>
      <c r="K59" s="725"/>
      <c r="L59" s="725"/>
      <c r="M59" s="725"/>
      <c r="N59" s="725"/>
      <c r="O59" s="724"/>
      <c r="P59" s="723"/>
    </row>
    <row r="60" spans="2:17" s="426" customFormat="1" ht="14.45" customHeight="1" x14ac:dyDescent="0.2">
      <c r="B60" s="909"/>
      <c r="C60" s="1267"/>
      <c r="D60" s="768"/>
      <c r="E60" s="399">
        <v>1</v>
      </c>
      <c r="F60" s="400"/>
      <c r="G60" s="401"/>
      <c r="H60" s="722">
        <f>E60*G60</f>
        <v>0</v>
      </c>
      <c r="I60" s="723"/>
      <c r="J60" s="724"/>
      <c r="K60" s="725"/>
      <c r="L60" s="725"/>
      <c r="M60" s="725"/>
      <c r="N60" s="725"/>
      <c r="O60" s="724"/>
      <c r="P60" s="723"/>
    </row>
    <row r="61" spans="2:17" s="426" customFormat="1" ht="14.45" customHeight="1" x14ac:dyDescent="0.2">
      <c r="B61" s="909"/>
      <c r="C61" s="1267"/>
      <c r="D61" s="768"/>
      <c r="E61" s="399">
        <v>1</v>
      </c>
      <c r="F61" s="400"/>
      <c r="G61" s="401"/>
      <c r="H61" s="722">
        <f>E61*G61</f>
        <v>0</v>
      </c>
      <c r="I61" s="723"/>
      <c r="J61" s="724"/>
      <c r="K61" s="725"/>
      <c r="L61" s="725"/>
      <c r="M61" s="725"/>
      <c r="N61" s="725"/>
      <c r="O61" s="724"/>
      <c r="P61" s="723"/>
    </row>
    <row r="62" spans="2:17" s="426" customFormat="1" ht="14.45" customHeight="1" x14ac:dyDescent="0.2">
      <c r="B62" s="909"/>
      <c r="C62" s="1267"/>
      <c r="D62" s="768"/>
      <c r="E62" s="399">
        <v>1</v>
      </c>
      <c r="F62" s="400"/>
      <c r="G62" s="401"/>
      <c r="H62" s="722">
        <f>E62*G62</f>
        <v>0</v>
      </c>
      <c r="I62" s="723"/>
      <c r="J62" s="724"/>
      <c r="K62" s="725"/>
      <c r="L62" s="725"/>
      <c r="M62" s="725"/>
      <c r="N62" s="725"/>
      <c r="O62" s="724"/>
      <c r="P62" s="723"/>
    </row>
    <row r="63" spans="2:17" s="426" customFormat="1" ht="14.45" customHeight="1" x14ac:dyDescent="0.2">
      <c r="B63" s="909"/>
      <c r="C63" s="1267"/>
      <c r="D63" s="768"/>
      <c r="E63" s="399">
        <v>1</v>
      </c>
      <c r="F63" s="400"/>
      <c r="G63" s="401"/>
      <c r="H63" s="722">
        <f>E63*G63</f>
        <v>0</v>
      </c>
      <c r="I63" s="723"/>
      <c r="J63" s="724"/>
      <c r="K63" s="725"/>
      <c r="L63" s="725"/>
      <c r="M63" s="725"/>
      <c r="N63" s="725"/>
      <c r="O63" s="724"/>
      <c r="P63" s="723"/>
    </row>
    <row r="64" spans="2:17" s="426" customFormat="1" ht="14.45" customHeight="1" x14ac:dyDescent="0.2">
      <c r="B64" s="909"/>
      <c r="C64" s="1267"/>
      <c r="D64" s="768" t="s">
        <v>598</v>
      </c>
      <c r="E64" s="399">
        <v>1</v>
      </c>
      <c r="F64" s="400"/>
      <c r="G64" s="401"/>
      <c r="H64" s="722">
        <f t="shared" ref="H64" si="7">E64*G64</f>
        <v>0</v>
      </c>
      <c r="I64" s="723">
        <f>SUM(H58:H64)</f>
        <v>0</v>
      </c>
      <c r="J64" s="724">
        <f>I64*$J$5</f>
        <v>0</v>
      </c>
      <c r="K64" s="725">
        <f>SUM(I64:J64)*$K$5</f>
        <v>0</v>
      </c>
      <c r="L64" s="725">
        <f>SUM(I64:K64)*$L$5</f>
        <v>0</v>
      </c>
      <c r="M64" s="725">
        <f>SUM(I64:L64)*$M$5</f>
        <v>0</v>
      </c>
      <c r="N64" s="725">
        <f>SUM(I64:M64)*$N$5</f>
        <v>0</v>
      </c>
      <c r="O64" s="724">
        <f>SUM(I64:N64)</f>
        <v>0</v>
      </c>
      <c r="P64" s="723">
        <f>ROUND(O64,-3)</f>
        <v>0</v>
      </c>
      <c r="Q64" s="426" t="s">
        <v>600</v>
      </c>
    </row>
    <row r="65" spans="2:17" s="426" customFormat="1" ht="15" customHeight="1" thickBot="1" x14ac:dyDescent="0.25">
      <c r="B65" s="910"/>
      <c r="C65" s="1268"/>
      <c r="D65" s="407"/>
      <c r="E65" s="408"/>
      <c r="F65" s="409"/>
      <c r="G65" s="410"/>
      <c r="H65" s="411"/>
      <c r="I65" s="412"/>
      <c r="J65" s="413"/>
      <c r="K65" s="414"/>
      <c r="L65" s="414"/>
      <c r="M65" s="414"/>
      <c r="N65" s="414"/>
      <c r="O65" s="413"/>
      <c r="P65" s="412"/>
    </row>
    <row r="66" spans="2:17" s="420" customFormat="1" ht="32.450000000000003" customHeight="1" x14ac:dyDescent="0.2">
      <c r="B66" s="908" t="str">
        <f>'Detailed Matrix'!E197</f>
        <v>Utilising non-mains water for landscapre irrigation</v>
      </c>
      <c r="C66" s="1266" t="str">
        <f>'Detailed Matrix'!F197</f>
        <v>Solely using municipal and/or on-site/in-house reclaimed water for all outdoor water use related to garden and landscape irrigation.</v>
      </c>
      <c r="D66" s="390" t="s">
        <v>556</v>
      </c>
      <c r="E66" s="391">
        <v>1</v>
      </c>
      <c r="F66" s="392"/>
      <c r="G66" s="393"/>
      <c r="H66" s="394">
        <f t="shared" ref="H66:H72" si="8">E66*G66</f>
        <v>0</v>
      </c>
      <c r="I66" s="395"/>
      <c r="J66" s="396"/>
      <c r="K66" s="397"/>
      <c r="L66" s="397"/>
      <c r="M66" s="397"/>
      <c r="N66" s="397"/>
      <c r="O66" s="396"/>
      <c r="P66" s="395"/>
    </row>
    <row r="67" spans="2:17" s="420" customFormat="1" ht="14.45" customHeight="1" x14ac:dyDescent="0.2">
      <c r="B67" s="909"/>
      <c r="C67" s="1267"/>
      <c r="D67" s="768"/>
      <c r="E67" s="399">
        <v>1</v>
      </c>
      <c r="F67" s="400"/>
      <c r="G67" s="401"/>
      <c r="H67" s="722">
        <f t="shared" si="8"/>
        <v>0</v>
      </c>
      <c r="I67" s="723"/>
      <c r="J67" s="724"/>
      <c r="K67" s="725"/>
      <c r="L67" s="725"/>
      <c r="M67" s="725"/>
      <c r="N67" s="725"/>
      <c r="O67" s="724"/>
      <c r="P67" s="723"/>
    </row>
    <row r="68" spans="2:17" s="420" customFormat="1" ht="14.45" customHeight="1" x14ac:dyDescent="0.2">
      <c r="B68" s="909"/>
      <c r="C68" s="1267"/>
      <c r="D68" s="768"/>
      <c r="E68" s="399">
        <v>1</v>
      </c>
      <c r="F68" s="400"/>
      <c r="G68" s="401"/>
      <c r="H68" s="722">
        <f t="shared" si="8"/>
        <v>0</v>
      </c>
      <c r="I68" s="723"/>
      <c r="J68" s="724"/>
      <c r="K68" s="725"/>
      <c r="L68" s="725"/>
      <c r="M68" s="725"/>
      <c r="N68" s="725"/>
      <c r="O68" s="724"/>
      <c r="P68" s="723"/>
    </row>
    <row r="69" spans="2:17" s="420" customFormat="1" ht="14.45" customHeight="1" x14ac:dyDescent="0.2">
      <c r="B69" s="909"/>
      <c r="C69" s="1267"/>
      <c r="D69" s="768"/>
      <c r="E69" s="399">
        <v>1</v>
      </c>
      <c r="F69" s="400"/>
      <c r="G69" s="401"/>
      <c r="H69" s="722">
        <f t="shared" si="8"/>
        <v>0</v>
      </c>
      <c r="I69" s="723"/>
      <c r="J69" s="724"/>
      <c r="K69" s="725"/>
      <c r="L69" s="725"/>
      <c r="M69" s="725"/>
      <c r="N69" s="725"/>
      <c r="O69" s="724"/>
      <c r="P69" s="723"/>
    </row>
    <row r="70" spans="2:17" s="420" customFormat="1" ht="14.45" customHeight="1" x14ac:dyDescent="0.2">
      <c r="B70" s="909"/>
      <c r="C70" s="1267"/>
      <c r="D70" s="768"/>
      <c r="E70" s="399">
        <v>1</v>
      </c>
      <c r="F70" s="400"/>
      <c r="G70" s="401"/>
      <c r="H70" s="722">
        <f t="shared" si="8"/>
        <v>0</v>
      </c>
      <c r="I70" s="723"/>
      <c r="J70" s="724"/>
      <c r="K70" s="725"/>
      <c r="L70" s="725"/>
      <c r="M70" s="725"/>
      <c r="N70" s="725"/>
      <c r="O70" s="724"/>
      <c r="P70" s="723"/>
    </row>
    <row r="71" spans="2:17" s="420" customFormat="1" ht="14.45" customHeight="1" x14ac:dyDescent="0.2">
      <c r="B71" s="909"/>
      <c r="C71" s="1267"/>
      <c r="D71" s="768"/>
      <c r="E71" s="399">
        <v>1</v>
      </c>
      <c r="F71" s="400"/>
      <c r="G71" s="401"/>
      <c r="H71" s="722">
        <f t="shared" si="8"/>
        <v>0</v>
      </c>
      <c r="I71" s="723"/>
      <c r="J71" s="724"/>
      <c r="K71" s="725"/>
      <c r="L71" s="725"/>
      <c r="M71" s="725"/>
      <c r="N71" s="725"/>
      <c r="O71" s="724"/>
      <c r="P71" s="723"/>
    </row>
    <row r="72" spans="2:17" s="420" customFormat="1" ht="14.45" customHeight="1" x14ac:dyDescent="0.2">
      <c r="B72" s="909"/>
      <c r="C72" s="1267"/>
      <c r="D72" s="768" t="s">
        <v>598</v>
      </c>
      <c r="E72" s="399"/>
      <c r="F72" s="400"/>
      <c r="G72" s="401"/>
      <c r="H72" s="722">
        <f t="shared" si="8"/>
        <v>0</v>
      </c>
      <c r="I72" s="723">
        <f>SUM(H66:H72)</f>
        <v>0</v>
      </c>
      <c r="J72" s="724">
        <f>I72*$J$5</f>
        <v>0</v>
      </c>
      <c r="K72" s="725">
        <f>SUM(I72:J72)*$K$5</f>
        <v>0</v>
      </c>
      <c r="L72" s="725">
        <f>SUM(I72:K72)*$L$5</f>
        <v>0</v>
      </c>
      <c r="M72" s="725">
        <f>SUM(I72:L72)*$M$5</f>
        <v>0</v>
      </c>
      <c r="N72" s="725">
        <f>SUM(I72:M72)*$N$5</f>
        <v>0</v>
      </c>
      <c r="O72" s="724">
        <f>SUM(I72:N72)</f>
        <v>0</v>
      </c>
      <c r="P72" s="723">
        <f>ROUND(O72,-3)</f>
        <v>0</v>
      </c>
      <c r="Q72" s="420" t="s">
        <v>600</v>
      </c>
    </row>
    <row r="73" spans="2:17" s="420" customFormat="1" ht="14.45" customHeight="1" x14ac:dyDescent="0.2">
      <c r="B73" s="909"/>
      <c r="C73" s="1267"/>
      <c r="D73" s="768"/>
      <c r="E73" s="399"/>
      <c r="F73" s="400"/>
      <c r="G73" s="401"/>
      <c r="H73" s="722"/>
      <c r="I73" s="723"/>
      <c r="J73" s="724"/>
      <c r="K73" s="725"/>
      <c r="L73" s="725"/>
      <c r="M73" s="725"/>
      <c r="N73" s="725"/>
      <c r="O73" s="724"/>
      <c r="P73" s="723"/>
    </row>
    <row r="74" spans="2:17" s="420" customFormat="1" ht="14.45" customHeight="1" x14ac:dyDescent="0.2">
      <c r="B74" s="909"/>
      <c r="C74" s="1267"/>
      <c r="D74" s="768" t="s">
        <v>557</v>
      </c>
      <c r="E74" s="399">
        <v>1</v>
      </c>
      <c r="F74" s="400"/>
      <c r="G74" s="401"/>
      <c r="H74" s="722">
        <f>E74*G74</f>
        <v>0</v>
      </c>
      <c r="I74" s="723"/>
      <c r="J74" s="724"/>
      <c r="K74" s="725"/>
      <c r="L74" s="725"/>
      <c r="M74" s="725"/>
      <c r="N74" s="725"/>
      <c r="O74" s="724"/>
      <c r="P74" s="723"/>
    </row>
    <row r="75" spans="2:17" s="420" customFormat="1" ht="14.45" customHeight="1" x14ac:dyDescent="0.2">
      <c r="B75" s="909"/>
      <c r="C75" s="1267"/>
      <c r="D75" s="768"/>
      <c r="E75" s="399">
        <v>1</v>
      </c>
      <c r="F75" s="400"/>
      <c r="G75" s="401"/>
      <c r="H75" s="722">
        <f>E75*G75</f>
        <v>0</v>
      </c>
      <c r="I75" s="723"/>
      <c r="J75" s="724"/>
      <c r="K75" s="725"/>
      <c r="L75" s="725"/>
      <c r="M75" s="725"/>
      <c r="N75" s="725"/>
      <c r="O75" s="724"/>
      <c r="P75" s="723"/>
    </row>
    <row r="76" spans="2:17" s="420" customFormat="1" ht="14.45" customHeight="1" x14ac:dyDescent="0.2">
      <c r="B76" s="909"/>
      <c r="C76" s="1267"/>
      <c r="D76" s="768"/>
      <c r="E76" s="399">
        <v>1</v>
      </c>
      <c r="F76" s="400"/>
      <c r="G76" s="401"/>
      <c r="H76" s="722">
        <f>E76*G76</f>
        <v>0</v>
      </c>
      <c r="I76" s="723"/>
      <c r="J76" s="724"/>
      <c r="K76" s="725"/>
      <c r="L76" s="725"/>
      <c r="M76" s="725"/>
      <c r="N76" s="725"/>
      <c r="O76" s="724"/>
      <c r="P76" s="723"/>
    </row>
    <row r="77" spans="2:17" s="420" customFormat="1" ht="14.45" customHeight="1" x14ac:dyDescent="0.2">
      <c r="B77" s="909"/>
      <c r="C77" s="1267"/>
      <c r="D77" s="768"/>
      <c r="E77" s="399">
        <v>1</v>
      </c>
      <c r="F77" s="400"/>
      <c r="G77" s="401"/>
      <c r="H77" s="722">
        <f>E77*G77</f>
        <v>0</v>
      </c>
      <c r="I77" s="723"/>
      <c r="J77" s="724"/>
      <c r="K77" s="725"/>
      <c r="L77" s="725"/>
      <c r="M77" s="725"/>
      <c r="N77" s="725"/>
      <c r="O77" s="724"/>
      <c r="P77" s="723"/>
    </row>
    <row r="78" spans="2:17" s="420" customFormat="1" ht="14.45" customHeight="1" x14ac:dyDescent="0.2">
      <c r="B78" s="909"/>
      <c r="C78" s="1267"/>
      <c r="D78" s="768"/>
      <c r="E78" s="399">
        <v>1</v>
      </c>
      <c r="F78" s="400"/>
      <c r="G78" s="401"/>
      <c r="H78" s="722">
        <f>E78*G78</f>
        <v>0</v>
      </c>
      <c r="I78" s="723"/>
      <c r="J78" s="724"/>
      <c r="K78" s="725"/>
      <c r="L78" s="725"/>
      <c r="M78" s="725"/>
      <c r="N78" s="725"/>
      <c r="O78" s="724"/>
      <c r="P78" s="723"/>
    </row>
    <row r="79" spans="2:17" s="420" customFormat="1" ht="14.45" customHeight="1" x14ac:dyDescent="0.2">
      <c r="B79" s="909"/>
      <c r="C79" s="1267"/>
      <c r="D79" s="768" t="s">
        <v>598</v>
      </c>
      <c r="E79" s="399">
        <v>1</v>
      </c>
      <c r="F79" s="400"/>
      <c r="G79" s="401"/>
      <c r="H79" s="722">
        <f t="shared" ref="H79" si="9">E79*G79</f>
        <v>0</v>
      </c>
      <c r="I79" s="723">
        <f>SUM(H73:H79)</f>
        <v>0</v>
      </c>
      <c r="J79" s="724">
        <f>I79*$J$5</f>
        <v>0</v>
      </c>
      <c r="K79" s="725">
        <f>SUM(I79:J79)*$K$5</f>
        <v>0</v>
      </c>
      <c r="L79" s="725">
        <f>SUM(I79:K79)*$L$5</f>
        <v>0</v>
      </c>
      <c r="M79" s="725">
        <f>SUM(I79:L79)*$M$5</f>
        <v>0</v>
      </c>
      <c r="N79" s="725">
        <f>SUM(I79:M79)*$N$5</f>
        <v>0</v>
      </c>
      <c r="O79" s="724">
        <f>SUM(I79:N79)</f>
        <v>0</v>
      </c>
      <c r="P79" s="723">
        <f>ROUND(O79,-3)</f>
        <v>0</v>
      </c>
      <c r="Q79" s="420" t="s">
        <v>600</v>
      </c>
    </row>
    <row r="80" spans="2:17" s="420" customFormat="1" ht="15" customHeight="1" thickBot="1" x14ac:dyDescent="0.25">
      <c r="B80" s="910"/>
      <c r="C80" s="1268"/>
      <c r="D80" s="407"/>
      <c r="E80" s="408"/>
      <c r="F80" s="409"/>
      <c r="G80" s="410"/>
      <c r="H80" s="411"/>
      <c r="I80" s="412"/>
      <c r="J80" s="413"/>
      <c r="K80" s="414"/>
      <c r="L80" s="414"/>
      <c r="M80" s="414"/>
      <c r="N80" s="414"/>
      <c r="O80" s="413"/>
      <c r="P80" s="412"/>
    </row>
  </sheetData>
  <mergeCells count="5">
    <mergeCell ref="B2:P3"/>
    <mergeCell ref="C21:C35"/>
    <mergeCell ref="C36:C50"/>
    <mergeCell ref="C51:C65"/>
    <mergeCell ref="C66:C80"/>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619A7-8257-4957-BEE9-AADA8C098D07}">
  <sheetPr>
    <tabColor theme="7" tint="0.59999389629810485"/>
  </sheetPr>
  <dimension ref="B2:Q110"/>
  <sheetViews>
    <sheetView showGridLines="0" topLeftCell="B88" zoomScale="175" zoomScaleNormal="175" workbookViewId="0">
      <selection activeCell="G77" sqref="G77"/>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Circular Potentials</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43.5" customHeight="1" x14ac:dyDescent="0.2">
      <c r="B6" s="958" t="str">
        <f>'Detailed Matrix'!E199</f>
        <v>Circular Economy Assessment</v>
      </c>
      <c r="C6" s="1319" t="str">
        <f>'Detailed Matrix'!F199</f>
        <v>Stage 01 - Provide a simple assessment to identify opportunites within one selected area/theme
Decide to engage in simple circular system, e.g consider reuse of materials through existing channels</v>
      </c>
      <c r="D6" s="390" t="s">
        <v>556</v>
      </c>
      <c r="E6" s="391">
        <v>1</v>
      </c>
      <c r="F6" s="392"/>
      <c r="G6" s="393">
        <v>2500</v>
      </c>
      <c r="H6" s="394">
        <f t="shared" ref="H6:H12" si="0">E6*G6</f>
        <v>2500</v>
      </c>
      <c r="I6" s="395"/>
      <c r="J6" s="396"/>
      <c r="K6" s="397"/>
      <c r="L6" s="397"/>
      <c r="M6" s="397"/>
      <c r="N6" s="397"/>
      <c r="O6" s="396"/>
      <c r="P6" s="395"/>
    </row>
    <row r="7" spans="2:17" s="420" customFormat="1" ht="14.45" customHeight="1" x14ac:dyDescent="0.2">
      <c r="B7" s="959"/>
      <c r="C7" s="1320"/>
      <c r="D7" s="768"/>
      <c r="E7" s="399">
        <v>1</v>
      </c>
      <c r="F7" s="400"/>
      <c r="G7" s="401"/>
      <c r="H7" s="722">
        <f t="shared" si="0"/>
        <v>0</v>
      </c>
      <c r="I7" s="723"/>
      <c r="J7" s="724"/>
      <c r="K7" s="725"/>
      <c r="L7" s="725"/>
      <c r="M7" s="725"/>
      <c r="N7" s="725"/>
      <c r="O7" s="724"/>
      <c r="P7" s="723"/>
    </row>
    <row r="8" spans="2:17" s="420" customFormat="1" ht="14.45" customHeight="1" x14ac:dyDescent="0.2">
      <c r="B8" s="959"/>
      <c r="C8" s="1320"/>
      <c r="D8" s="768"/>
      <c r="E8" s="399">
        <v>1</v>
      </c>
      <c r="F8" s="400"/>
      <c r="G8" s="401"/>
      <c r="H8" s="722">
        <f t="shared" si="0"/>
        <v>0</v>
      </c>
      <c r="I8" s="723"/>
      <c r="J8" s="724"/>
      <c r="K8" s="725"/>
      <c r="L8" s="725"/>
      <c r="M8" s="725"/>
      <c r="N8" s="725"/>
      <c r="O8" s="724"/>
      <c r="P8" s="723"/>
    </row>
    <row r="9" spans="2:17" s="420" customFormat="1" ht="14.45" customHeight="1" x14ac:dyDescent="0.2">
      <c r="B9" s="959"/>
      <c r="C9" s="1320"/>
      <c r="D9" s="768"/>
      <c r="E9" s="399">
        <v>1</v>
      </c>
      <c r="F9" s="400"/>
      <c r="G9" s="401"/>
      <c r="H9" s="722">
        <f t="shared" si="0"/>
        <v>0</v>
      </c>
      <c r="I9" s="723"/>
      <c r="J9" s="724"/>
      <c r="K9" s="725"/>
      <c r="L9" s="725"/>
      <c r="M9" s="725"/>
      <c r="N9" s="725"/>
      <c r="O9" s="724"/>
      <c r="P9" s="723"/>
    </row>
    <row r="10" spans="2:17" s="420" customFormat="1" ht="14.45" customHeight="1" x14ac:dyDescent="0.2">
      <c r="B10" s="959"/>
      <c r="C10" s="1320"/>
      <c r="D10" s="768"/>
      <c r="E10" s="399">
        <v>1</v>
      </c>
      <c r="F10" s="400"/>
      <c r="G10" s="401"/>
      <c r="H10" s="722">
        <f t="shared" si="0"/>
        <v>0</v>
      </c>
      <c r="I10" s="723"/>
      <c r="J10" s="724"/>
      <c r="K10" s="725"/>
      <c r="L10" s="725"/>
      <c r="M10" s="725"/>
      <c r="N10" s="725"/>
      <c r="O10" s="724"/>
      <c r="P10" s="723"/>
    </row>
    <row r="11" spans="2:17" s="420" customFormat="1" ht="14.45" customHeight="1" x14ac:dyDescent="0.2">
      <c r="B11" s="959"/>
      <c r="C11" s="1320"/>
      <c r="D11" s="768"/>
      <c r="E11" s="399">
        <v>1</v>
      </c>
      <c r="F11" s="400"/>
      <c r="G11" s="401"/>
      <c r="H11" s="722">
        <f t="shared" si="0"/>
        <v>0</v>
      </c>
      <c r="I11" s="723"/>
      <c r="J11" s="724"/>
      <c r="K11" s="725"/>
      <c r="L11" s="725"/>
      <c r="M11" s="725"/>
      <c r="N11" s="725"/>
      <c r="O11" s="724"/>
      <c r="P11" s="723"/>
    </row>
    <row r="12" spans="2:17" s="420" customFormat="1" ht="14.45" customHeight="1" x14ac:dyDescent="0.2">
      <c r="B12" s="959"/>
      <c r="C12" s="1320"/>
      <c r="D12" s="768" t="s">
        <v>621</v>
      </c>
      <c r="E12" s="399"/>
      <c r="F12" s="400"/>
      <c r="G12" s="401"/>
      <c r="H12" s="722">
        <f t="shared" si="0"/>
        <v>0</v>
      </c>
      <c r="I12" s="875">
        <f>SUM(H6:H12)</f>
        <v>2500</v>
      </c>
      <c r="J12" s="724">
        <f>I12*$J$5</f>
        <v>325</v>
      </c>
      <c r="K12" s="725">
        <f>SUM(I12:J12)*$K$5</f>
        <v>127.125</v>
      </c>
      <c r="L12" s="725">
        <f>SUM(I12:K12)*$L$5</f>
        <v>162.36687499999999</v>
      </c>
      <c r="M12" s="725">
        <f>SUM(I12:L12)*$M$5</f>
        <v>186.86951250000001</v>
      </c>
      <c r="N12" s="725">
        <f>SUM(I12:M12)*$N$5</f>
        <v>330.13613875000004</v>
      </c>
      <c r="O12" s="724">
        <f>SUM(I12:N12)</f>
        <v>3631.4975262500002</v>
      </c>
      <c r="P12" s="723">
        <f>ROUND(O12,-3)</f>
        <v>4000</v>
      </c>
      <c r="Q12" s="420" t="s">
        <v>514</v>
      </c>
    </row>
    <row r="13" spans="2:17" s="420" customFormat="1" ht="14.45" customHeight="1" x14ac:dyDescent="0.2">
      <c r="B13" s="959"/>
      <c r="C13" s="1320"/>
      <c r="D13" s="768"/>
      <c r="E13" s="399"/>
      <c r="F13" s="400"/>
      <c r="G13" s="401"/>
      <c r="H13" s="722"/>
      <c r="I13" s="723"/>
      <c r="J13" s="724"/>
      <c r="K13" s="725"/>
      <c r="L13" s="725"/>
      <c r="M13" s="725"/>
      <c r="N13" s="725"/>
      <c r="O13" s="724"/>
      <c r="P13" s="723"/>
    </row>
    <row r="14" spans="2:17" s="420" customFormat="1" ht="14.45" customHeight="1" x14ac:dyDescent="0.2">
      <c r="B14" s="959"/>
      <c r="C14" s="1320"/>
      <c r="D14" s="768" t="s">
        <v>557</v>
      </c>
      <c r="E14" s="399">
        <v>1</v>
      </c>
      <c r="F14" s="400"/>
      <c r="G14" s="401">
        <v>5000</v>
      </c>
      <c r="H14" s="722">
        <f>E14*G14</f>
        <v>5000</v>
      </c>
      <c r="I14" s="723"/>
      <c r="J14" s="724"/>
      <c r="K14" s="725"/>
      <c r="L14" s="725"/>
      <c r="M14" s="725"/>
      <c r="N14" s="725"/>
      <c r="O14" s="724"/>
      <c r="P14" s="723"/>
    </row>
    <row r="15" spans="2:17" s="420" customFormat="1" ht="14.45" customHeight="1" x14ac:dyDescent="0.2">
      <c r="B15" s="959"/>
      <c r="C15" s="1320"/>
      <c r="D15" s="768"/>
      <c r="E15" s="399">
        <v>1</v>
      </c>
      <c r="F15" s="400"/>
      <c r="G15" s="401"/>
      <c r="H15" s="722">
        <f>E15*G15</f>
        <v>0</v>
      </c>
      <c r="I15" s="723"/>
      <c r="J15" s="724"/>
      <c r="K15" s="725"/>
      <c r="L15" s="725"/>
      <c r="M15" s="725"/>
      <c r="N15" s="725"/>
      <c r="O15" s="724"/>
      <c r="P15" s="723"/>
    </row>
    <row r="16" spans="2:17" s="420" customFormat="1" ht="14.45" customHeight="1" x14ac:dyDescent="0.2">
      <c r="B16" s="959"/>
      <c r="C16" s="1320"/>
      <c r="D16" s="768"/>
      <c r="E16" s="399">
        <v>1</v>
      </c>
      <c r="F16" s="400"/>
      <c r="G16" s="401"/>
      <c r="H16" s="722">
        <f>E16*G16</f>
        <v>0</v>
      </c>
      <c r="I16" s="723"/>
      <c r="J16" s="724"/>
      <c r="K16" s="725"/>
      <c r="L16" s="725"/>
      <c r="M16" s="725"/>
      <c r="N16" s="725"/>
      <c r="O16" s="724"/>
      <c r="P16" s="723"/>
    </row>
    <row r="17" spans="2:17" s="420" customFormat="1" ht="14.45" customHeight="1" x14ac:dyDescent="0.2">
      <c r="B17" s="959"/>
      <c r="C17" s="1320"/>
      <c r="D17" s="768"/>
      <c r="E17" s="399">
        <v>1</v>
      </c>
      <c r="F17" s="400"/>
      <c r="G17" s="401"/>
      <c r="H17" s="722">
        <f>E17*G17</f>
        <v>0</v>
      </c>
      <c r="I17" s="723"/>
      <c r="J17" s="724"/>
      <c r="K17" s="725"/>
      <c r="L17" s="725"/>
      <c r="M17" s="725"/>
      <c r="N17" s="725"/>
      <c r="O17" s="724"/>
      <c r="P17" s="723"/>
    </row>
    <row r="18" spans="2:17" s="420" customFormat="1" ht="14.45" customHeight="1" x14ac:dyDescent="0.2">
      <c r="B18" s="959"/>
      <c r="C18" s="1320"/>
      <c r="D18" s="768"/>
      <c r="E18" s="399">
        <v>1</v>
      </c>
      <c r="F18" s="400"/>
      <c r="G18" s="401"/>
      <c r="H18" s="722">
        <f>E18*G18</f>
        <v>0</v>
      </c>
      <c r="I18" s="723"/>
      <c r="J18" s="724"/>
      <c r="K18" s="725"/>
      <c r="L18" s="725"/>
      <c r="M18" s="725"/>
      <c r="N18" s="725"/>
      <c r="O18" s="724"/>
      <c r="P18" s="723"/>
    </row>
    <row r="19" spans="2:17" s="420" customFormat="1" ht="14.45" customHeight="1" x14ac:dyDescent="0.2">
      <c r="B19" s="959"/>
      <c r="C19" s="1320"/>
      <c r="D19" s="768" t="s">
        <v>621</v>
      </c>
      <c r="E19" s="399">
        <v>1</v>
      </c>
      <c r="F19" s="400"/>
      <c r="G19" s="401"/>
      <c r="H19" s="722">
        <f t="shared" ref="H19" si="1">E19*G19</f>
        <v>0</v>
      </c>
      <c r="I19" s="905">
        <f>SUM(H13:H19)</f>
        <v>5000</v>
      </c>
      <c r="J19" s="724">
        <f>I19*$J$5</f>
        <v>650</v>
      </c>
      <c r="K19" s="725">
        <f>SUM(I19:J19)*$K$5</f>
        <v>254.25</v>
      </c>
      <c r="L19" s="725">
        <f>SUM(I19:K19)*$L$5</f>
        <v>324.73374999999999</v>
      </c>
      <c r="M19" s="725">
        <f>SUM(I19:L19)*$M$5</f>
        <v>373.73902500000003</v>
      </c>
      <c r="N19" s="725">
        <f>SUM(I19:M19)*$N$5</f>
        <v>660.27227750000009</v>
      </c>
      <c r="O19" s="724">
        <f>SUM(I19:N19)</f>
        <v>7262.9950525000004</v>
      </c>
      <c r="P19" s="723">
        <f>ROUND(O19,-3)</f>
        <v>7000</v>
      </c>
      <c r="Q19" s="420" t="s">
        <v>514</v>
      </c>
    </row>
    <row r="20" spans="2:17" s="420" customFormat="1" ht="15" customHeight="1" thickBot="1" x14ac:dyDescent="0.25">
      <c r="B20" s="960"/>
      <c r="C20" s="1321"/>
      <c r="D20" s="407"/>
      <c r="E20" s="408"/>
      <c r="F20" s="409"/>
      <c r="G20" s="410"/>
      <c r="H20" s="411"/>
      <c r="I20" s="412"/>
      <c r="J20" s="413"/>
      <c r="K20" s="414"/>
      <c r="L20" s="414"/>
      <c r="M20" s="414"/>
      <c r="N20" s="414"/>
      <c r="O20" s="413"/>
      <c r="P20" s="412"/>
    </row>
    <row r="21" spans="2:17" s="426" customFormat="1" ht="45.95" customHeight="1" x14ac:dyDescent="0.2">
      <c r="B21" s="908" t="str">
        <f>'Detailed Matrix'!E200</f>
        <v>Circular Economy Assessment</v>
      </c>
      <c r="C21" s="1266" t="str">
        <f>'Detailed Matrix'!F200</f>
        <v>Stage 02 - Provide a simple assessment to identify opportunities within multiple areas/themes
Decide to embed more readily available circular solutions into the building</v>
      </c>
      <c r="D21" s="390" t="s">
        <v>556</v>
      </c>
      <c r="E21" s="391">
        <v>1</v>
      </c>
      <c r="F21" s="392"/>
      <c r="G21" s="393">
        <v>2500</v>
      </c>
      <c r="H21" s="394">
        <f t="shared" ref="H21:H27" si="2">E21*G21</f>
        <v>2500</v>
      </c>
      <c r="I21" s="395"/>
      <c r="J21" s="396"/>
      <c r="K21" s="397"/>
      <c r="L21" s="397"/>
      <c r="M21" s="397"/>
      <c r="N21" s="397"/>
      <c r="O21" s="396"/>
      <c r="P21" s="395"/>
    </row>
    <row r="22" spans="2:17" s="426" customFormat="1" ht="14.45" customHeight="1" x14ac:dyDescent="0.2">
      <c r="B22" s="909"/>
      <c r="C22" s="1267"/>
      <c r="D22" s="768"/>
      <c r="E22" s="399">
        <v>1</v>
      </c>
      <c r="F22" s="400"/>
      <c r="G22" s="401"/>
      <c r="H22" s="722">
        <f t="shared" si="2"/>
        <v>0</v>
      </c>
      <c r="I22" s="723"/>
      <c r="J22" s="724"/>
      <c r="K22" s="725"/>
      <c r="L22" s="725"/>
      <c r="M22" s="725"/>
      <c r="N22" s="725"/>
      <c r="O22" s="724"/>
      <c r="P22" s="723"/>
    </row>
    <row r="23" spans="2:17" s="426" customFormat="1" ht="14.45" customHeight="1" x14ac:dyDescent="0.2">
      <c r="B23" s="909"/>
      <c r="C23" s="1267"/>
      <c r="D23" s="768"/>
      <c r="E23" s="399">
        <v>1</v>
      </c>
      <c r="F23" s="400"/>
      <c r="G23" s="401"/>
      <c r="H23" s="722">
        <f t="shared" si="2"/>
        <v>0</v>
      </c>
      <c r="I23" s="723"/>
      <c r="J23" s="724"/>
      <c r="K23" s="725"/>
      <c r="L23" s="725"/>
      <c r="M23" s="725"/>
      <c r="N23" s="725"/>
      <c r="O23" s="724"/>
      <c r="P23" s="723"/>
    </row>
    <row r="24" spans="2:17" s="426" customFormat="1" ht="14.45" customHeight="1" x14ac:dyDescent="0.2">
      <c r="B24" s="909"/>
      <c r="C24" s="1267"/>
      <c r="D24" s="768"/>
      <c r="E24" s="399">
        <v>1</v>
      </c>
      <c r="F24" s="400"/>
      <c r="G24" s="401"/>
      <c r="H24" s="722">
        <f t="shared" si="2"/>
        <v>0</v>
      </c>
      <c r="I24" s="723"/>
      <c r="J24" s="724"/>
      <c r="K24" s="725"/>
      <c r="L24" s="725"/>
      <c r="M24" s="725"/>
      <c r="N24" s="725"/>
      <c r="O24" s="724"/>
      <c r="P24" s="723"/>
    </row>
    <row r="25" spans="2:17" s="426" customFormat="1" ht="14.45" customHeight="1" x14ac:dyDescent="0.2">
      <c r="B25" s="909"/>
      <c r="C25" s="1267"/>
      <c r="D25" s="768"/>
      <c r="E25" s="399">
        <v>1</v>
      </c>
      <c r="F25" s="400"/>
      <c r="G25" s="401"/>
      <c r="H25" s="722">
        <f t="shared" si="2"/>
        <v>0</v>
      </c>
      <c r="I25" s="723"/>
      <c r="J25" s="724"/>
      <c r="K25" s="725"/>
      <c r="L25" s="725"/>
      <c r="M25" s="725"/>
      <c r="N25" s="725"/>
      <c r="O25" s="724"/>
      <c r="P25" s="723"/>
    </row>
    <row r="26" spans="2:17" s="426" customFormat="1" ht="14.45" customHeight="1" x14ac:dyDescent="0.2">
      <c r="B26" s="909"/>
      <c r="C26" s="1267"/>
      <c r="D26" s="768" t="s">
        <v>644</v>
      </c>
      <c r="E26" s="399">
        <v>-1</v>
      </c>
      <c r="F26" s="400"/>
      <c r="G26" s="401">
        <f>I12</f>
        <v>2500</v>
      </c>
      <c r="H26" s="722">
        <f t="shared" si="2"/>
        <v>-2500</v>
      </c>
      <c r="I26" s="723"/>
      <c r="J26" s="724"/>
      <c r="K26" s="725"/>
      <c r="L26" s="725"/>
      <c r="M26" s="725"/>
      <c r="N26" s="725"/>
      <c r="O26" s="724"/>
      <c r="P26" s="723"/>
    </row>
    <row r="27" spans="2:17" s="426" customFormat="1" ht="14.45" customHeight="1" x14ac:dyDescent="0.2">
      <c r="B27" s="909"/>
      <c r="C27" s="1267"/>
      <c r="D27" s="768" t="s">
        <v>598</v>
      </c>
      <c r="E27" s="399"/>
      <c r="F27" s="400"/>
      <c r="G27" s="401"/>
      <c r="H27" s="722">
        <f t="shared" si="2"/>
        <v>0</v>
      </c>
      <c r="I27" s="875">
        <f>SUM(H21:H27)</f>
        <v>0</v>
      </c>
      <c r="J27" s="724">
        <f>I27*$J$5</f>
        <v>0</v>
      </c>
      <c r="K27" s="725">
        <f>SUM(I27:J27)*$K$5</f>
        <v>0</v>
      </c>
      <c r="L27" s="725">
        <f>SUM(I27:K27)*$L$5</f>
        <v>0</v>
      </c>
      <c r="M27" s="725">
        <f>SUM(I27:L27)*$M$5</f>
        <v>0</v>
      </c>
      <c r="N27" s="725">
        <f>SUM(I27:M27)*$N$5</f>
        <v>0</v>
      </c>
      <c r="O27" s="724">
        <f>SUM(I27:N27)</f>
        <v>0</v>
      </c>
      <c r="P27" s="723">
        <f>ROUND(O27,-3)</f>
        <v>0</v>
      </c>
      <c r="Q27" s="426" t="s">
        <v>514</v>
      </c>
    </row>
    <row r="28" spans="2:17" s="426" customFormat="1" ht="14.45" customHeight="1" x14ac:dyDescent="0.2">
      <c r="B28" s="909"/>
      <c r="C28" s="1267"/>
      <c r="D28" s="768"/>
      <c r="E28" s="399"/>
      <c r="F28" s="400"/>
      <c r="G28" s="401"/>
      <c r="H28" s="722"/>
      <c r="I28" s="723"/>
      <c r="J28" s="724"/>
      <c r="K28" s="725"/>
      <c r="L28" s="725"/>
      <c r="M28" s="725"/>
      <c r="N28" s="725"/>
      <c r="O28" s="724"/>
      <c r="P28" s="723"/>
    </row>
    <row r="29" spans="2:17" s="426" customFormat="1" ht="14.45" customHeight="1" x14ac:dyDescent="0.2">
      <c r="B29" s="909"/>
      <c r="C29" s="1267"/>
      <c r="D29" s="768" t="s">
        <v>557</v>
      </c>
      <c r="E29" s="399">
        <v>1</v>
      </c>
      <c r="F29" s="400"/>
      <c r="G29" s="401">
        <v>2500</v>
      </c>
      <c r="H29" s="722">
        <f>E29*G29</f>
        <v>2500</v>
      </c>
      <c r="I29" s="723"/>
      <c r="J29" s="724"/>
      <c r="K29" s="725"/>
      <c r="L29" s="725"/>
      <c r="M29" s="725"/>
      <c r="N29" s="725"/>
      <c r="O29" s="724"/>
      <c r="P29" s="723"/>
    </row>
    <row r="30" spans="2:17" s="426" customFormat="1" ht="14.45" customHeight="1" x14ac:dyDescent="0.2">
      <c r="B30" s="909"/>
      <c r="C30" s="1267"/>
      <c r="D30" s="768"/>
      <c r="E30" s="399">
        <v>1</v>
      </c>
      <c r="F30" s="400"/>
      <c r="G30" s="401"/>
      <c r="H30" s="722">
        <f>E30*G30</f>
        <v>0</v>
      </c>
      <c r="I30" s="723"/>
      <c r="J30" s="724"/>
      <c r="K30" s="725"/>
      <c r="L30" s="725"/>
      <c r="M30" s="725"/>
      <c r="N30" s="725"/>
      <c r="O30" s="724"/>
      <c r="P30" s="723"/>
    </row>
    <row r="31" spans="2:17" s="426" customFormat="1" ht="14.45" customHeight="1" x14ac:dyDescent="0.2">
      <c r="B31" s="909"/>
      <c r="C31" s="1267"/>
      <c r="D31" s="768"/>
      <c r="E31" s="399">
        <v>1</v>
      </c>
      <c r="F31" s="400"/>
      <c r="G31" s="401"/>
      <c r="H31" s="722">
        <f>E31*G31</f>
        <v>0</v>
      </c>
      <c r="I31" s="723"/>
      <c r="J31" s="724"/>
      <c r="K31" s="725"/>
      <c r="L31" s="725"/>
      <c r="M31" s="725"/>
      <c r="N31" s="725"/>
      <c r="O31" s="724"/>
      <c r="P31" s="723"/>
    </row>
    <row r="32" spans="2:17" s="426" customFormat="1" ht="14.45" customHeight="1" x14ac:dyDescent="0.2">
      <c r="B32" s="909"/>
      <c r="C32" s="1267"/>
      <c r="D32" s="768"/>
      <c r="E32" s="399">
        <v>1</v>
      </c>
      <c r="F32" s="400"/>
      <c r="G32" s="401"/>
      <c r="H32" s="722">
        <f>E32*G32</f>
        <v>0</v>
      </c>
      <c r="I32" s="723"/>
      <c r="J32" s="724"/>
      <c r="K32" s="725"/>
      <c r="L32" s="725"/>
      <c r="M32" s="725"/>
      <c r="N32" s="725"/>
      <c r="O32" s="724"/>
      <c r="P32" s="723"/>
    </row>
    <row r="33" spans="2:17" s="426" customFormat="1" ht="14.45" customHeight="1" x14ac:dyDescent="0.2">
      <c r="B33" s="909"/>
      <c r="C33" s="1267"/>
      <c r="D33" s="768" t="s">
        <v>644</v>
      </c>
      <c r="E33" s="399">
        <v>-1</v>
      </c>
      <c r="F33" s="400"/>
      <c r="G33" s="401">
        <f>I19</f>
        <v>5000</v>
      </c>
      <c r="H33" s="722">
        <f>E33*G33</f>
        <v>-5000</v>
      </c>
      <c r="I33" s="723"/>
      <c r="J33" s="724"/>
      <c r="K33" s="725"/>
      <c r="L33" s="725"/>
      <c r="M33" s="725"/>
      <c r="N33" s="725"/>
      <c r="O33" s="724"/>
      <c r="P33" s="723"/>
    </row>
    <row r="34" spans="2:17" s="426" customFormat="1" ht="14.45" customHeight="1" x14ac:dyDescent="0.2">
      <c r="B34" s="909"/>
      <c r="C34" s="1267"/>
      <c r="D34" s="768" t="s">
        <v>598</v>
      </c>
      <c r="E34" s="399">
        <v>1</v>
      </c>
      <c r="F34" s="400"/>
      <c r="G34" s="401"/>
      <c r="H34" s="722">
        <f t="shared" ref="H34" si="3">E34*G34</f>
        <v>0</v>
      </c>
      <c r="I34" s="905">
        <f>SUM(H28:H34)</f>
        <v>-2500</v>
      </c>
      <c r="J34" s="724">
        <f>I34*$J$5</f>
        <v>-325</v>
      </c>
      <c r="K34" s="725">
        <f>SUM(I34:J34)*$K$5</f>
        <v>-127.125</v>
      </c>
      <c r="L34" s="725">
        <f>SUM(I34:K34)*$L$5</f>
        <v>-162.36687499999999</v>
      </c>
      <c r="M34" s="725">
        <f>SUM(I34:L34)*$M$5</f>
        <v>-186.86951250000001</v>
      </c>
      <c r="N34" s="725">
        <f>SUM(I34:M34)*$N$5</f>
        <v>-330.13613875000004</v>
      </c>
      <c r="O34" s="724">
        <f>SUM(I34:N34)</f>
        <v>-3631.4975262500002</v>
      </c>
      <c r="P34" s="723">
        <f>ROUND(O34,-3)</f>
        <v>-4000</v>
      </c>
      <c r="Q34" s="426" t="s">
        <v>514</v>
      </c>
    </row>
    <row r="35" spans="2:17" s="426" customFormat="1" ht="9" customHeight="1" thickBot="1" x14ac:dyDescent="0.25">
      <c r="B35" s="910"/>
      <c r="C35" s="1268"/>
      <c r="D35" s="407"/>
      <c r="E35" s="408"/>
      <c r="F35" s="409"/>
      <c r="G35" s="410"/>
      <c r="H35" s="411"/>
      <c r="I35" s="412"/>
      <c r="J35" s="413"/>
      <c r="K35" s="414"/>
      <c r="L35" s="414"/>
      <c r="M35" s="414"/>
      <c r="N35" s="414"/>
      <c r="O35" s="413"/>
      <c r="P35" s="412"/>
    </row>
    <row r="36" spans="2:17" s="420" customFormat="1" ht="34.5" customHeight="1" x14ac:dyDescent="0.2">
      <c r="B36" s="908" t="str">
        <f>'Detailed Matrix'!E201</f>
        <v>Circular Economy Assessment</v>
      </c>
      <c r="C36" s="1266" t="str">
        <f>'Detailed Matrix'!F201</f>
        <v>Stage 03 - Provide a thorough assessment to identify mulitiple circular opportunites and potential challenges or risks that are relevant for the project</v>
      </c>
      <c r="D36" s="390" t="s">
        <v>556</v>
      </c>
      <c r="E36" s="391">
        <v>1</v>
      </c>
      <c r="F36" s="392"/>
      <c r="G36" s="393">
        <v>5000</v>
      </c>
      <c r="H36" s="394">
        <f t="shared" ref="H36:H42" si="4">E36*G36</f>
        <v>5000</v>
      </c>
      <c r="I36" s="395"/>
      <c r="J36" s="396"/>
      <c r="K36" s="397"/>
      <c r="L36" s="397"/>
      <c r="M36" s="397"/>
      <c r="N36" s="397"/>
      <c r="O36" s="396"/>
      <c r="P36" s="395"/>
    </row>
    <row r="37" spans="2:17" s="420" customFormat="1" ht="14.45" customHeight="1" x14ac:dyDescent="0.2">
      <c r="B37" s="909"/>
      <c r="C37" s="1267"/>
      <c r="D37" s="768"/>
      <c r="E37" s="399">
        <v>1</v>
      </c>
      <c r="F37" s="400"/>
      <c r="G37" s="401"/>
      <c r="H37" s="722">
        <f t="shared" si="4"/>
        <v>0</v>
      </c>
      <c r="I37" s="723"/>
      <c r="J37" s="724"/>
      <c r="K37" s="725"/>
      <c r="L37" s="725"/>
      <c r="M37" s="725"/>
      <c r="N37" s="725"/>
      <c r="O37" s="724"/>
      <c r="P37" s="723"/>
    </row>
    <row r="38" spans="2:17" s="420" customFormat="1" ht="14.45" customHeight="1" x14ac:dyDescent="0.2">
      <c r="B38" s="909"/>
      <c r="C38" s="1267"/>
      <c r="D38" s="768"/>
      <c r="E38" s="399">
        <v>1</v>
      </c>
      <c r="F38" s="400"/>
      <c r="G38" s="401"/>
      <c r="H38" s="722">
        <f t="shared" si="4"/>
        <v>0</v>
      </c>
      <c r="I38" s="723"/>
      <c r="J38" s="724"/>
      <c r="K38" s="725"/>
      <c r="L38" s="725"/>
      <c r="M38" s="725"/>
      <c r="N38" s="725"/>
      <c r="O38" s="724"/>
      <c r="P38" s="723"/>
    </row>
    <row r="39" spans="2:17" s="420" customFormat="1" ht="14.45" customHeight="1" x14ac:dyDescent="0.2">
      <c r="B39" s="909"/>
      <c r="C39" s="1267"/>
      <c r="D39" s="768"/>
      <c r="E39" s="399">
        <v>1</v>
      </c>
      <c r="F39" s="400"/>
      <c r="G39" s="401"/>
      <c r="H39" s="722">
        <f t="shared" si="4"/>
        <v>0</v>
      </c>
      <c r="I39" s="723"/>
      <c r="J39" s="724"/>
      <c r="K39" s="725"/>
      <c r="L39" s="725"/>
      <c r="M39" s="725"/>
      <c r="N39" s="725"/>
      <c r="O39" s="724"/>
      <c r="P39" s="723"/>
    </row>
    <row r="40" spans="2:17" s="420" customFormat="1" ht="14.45" customHeight="1" x14ac:dyDescent="0.2">
      <c r="B40" s="909"/>
      <c r="C40" s="1267"/>
      <c r="D40" s="768"/>
      <c r="E40" s="399">
        <v>1</v>
      </c>
      <c r="F40" s="400"/>
      <c r="G40" s="401"/>
      <c r="H40" s="722">
        <f t="shared" si="4"/>
        <v>0</v>
      </c>
      <c r="I40" s="723"/>
      <c r="J40" s="724"/>
      <c r="K40" s="725"/>
      <c r="L40" s="725"/>
      <c r="M40" s="725"/>
      <c r="N40" s="725"/>
      <c r="O40" s="724"/>
      <c r="P40" s="723"/>
    </row>
    <row r="41" spans="2:17" s="420" customFormat="1" ht="14.45" customHeight="1" x14ac:dyDescent="0.2">
      <c r="B41" s="909"/>
      <c r="C41" s="1267"/>
      <c r="D41" s="768" t="s">
        <v>645</v>
      </c>
      <c r="E41" s="399">
        <v>-1</v>
      </c>
      <c r="F41" s="400"/>
      <c r="G41" s="401">
        <f>I27+I12</f>
        <v>2500</v>
      </c>
      <c r="H41" s="722">
        <f t="shared" si="4"/>
        <v>-2500</v>
      </c>
      <c r="I41" s="723"/>
      <c r="J41" s="724"/>
      <c r="K41" s="725"/>
      <c r="L41" s="725"/>
      <c r="M41" s="725"/>
      <c r="N41" s="725"/>
      <c r="O41" s="724"/>
      <c r="P41" s="723"/>
    </row>
    <row r="42" spans="2:17" s="420" customFormat="1" ht="14.45" customHeight="1" x14ac:dyDescent="0.2">
      <c r="B42" s="909"/>
      <c r="C42" s="1267"/>
      <c r="D42" s="768" t="s">
        <v>598</v>
      </c>
      <c r="E42" s="399"/>
      <c r="F42" s="400"/>
      <c r="G42" s="401"/>
      <c r="H42" s="722">
        <f t="shared" si="4"/>
        <v>0</v>
      </c>
      <c r="I42" s="875">
        <f>SUM(H36:H42)</f>
        <v>2500</v>
      </c>
      <c r="J42" s="724">
        <f>I42*$J$5</f>
        <v>325</v>
      </c>
      <c r="K42" s="725">
        <f>SUM(I42:J42)*$K$5</f>
        <v>127.125</v>
      </c>
      <c r="L42" s="725">
        <f>SUM(I42:K42)*$L$5</f>
        <v>162.36687499999999</v>
      </c>
      <c r="M42" s="725">
        <f>SUM(I42:L42)*$M$5</f>
        <v>186.86951250000001</v>
      </c>
      <c r="N42" s="725">
        <f>SUM(I42:M42)*$N$5</f>
        <v>330.13613875000004</v>
      </c>
      <c r="O42" s="724">
        <f>SUM(I42:N42)</f>
        <v>3631.4975262500002</v>
      </c>
      <c r="P42" s="723">
        <f>ROUND(O42,-3)</f>
        <v>4000</v>
      </c>
      <c r="Q42" s="420" t="s">
        <v>514</v>
      </c>
    </row>
    <row r="43" spans="2:17" s="420" customFormat="1" ht="14.45" customHeight="1" x14ac:dyDescent="0.2">
      <c r="B43" s="909"/>
      <c r="C43" s="1267"/>
      <c r="D43" s="768"/>
      <c r="E43" s="399"/>
      <c r="F43" s="400"/>
      <c r="G43" s="401"/>
      <c r="H43" s="722"/>
      <c r="I43" s="723"/>
      <c r="J43" s="724"/>
      <c r="K43" s="725"/>
      <c r="L43" s="725"/>
      <c r="M43" s="725"/>
      <c r="N43" s="725"/>
      <c r="O43" s="724"/>
      <c r="P43" s="723"/>
    </row>
    <row r="44" spans="2:17" s="420" customFormat="1" ht="14.45" customHeight="1" x14ac:dyDescent="0.2">
      <c r="B44" s="909"/>
      <c r="C44" s="1267"/>
      <c r="D44" s="768" t="s">
        <v>557</v>
      </c>
      <c r="E44" s="399">
        <v>1</v>
      </c>
      <c r="F44" s="400"/>
      <c r="G44" s="401">
        <v>7500</v>
      </c>
      <c r="H44" s="722">
        <f>E44*G44</f>
        <v>7500</v>
      </c>
      <c r="I44" s="723"/>
      <c r="J44" s="724"/>
      <c r="K44" s="725"/>
      <c r="L44" s="725"/>
      <c r="M44" s="725"/>
      <c r="N44" s="725"/>
      <c r="O44" s="724"/>
      <c r="P44" s="723"/>
    </row>
    <row r="45" spans="2:17" s="420" customFormat="1" ht="14.45" customHeight="1" x14ac:dyDescent="0.2">
      <c r="B45" s="909"/>
      <c r="C45" s="1267"/>
      <c r="D45" s="768"/>
      <c r="E45" s="399">
        <v>1</v>
      </c>
      <c r="F45" s="400"/>
      <c r="G45" s="401"/>
      <c r="H45" s="722">
        <f>E45*G45</f>
        <v>0</v>
      </c>
      <c r="I45" s="723"/>
      <c r="J45" s="724"/>
      <c r="K45" s="725"/>
      <c r="L45" s="725"/>
      <c r="M45" s="725"/>
      <c r="N45" s="725"/>
      <c r="O45" s="724"/>
      <c r="P45" s="723"/>
    </row>
    <row r="46" spans="2:17" s="420" customFormat="1" ht="14.45" customHeight="1" x14ac:dyDescent="0.2">
      <c r="B46" s="909"/>
      <c r="C46" s="1267"/>
      <c r="D46" s="768"/>
      <c r="E46" s="399">
        <v>1</v>
      </c>
      <c r="F46" s="400"/>
      <c r="G46" s="401"/>
      <c r="H46" s="722">
        <f>E46*G46</f>
        <v>0</v>
      </c>
      <c r="I46" s="723"/>
      <c r="J46" s="724"/>
      <c r="K46" s="725"/>
      <c r="L46" s="725"/>
      <c r="M46" s="725"/>
      <c r="N46" s="725"/>
      <c r="O46" s="724"/>
      <c r="P46" s="723"/>
    </row>
    <row r="47" spans="2:17" s="420" customFormat="1" ht="14.45" customHeight="1" x14ac:dyDescent="0.2">
      <c r="B47" s="909"/>
      <c r="C47" s="1267"/>
      <c r="D47" s="768"/>
      <c r="E47" s="399">
        <v>1</v>
      </c>
      <c r="F47" s="400"/>
      <c r="G47" s="401"/>
      <c r="H47" s="722">
        <f>E47*G47</f>
        <v>0</v>
      </c>
      <c r="I47" s="723"/>
      <c r="J47" s="724"/>
      <c r="K47" s="725"/>
      <c r="L47" s="725"/>
      <c r="M47" s="725"/>
      <c r="N47" s="725"/>
      <c r="O47" s="724"/>
      <c r="P47" s="723"/>
    </row>
    <row r="48" spans="2:17" s="420" customFormat="1" ht="14.45" customHeight="1" x14ac:dyDescent="0.2">
      <c r="B48" s="909"/>
      <c r="C48" s="1267"/>
      <c r="D48" s="768" t="s">
        <v>645</v>
      </c>
      <c r="E48" s="399">
        <v>-1</v>
      </c>
      <c r="F48" s="400"/>
      <c r="G48" s="401">
        <f>I34+I19</f>
        <v>2500</v>
      </c>
      <c r="H48" s="722">
        <f>E48*G48</f>
        <v>-2500</v>
      </c>
      <c r="I48" s="723"/>
      <c r="J48" s="724"/>
      <c r="K48" s="725"/>
      <c r="L48" s="725"/>
      <c r="M48" s="725"/>
      <c r="N48" s="725"/>
      <c r="O48" s="724"/>
      <c r="P48" s="723"/>
    </row>
    <row r="49" spans="2:17" s="420" customFormat="1" ht="14.45" customHeight="1" x14ac:dyDescent="0.2">
      <c r="B49" s="909"/>
      <c r="C49" s="1267"/>
      <c r="D49" s="768" t="s">
        <v>598</v>
      </c>
      <c r="E49" s="399">
        <v>1</v>
      </c>
      <c r="F49" s="400"/>
      <c r="G49" s="401"/>
      <c r="H49" s="722">
        <f t="shared" ref="H49" si="5">E49*G49</f>
        <v>0</v>
      </c>
      <c r="I49" s="905">
        <f>SUM(H43:H49)</f>
        <v>5000</v>
      </c>
      <c r="J49" s="724">
        <f>I49*$J$5</f>
        <v>650</v>
      </c>
      <c r="K49" s="725">
        <f>SUM(I49:J49)*$K$5</f>
        <v>254.25</v>
      </c>
      <c r="L49" s="725">
        <f>SUM(I49:K49)*$L$5</f>
        <v>324.73374999999999</v>
      </c>
      <c r="M49" s="725">
        <f>SUM(I49:L49)*$M$5</f>
        <v>373.73902500000003</v>
      </c>
      <c r="N49" s="725">
        <f>SUM(I49:M49)*$N$5</f>
        <v>660.27227750000009</v>
      </c>
      <c r="O49" s="724">
        <f>SUM(I49:N49)</f>
        <v>7262.9950525000004</v>
      </c>
      <c r="P49" s="723">
        <f>ROUND(O49,-3)</f>
        <v>7000</v>
      </c>
      <c r="Q49" s="420" t="s">
        <v>514</v>
      </c>
    </row>
    <row r="50" spans="2:17" s="420" customFormat="1" ht="15" customHeight="1" thickBot="1" x14ac:dyDescent="0.25">
      <c r="B50" s="910"/>
      <c r="C50" s="1268"/>
      <c r="D50" s="407"/>
      <c r="E50" s="408"/>
      <c r="F50" s="409"/>
      <c r="G50" s="410"/>
      <c r="H50" s="411"/>
      <c r="I50" s="412"/>
      <c r="J50" s="413"/>
      <c r="K50" s="414"/>
      <c r="L50" s="414"/>
      <c r="M50" s="414"/>
      <c r="N50" s="414"/>
      <c r="O50" s="413"/>
      <c r="P50" s="412"/>
    </row>
    <row r="51" spans="2:17" s="426" customFormat="1" ht="33" customHeight="1" x14ac:dyDescent="0.2">
      <c r="B51" s="908" t="str">
        <f>'Detailed Matrix'!E202</f>
        <v>Circular Economy Assessment</v>
      </c>
      <c r="C51" s="1266" t="str">
        <f>'Detailed Matrix'!F202</f>
        <v>Stage 04 - Very thorough assessment carried out to create full picture of opportunites and challenges for circularity as well as solutions.</v>
      </c>
      <c r="D51" s="390" t="s">
        <v>556</v>
      </c>
      <c r="E51" s="391">
        <v>1</v>
      </c>
      <c r="F51" s="392"/>
      <c r="G51" s="393">
        <v>5000</v>
      </c>
      <c r="H51" s="394">
        <f t="shared" ref="H51:H57" si="6">E51*G51</f>
        <v>5000</v>
      </c>
      <c r="I51" s="395"/>
      <c r="J51" s="396"/>
      <c r="K51" s="397"/>
      <c r="L51" s="397"/>
      <c r="M51" s="397"/>
      <c r="N51" s="397"/>
      <c r="O51" s="396"/>
      <c r="P51" s="395"/>
    </row>
    <row r="52" spans="2:17" s="426" customFormat="1" ht="14.45" customHeight="1" x14ac:dyDescent="0.2">
      <c r="B52" s="909"/>
      <c r="C52" s="1267"/>
      <c r="D52" s="768"/>
      <c r="E52" s="399">
        <v>1</v>
      </c>
      <c r="F52" s="400"/>
      <c r="G52" s="401"/>
      <c r="H52" s="722">
        <f t="shared" si="6"/>
        <v>0</v>
      </c>
      <c r="I52" s="723"/>
      <c r="J52" s="724"/>
      <c r="K52" s="725"/>
      <c r="L52" s="725"/>
      <c r="M52" s="725"/>
      <c r="N52" s="725"/>
      <c r="O52" s="724"/>
      <c r="P52" s="723"/>
    </row>
    <row r="53" spans="2:17" s="426" customFormat="1" ht="14.45" customHeight="1" x14ac:dyDescent="0.2">
      <c r="B53" s="909"/>
      <c r="C53" s="1267"/>
      <c r="D53" s="768"/>
      <c r="E53" s="399">
        <v>1</v>
      </c>
      <c r="F53" s="400"/>
      <c r="G53" s="401"/>
      <c r="H53" s="722">
        <f t="shared" si="6"/>
        <v>0</v>
      </c>
      <c r="I53" s="723"/>
      <c r="J53" s="724"/>
      <c r="K53" s="725"/>
      <c r="L53" s="725"/>
      <c r="M53" s="725"/>
      <c r="N53" s="725"/>
      <c r="O53" s="724"/>
      <c r="P53" s="723"/>
    </row>
    <row r="54" spans="2:17" s="426" customFormat="1" ht="14.45" customHeight="1" x14ac:dyDescent="0.2">
      <c r="B54" s="909"/>
      <c r="C54" s="1267"/>
      <c r="D54" s="768"/>
      <c r="E54" s="399">
        <v>1</v>
      </c>
      <c r="F54" s="400"/>
      <c r="G54" s="401"/>
      <c r="H54" s="722">
        <f t="shared" si="6"/>
        <v>0</v>
      </c>
      <c r="I54" s="723"/>
      <c r="J54" s="724"/>
      <c r="K54" s="725"/>
      <c r="L54" s="725"/>
      <c r="M54" s="725"/>
      <c r="N54" s="725"/>
      <c r="O54" s="724"/>
      <c r="P54" s="723"/>
    </row>
    <row r="55" spans="2:17" s="426" customFormat="1" ht="14.45" customHeight="1" x14ac:dyDescent="0.2">
      <c r="B55" s="909"/>
      <c r="C55" s="1267"/>
      <c r="D55" s="768"/>
      <c r="E55" s="399">
        <v>1</v>
      </c>
      <c r="F55" s="400"/>
      <c r="G55" s="401"/>
      <c r="H55" s="722">
        <f t="shared" si="6"/>
        <v>0</v>
      </c>
      <c r="I55" s="723"/>
      <c r="J55" s="724"/>
      <c r="K55" s="725"/>
      <c r="L55" s="725"/>
      <c r="M55" s="725"/>
      <c r="N55" s="725"/>
      <c r="O55" s="724"/>
      <c r="P55" s="723"/>
    </row>
    <row r="56" spans="2:17" s="426" customFormat="1" ht="14.45" customHeight="1" x14ac:dyDescent="0.2">
      <c r="B56" s="909"/>
      <c r="C56" s="1267"/>
      <c r="D56" s="768" t="s">
        <v>646</v>
      </c>
      <c r="E56" s="399">
        <v>-1</v>
      </c>
      <c r="F56" s="400"/>
      <c r="G56" s="401">
        <f>I42+I27+I12</f>
        <v>5000</v>
      </c>
      <c r="H56" s="722">
        <f t="shared" si="6"/>
        <v>-5000</v>
      </c>
      <c r="I56" s="723"/>
      <c r="J56" s="724"/>
      <c r="K56" s="725"/>
      <c r="L56" s="725"/>
      <c r="M56" s="725"/>
      <c r="N56" s="725"/>
      <c r="O56" s="724"/>
      <c r="P56" s="723"/>
    </row>
    <row r="57" spans="2:17" s="426" customFormat="1" ht="14.45" customHeight="1" x14ac:dyDescent="0.2">
      <c r="B57" s="909"/>
      <c r="C57" s="1267"/>
      <c r="D57" s="768" t="s">
        <v>598</v>
      </c>
      <c r="E57" s="399"/>
      <c r="F57" s="400"/>
      <c r="G57" s="401"/>
      <c r="H57" s="722">
        <f t="shared" si="6"/>
        <v>0</v>
      </c>
      <c r="I57" s="875">
        <f>SUM(H51:H57)</f>
        <v>0</v>
      </c>
      <c r="J57" s="724">
        <f>I57*$J$5</f>
        <v>0</v>
      </c>
      <c r="K57" s="725">
        <f>SUM(I57:J57)*$K$5</f>
        <v>0</v>
      </c>
      <c r="L57" s="725">
        <f>SUM(I57:K57)*$L$5</f>
        <v>0</v>
      </c>
      <c r="M57" s="725">
        <f>SUM(I57:L57)*$M$5</f>
        <v>0</v>
      </c>
      <c r="N57" s="725">
        <f>SUM(I57:M57)*$N$5</f>
        <v>0</v>
      </c>
      <c r="O57" s="724">
        <f>SUM(I57:N57)</f>
        <v>0</v>
      </c>
      <c r="P57" s="723">
        <f>ROUND(O57,-3)</f>
        <v>0</v>
      </c>
      <c r="Q57" s="426" t="s">
        <v>514</v>
      </c>
    </row>
    <row r="58" spans="2:17" s="426" customFormat="1" ht="14.45" customHeight="1" x14ac:dyDescent="0.2">
      <c r="B58" s="909"/>
      <c r="C58" s="1267"/>
      <c r="D58" s="768"/>
      <c r="E58" s="399"/>
      <c r="F58" s="400"/>
      <c r="G58" s="401"/>
      <c r="H58" s="722"/>
      <c r="I58" s="723"/>
      <c r="J58" s="724"/>
      <c r="K58" s="725"/>
      <c r="L58" s="725"/>
      <c r="M58" s="725"/>
      <c r="N58" s="725"/>
      <c r="O58" s="724"/>
      <c r="P58" s="723"/>
    </row>
    <row r="59" spans="2:17" s="426" customFormat="1" ht="14.45" customHeight="1" x14ac:dyDescent="0.2">
      <c r="B59" s="909"/>
      <c r="C59" s="1267"/>
      <c r="D59" s="768" t="s">
        <v>557</v>
      </c>
      <c r="E59" s="399">
        <v>1</v>
      </c>
      <c r="F59" s="400"/>
      <c r="G59" s="401">
        <v>10000</v>
      </c>
      <c r="H59" s="722">
        <f>E59*G59</f>
        <v>10000</v>
      </c>
      <c r="I59" s="723"/>
      <c r="J59" s="724"/>
      <c r="K59" s="725"/>
      <c r="L59" s="725"/>
      <c r="M59" s="725"/>
      <c r="N59" s="725"/>
      <c r="O59" s="724"/>
      <c r="P59" s="723"/>
    </row>
    <row r="60" spans="2:17" s="426" customFormat="1" ht="14.45" customHeight="1" x14ac:dyDescent="0.2">
      <c r="B60" s="909"/>
      <c r="C60" s="1267"/>
      <c r="D60" s="768"/>
      <c r="E60" s="399">
        <v>1</v>
      </c>
      <c r="F60" s="400"/>
      <c r="G60" s="401"/>
      <c r="H60" s="722">
        <f>E60*G60</f>
        <v>0</v>
      </c>
      <c r="I60" s="723"/>
      <c r="J60" s="724"/>
      <c r="K60" s="725"/>
      <c r="L60" s="725"/>
      <c r="M60" s="725"/>
      <c r="N60" s="725"/>
      <c r="O60" s="724"/>
      <c r="P60" s="723"/>
    </row>
    <row r="61" spans="2:17" s="426" customFormat="1" ht="14.45" customHeight="1" x14ac:dyDescent="0.2">
      <c r="B61" s="909"/>
      <c r="C61" s="1267"/>
      <c r="D61" s="768"/>
      <c r="E61" s="399">
        <v>1</v>
      </c>
      <c r="F61" s="400"/>
      <c r="G61" s="401"/>
      <c r="H61" s="722">
        <f>E61*G61</f>
        <v>0</v>
      </c>
      <c r="I61" s="723"/>
      <c r="J61" s="724"/>
      <c r="K61" s="725"/>
      <c r="L61" s="725"/>
      <c r="M61" s="725"/>
      <c r="N61" s="725"/>
      <c r="O61" s="724"/>
      <c r="P61" s="723"/>
    </row>
    <row r="62" spans="2:17" s="426" customFormat="1" ht="14.45" customHeight="1" x14ac:dyDescent="0.2">
      <c r="B62" s="909"/>
      <c r="C62" s="1267"/>
      <c r="D62" s="768"/>
      <c r="E62" s="399">
        <v>1</v>
      </c>
      <c r="F62" s="400"/>
      <c r="G62" s="401"/>
      <c r="H62" s="722">
        <f>E62*G62</f>
        <v>0</v>
      </c>
      <c r="I62" s="723"/>
      <c r="J62" s="724"/>
      <c r="K62" s="725"/>
      <c r="L62" s="725"/>
      <c r="M62" s="725"/>
      <c r="N62" s="725"/>
      <c r="O62" s="724"/>
      <c r="P62" s="723"/>
    </row>
    <row r="63" spans="2:17" s="426" customFormat="1" ht="14.45" customHeight="1" x14ac:dyDescent="0.2">
      <c r="B63" s="909"/>
      <c r="C63" s="1267"/>
      <c r="D63" s="768" t="s">
        <v>646</v>
      </c>
      <c r="E63" s="399">
        <v>-1</v>
      </c>
      <c r="F63" s="400"/>
      <c r="G63" s="401">
        <f>I49+I34+I19</f>
        <v>7500</v>
      </c>
      <c r="H63" s="722">
        <f>E63*G63</f>
        <v>-7500</v>
      </c>
      <c r="I63" s="723"/>
      <c r="J63" s="724"/>
      <c r="K63" s="725"/>
      <c r="L63" s="725"/>
      <c r="M63" s="725"/>
      <c r="N63" s="725"/>
      <c r="O63" s="724"/>
      <c r="P63" s="723"/>
    </row>
    <row r="64" spans="2:17" s="426" customFormat="1" ht="14.45" customHeight="1" x14ac:dyDescent="0.2">
      <c r="B64" s="909"/>
      <c r="C64" s="1267"/>
      <c r="D64" s="768" t="s">
        <v>598</v>
      </c>
      <c r="E64" s="399">
        <v>1</v>
      </c>
      <c r="F64" s="400"/>
      <c r="G64" s="401"/>
      <c r="H64" s="722">
        <f t="shared" ref="H64" si="7">E64*G64</f>
        <v>0</v>
      </c>
      <c r="I64" s="905">
        <f>SUM(H58:H64)</f>
        <v>2500</v>
      </c>
      <c r="J64" s="724">
        <f>I64*$J$5</f>
        <v>325</v>
      </c>
      <c r="K64" s="725">
        <f>SUM(I64:J64)*$K$5</f>
        <v>127.125</v>
      </c>
      <c r="L64" s="725">
        <f>SUM(I64:K64)*$L$5</f>
        <v>162.36687499999999</v>
      </c>
      <c r="M64" s="725">
        <f>SUM(I64:L64)*$M$5</f>
        <v>186.86951250000001</v>
      </c>
      <c r="N64" s="725">
        <f>SUM(I64:M64)*$N$5</f>
        <v>330.13613875000004</v>
      </c>
      <c r="O64" s="724">
        <f>SUM(I64:N64)</f>
        <v>3631.4975262500002</v>
      </c>
      <c r="P64" s="723">
        <f>ROUND(O64,-3)</f>
        <v>4000</v>
      </c>
      <c r="Q64" s="426" t="s">
        <v>514</v>
      </c>
    </row>
    <row r="65" spans="2:17" s="426" customFormat="1" ht="15" customHeight="1" thickBot="1" x14ac:dyDescent="0.25">
      <c r="B65" s="910"/>
      <c r="C65" s="1268"/>
      <c r="D65" s="407"/>
      <c r="E65" s="408"/>
      <c r="F65" s="409"/>
      <c r="G65" s="410"/>
      <c r="H65" s="411"/>
      <c r="I65" s="412"/>
      <c r="J65" s="413"/>
      <c r="K65" s="414"/>
      <c r="L65" s="414"/>
      <c r="M65" s="414"/>
      <c r="N65" s="414"/>
      <c r="O65" s="413"/>
      <c r="P65" s="412"/>
    </row>
    <row r="66" spans="2:17" s="420" customFormat="1" ht="21.95" customHeight="1" x14ac:dyDescent="0.2">
      <c r="B66" s="908" t="str">
        <f>'Detailed Matrix'!E203</f>
        <v>Environmental Evaluation</v>
      </c>
      <c r="C66" s="1266" t="str">
        <f>'Detailed Matrix'!F203</f>
        <v>Detailed evaluation of potential environmental impacts/benefits</v>
      </c>
      <c r="D66" s="390" t="s">
        <v>556</v>
      </c>
      <c r="E66" s="391">
        <v>1</v>
      </c>
      <c r="F66" s="392"/>
      <c r="G66" s="393"/>
      <c r="H66" s="394">
        <f t="shared" ref="H66:H72" si="8">E66*G66</f>
        <v>0</v>
      </c>
      <c r="I66" s="395"/>
      <c r="J66" s="396"/>
      <c r="K66" s="397"/>
      <c r="L66" s="397"/>
      <c r="M66" s="397"/>
      <c r="N66" s="397"/>
      <c r="O66" s="396"/>
      <c r="P66" s="395"/>
    </row>
    <row r="67" spans="2:17" s="420" customFormat="1" ht="14.45" customHeight="1" x14ac:dyDescent="0.2">
      <c r="B67" s="909"/>
      <c r="C67" s="1267"/>
      <c r="D67" s="768"/>
      <c r="E67" s="399">
        <v>1</v>
      </c>
      <c r="F67" s="400"/>
      <c r="G67" s="401"/>
      <c r="H67" s="722">
        <f t="shared" si="8"/>
        <v>0</v>
      </c>
      <c r="I67" s="723"/>
      <c r="J67" s="724"/>
      <c r="K67" s="725"/>
      <c r="L67" s="725"/>
      <c r="M67" s="725"/>
      <c r="N67" s="725"/>
      <c r="O67" s="724"/>
      <c r="P67" s="723"/>
    </row>
    <row r="68" spans="2:17" s="420" customFormat="1" ht="14.45" customHeight="1" x14ac:dyDescent="0.2">
      <c r="B68" s="909"/>
      <c r="C68" s="1267"/>
      <c r="D68" s="768" t="s">
        <v>651</v>
      </c>
      <c r="E68" s="399">
        <v>1</v>
      </c>
      <c r="F68" s="400" t="s">
        <v>576</v>
      </c>
      <c r="G68" s="401">
        <v>10000</v>
      </c>
      <c r="H68" s="722">
        <f t="shared" si="8"/>
        <v>10000</v>
      </c>
      <c r="I68" s="723"/>
      <c r="J68" s="724"/>
      <c r="K68" s="725"/>
      <c r="L68" s="725"/>
      <c r="M68" s="725"/>
      <c r="N68" s="725"/>
      <c r="O68" s="724"/>
      <c r="P68" s="723"/>
    </row>
    <row r="69" spans="2:17" s="420" customFormat="1" ht="14.45" customHeight="1" x14ac:dyDescent="0.2">
      <c r="B69" s="909"/>
      <c r="C69" s="1267"/>
      <c r="D69" s="768"/>
      <c r="E69" s="399">
        <v>1</v>
      </c>
      <c r="F69" s="400"/>
      <c r="G69" s="401"/>
      <c r="H69" s="722">
        <f t="shared" si="8"/>
        <v>0</v>
      </c>
      <c r="I69" s="723"/>
      <c r="J69" s="724"/>
      <c r="K69" s="725"/>
      <c r="L69" s="725"/>
      <c r="M69" s="725"/>
      <c r="N69" s="725"/>
      <c r="O69" s="724"/>
      <c r="P69" s="723"/>
    </row>
    <row r="70" spans="2:17" s="420" customFormat="1" ht="14.45" customHeight="1" x14ac:dyDescent="0.2">
      <c r="B70" s="909"/>
      <c r="C70" s="1267"/>
      <c r="D70" s="768"/>
      <c r="E70" s="399">
        <v>1</v>
      </c>
      <c r="F70" s="400"/>
      <c r="G70" s="401"/>
      <c r="H70" s="722">
        <f t="shared" si="8"/>
        <v>0</v>
      </c>
      <c r="I70" s="723"/>
      <c r="J70" s="724"/>
      <c r="K70" s="725"/>
      <c r="L70" s="725"/>
      <c r="M70" s="725"/>
      <c r="N70" s="725"/>
      <c r="O70" s="724"/>
      <c r="P70" s="723"/>
    </row>
    <row r="71" spans="2:17" s="420" customFormat="1" ht="14.45" customHeight="1" x14ac:dyDescent="0.2">
      <c r="B71" s="909"/>
      <c r="C71" s="1267"/>
      <c r="D71" s="768"/>
      <c r="E71" s="399">
        <v>1</v>
      </c>
      <c r="F71" s="400"/>
      <c r="G71" s="401"/>
      <c r="H71" s="722">
        <f t="shared" si="8"/>
        <v>0</v>
      </c>
      <c r="I71" s="723"/>
      <c r="J71" s="724"/>
      <c r="K71" s="725"/>
      <c r="L71" s="725"/>
      <c r="M71" s="725"/>
      <c r="N71" s="725"/>
      <c r="O71" s="724"/>
      <c r="P71" s="723"/>
    </row>
    <row r="72" spans="2:17" s="420" customFormat="1" ht="14.45" customHeight="1" x14ac:dyDescent="0.2">
      <c r="B72" s="909"/>
      <c r="C72" s="1267"/>
      <c r="D72" s="768" t="s">
        <v>621</v>
      </c>
      <c r="E72" s="399"/>
      <c r="F72" s="400"/>
      <c r="G72" s="401"/>
      <c r="H72" s="722">
        <f t="shared" si="8"/>
        <v>0</v>
      </c>
      <c r="I72" s="723">
        <f>SUM(H66:H72)</f>
        <v>10000</v>
      </c>
      <c r="J72" s="724">
        <f>I72*$J$5</f>
        <v>1300</v>
      </c>
      <c r="K72" s="725">
        <f>SUM(I72:J72)*$K$5</f>
        <v>508.5</v>
      </c>
      <c r="L72" s="725">
        <f>SUM(I72:K72)*$L$5</f>
        <v>649.46749999999997</v>
      </c>
      <c r="M72" s="725">
        <f>SUM(I72:L72)*$M$5</f>
        <v>747.47805000000005</v>
      </c>
      <c r="N72" s="725">
        <f>SUM(I72:M72)*$N$5</f>
        <v>1320.5445550000002</v>
      </c>
      <c r="O72" s="724">
        <f>SUM(I72:N72)</f>
        <v>14525.990105000001</v>
      </c>
      <c r="P72" s="723">
        <f>ROUND(O72,-3)</f>
        <v>15000</v>
      </c>
      <c r="Q72" s="420" t="s">
        <v>600</v>
      </c>
    </row>
    <row r="73" spans="2:17" s="420" customFormat="1" ht="14.45" customHeight="1" x14ac:dyDescent="0.2">
      <c r="B73" s="909"/>
      <c r="C73" s="1267"/>
      <c r="D73" s="768"/>
      <c r="E73" s="399"/>
      <c r="F73" s="400"/>
      <c r="G73" s="401"/>
      <c r="H73" s="722"/>
      <c r="I73" s="723"/>
      <c r="J73" s="724"/>
      <c r="K73" s="725"/>
      <c r="L73" s="725"/>
      <c r="M73" s="725"/>
      <c r="N73" s="725"/>
      <c r="O73" s="724"/>
      <c r="P73" s="723"/>
    </row>
    <row r="74" spans="2:17" s="420" customFormat="1" ht="14.45" customHeight="1" x14ac:dyDescent="0.2">
      <c r="B74" s="909"/>
      <c r="C74" s="1267"/>
      <c r="D74" s="768" t="s">
        <v>557</v>
      </c>
      <c r="E74" s="399">
        <v>1</v>
      </c>
      <c r="F74" s="400"/>
      <c r="G74" s="401"/>
      <c r="H74" s="722">
        <f>E74*G74</f>
        <v>0</v>
      </c>
      <c r="I74" s="723"/>
      <c r="J74" s="724"/>
      <c r="K74" s="725"/>
      <c r="L74" s="725"/>
      <c r="M74" s="725"/>
      <c r="N74" s="725"/>
      <c r="O74" s="724"/>
      <c r="P74" s="723"/>
    </row>
    <row r="75" spans="2:17" s="420" customFormat="1" ht="14.45" customHeight="1" x14ac:dyDescent="0.2">
      <c r="B75" s="909"/>
      <c r="C75" s="1267"/>
      <c r="D75" s="768"/>
      <c r="E75" s="399">
        <v>1</v>
      </c>
      <c r="F75" s="400"/>
      <c r="G75" s="401"/>
      <c r="H75" s="722">
        <f>E75*G75</f>
        <v>0</v>
      </c>
      <c r="I75" s="723"/>
      <c r="J75" s="724"/>
      <c r="K75" s="725"/>
      <c r="L75" s="725"/>
      <c r="M75" s="725"/>
      <c r="N75" s="725"/>
      <c r="O75" s="724"/>
      <c r="P75" s="723"/>
    </row>
    <row r="76" spans="2:17" s="420" customFormat="1" ht="14.45" customHeight="1" x14ac:dyDescent="0.2">
      <c r="B76" s="909"/>
      <c r="C76" s="1267"/>
      <c r="D76" s="768" t="s">
        <v>651</v>
      </c>
      <c r="E76" s="399">
        <v>1</v>
      </c>
      <c r="F76" s="400" t="s">
        <v>576</v>
      </c>
      <c r="G76" s="401">
        <v>25000</v>
      </c>
      <c r="H76" s="722">
        <f>E76*G76</f>
        <v>25000</v>
      </c>
      <c r="I76" s="723"/>
      <c r="J76" s="724"/>
      <c r="K76" s="725"/>
      <c r="L76" s="725"/>
      <c r="M76" s="725"/>
      <c r="N76" s="725"/>
      <c r="O76" s="724"/>
      <c r="P76" s="723"/>
    </row>
    <row r="77" spans="2:17" s="420" customFormat="1" ht="14.45" customHeight="1" x14ac:dyDescent="0.2">
      <c r="B77" s="909"/>
      <c r="C77" s="1267"/>
      <c r="D77" s="768"/>
      <c r="E77" s="399">
        <v>1</v>
      </c>
      <c r="F77" s="400"/>
      <c r="G77" s="401"/>
      <c r="H77" s="722">
        <f>E77*G77</f>
        <v>0</v>
      </c>
      <c r="I77" s="723"/>
      <c r="J77" s="724"/>
      <c r="K77" s="725"/>
      <c r="L77" s="725"/>
      <c r="M77" s="725"/>
      <c r="N77" s="725"/>
      <c r="O77" s="724"/>
      <c r="P77" s="723"/>
    </row>
    <row r="78" spans="2:17" s="420" customFormat="1" ht="14.45" customHeight="1" x14ac:dyDescent="0.2">
      <c r="B78" s="909"/>
      <c r="C78" s="1267"/>
      <c r="D78" s="768"/>
      <c r="E78" s="399">
        <v>1</v>
      </c>
      <c r="F78" s="400"/>
      <c r="G78" s="401"/>
      <c r="H78" s="722">
        <f>E78*G78</f>
        <v>0</v>
      </c>
      <c r="I78" s="723"/>
      <c r="J78" s="724"/>
      <c r="K78" s="725"/>
      <c r="L78" s="725"/>
      <c r="M78" s="725"/>
      <c r="N78" s="725"/>
      <c r="O78" s="724"/>
      <c r="P78" s="723"/>
    </row>
    <row r="79" spans="2:17" s="420" customFormat="1" ht="14.45" customHeight="1" x14ac:dyDescent="0.2">
      <c r="B79" s="909"/>
      <c r="C79" s="1267"/>
      <c r="D79" s="768" t="s">
        <v>621</v>
      </c>
      <c r="E79" s="399">
        <v>1</v>
      </c>
      <c r="F79" s="400"/>
      <c r="G79" s="401"/>
      <c r="H79" s="722">
        <f t="shared" ref="H79" si="9">E79*G79</f>
        <v>0</v>
      </c>
      <c r="I79" s="723">
        <f>SUM(H73:H79)</f>
        <v>25000</v>
      </c>
      <c r="J79" s="724">
        <f>I79*$J$5</f>
        <v>3250</v>
      </c>
      <c r="K79" s="725">
        <f>SUM(I79:J79)*$K$5</f>
        <v>1271.25</v>
      </c>
      <c r="L79" s="725">
        <f>SUM(I79:K79)*$L$5</f>
        <v>1623.66875</v>
      </c>
      <c r="M79" s="725">
        <f>SUM(I79:L79)*$M$5</f>
        <v>1868.695125</v>
      </c>
      <c r="N79" s="725">
        <f>SUM(I79:M79)*$N$5</f>
        <v>3301.3613875000005</v>
      </c>
      <c r="O79" s="724">
        <f>SUM(I79:N79)</f>
        <v>36314.975262500004</v>
      </c>
      <c r="P79" s="723">
        <f>ROUND(O79,-3)</f>
        <v>36000</v>
      </c>
      <c r="Q79" s="420" t="s">
        <v>600</v>
      </c>
    </row>
    <row r="80" spans="2:17" s="420" customFormat="1" ht="15" customHeight="1" thickBot="1" x14ac:dyDescent="0.25">
      <c r="B80" s="910"/>
      <c r="C80" s="1268"/>
      <c r="D80" s="407"/>
      <c r="E80" s="408"/>
      <c r="F80" s="409"/>
      <c r="G80" s="410"/>
      <c r="H80" s="411"/>
      <c r="I80" s="412"/>
      <c r="J80" s="413"/>
      <c r="K80" s="414"/>
      <c r="L80" s="414"/>
      <c r="M80" s="414"/>
      <c r="N80" s="414"/>
      <c r="O80" s="413"/>
      <c r="P80" s="412"/>
    </row>
    <row r="81" spans="2:17" s="426" customFormat="1" ht="11.25" x14ac:dyDescent="0.2">
      <c r="B81" s="908" t="str">
        <f>'Detailed Matrix'!E204</f>
        <v>Testing Circular solutions</v>
      </c>
      <c r="C81" s="1266" t="str">
        <f>'Detailed Matrix'!F204</f>
        <v>Testing of new circular solutions in the project</v>
      </c>
      <c r="D81" s="390" t="s">
        <v>556</v>
      </c>
      <c r="E81" s="391">
        <v>1</v>
      </c>
      <c r="F81" s="392"/>
      <c r="G81" s="393"/>
      <c r="H81" s="394">
        <f t="shared" ref="H81:H87" si="10">E81*G81</f>
        <v>0</v>
      </c>
      <c r="I81" s="395"/>
      <c r="J81" s="396"/>
      <c r="K81" s="397"/>
      <c r="L81" s="397"/>
      <c r="M81" s="397"/>
      <c r="N81" s="397"/>
      <c r="O81" s="396"/>
      <c r="P81" s="395"/>
    </row>
    <row r="82" spans="2:17" s="426" customFormat="1" ht="14.45" customHeight="1" x14ac:dyDescent="0.2">
      <c r="B82" s="909"/>
      <c r="C82" s="1267"/>
      <c r="D82" s="768"/>
      <c r="E82" s="399">
        <v>1</v>
      </c>
      <c r="F82" s="400"/>
      <c r="G82" s="401"/>
      <c r="H82" s="722">
        <f t="shared" si="10"/>
        <v>0</v>
      </c>
      <c r="I82" s="723"/>
      <c r="J82" s="724"/>
      <c r="K82" s="725"/>
      <c r="L82" s="725"/>
      <c r="M82" s="725"/>
      <c r="N82" s="725"/>
      <c r="O82" s="724"/>
      <c r="P82" s="723"/>
    </row>
    <row r="83" spans="2:17" s="426" customFormat="1" ht="14.45" customHeight="1" x14ac:dyDescent="0.2">
      <c r="B83" s="909"/>
      <c r="C83" s="1267"/>
      <c r="D83" s="768"/>
      <c r="E83" s="399">
        <v>1</v>
      </c>
      <c r="F83" s="400"/>
      <c r="G83" s="401"/>
      <c r="H83" s="722">
        <f t="shared" si="10"/>
        <v>0</v>
      </c>
      <c r="I83" s="723"/>
      <c r="J83" s="724"/>
      <c r="K83" s="725"/>
      <c r="L83" s="725"/>
      <c r="M83" s="725"/>
      <c r="N83" s="725"/>
      <c r="O83" s="724"/>
      <c r="P83" s="723"/>
    </row>
    <row r="84" spans="2:17" s="426" customFormat="1" ht="14.45" customHeight="1" x14ac:dyDescent="0.2">
      <c r="B84" s="909"/>
      <c r="C84" s="1267"/>
      <c r="D84" s="768"/>
      <c r="E84" s="399">
        <v>1</v>
      </c>
      <c r="F84" s="400"/>
      <c r="G84" s="401"/>
      <c r="H84" s="722">
        <f t="shared" si="10"/>
        <v>0</v>
      </c>
      <c r="I84" s="723"/>
      <c r="J84" s="724"/>
      <c r="K84" s="725"/>
      <c r="L84" s="725"/>
      <c r="M84" s="725"/>
      <c r="N84" s="725"/>
      <c r="O84" s="724"/>
      <c r="P84" s="723"/>
    </row>
    <row r="85" spans="2:17" s="426" customFormat="1" ht="14.45" customHeight="1" x14ac:dyDescent="0.2">
      <c r="B85" s="909"/>
      <c r="C85" s="1267"/>
      <c r="D85" s="768"/>
      <c r="E85" s="399">
        <v>1</v>
      </c>
      <c r="F85" s="400"/>
      <c r="G85" s="401"/>
      <c r="H85" s="722">
        <f t="shared" si="10"/>
        <v>0</v>
      </c>
      <c r="I85" s="723"/>
      <c r="J85" s="724"/>
      <c r="K85" s="725"/>
      <c r="L85" s="725"/>
      <c r="M85" s="725"/>
      <c r="N85" s="725"/>
      <c r="O85" s="724"/>
      <c r="P85" s="723"/>
    </row>
    <row r="86" spans="2:17" s="426" customFormat="1" ht="14.45" customHeight="1" x14ac:dyDescent="0.2">
      <c r="B86" s="909"/>
      <c r="C86" s="1267"/>
      <c r="D86" s="768"/>
      <c r="E86" s="399">
        <v>1</v>
      </c>
      <c r="F86" s="400"/>
      <c r="G86" s="401"/>
      <c r="H86" s="722">
        <f t="shared" si="10"/>
        <v>0</v>
      </c>
      <c r="I86" s="723"/>
      <c r="J86" s="724"/>
      <c r="K86" s="725"/>
      <c r="L86" s="725"/>
      <c r="M86" s="725"/>
      <c r="N86" s="725"/>
      <c r="O86" s="724"/>
      <c r="P86" s="723"/>
    </row>
    <row r="87" spans="2:17" s="426" customFormat="1" ht="14.45" customHeight="1" x14ac:dyDescent="0.2">
      <c r="B87" s="909"/>
      <c r="C87" s="1267"/>
      <c r="D87" s="768" t="s">
        <v>621</v>
      </c>
      <c r="E87" s="399"/>
      <c r="F87" s="400"/>
      <c r="G87" s="401"/>
      <c r="H87" s="722">
        <f t="shared" si="10"/>
        <v>0</v>
      </c>
      <c r="I87" s="723">
        <f>SUM(H81:H87)</f>
        <v>0</v>
      </c>
      <c r="J87" s="724">
        <f>I87*$J$5</f>
        <v>0</v>
      </c>
      <c r="K87" s="725">
        <f>SUM(I87:J87)*$K$5</f>
        <v>0</v>
      </c>
      <c r="L87" s="725">
        <f>SUM(I87:K87)*$L$5</f>
        <v>0</v>
      </c>
      <c r="M87" s="725">
        <f>SUM(I87:L87)*$M$5</f>
        <v>0</v>
      </c>
      <c r="N87" s="725">
        <f>SUM(I87:M87)*$N$5</f>
        <v>0</v>
      </c>
      <c r="O87" s="724">
        <f>SUM(I87:N87)</f>
        <v>0</v>
      </c>
      <c r="P87" s="723">
        <f>ROUND(O87,-3)</f>
        <v>0</v>
      </c>
      <c r="Q87" s="426" t="s">
        <v>600</v>
      </c>
    </row>
    <row r="88" spans="2:17" s="426" customFormat="1" ht="14.45" customHeight="1" x14ac:dyDescent="0.2">
      <c r="B88" s="909"/>
      <c r="C88" s="1267"/>
      <c r="D88" s="768"/>
      <c r="E88" s="399"/>
      <c r="F88" s="400"/>
      <c r="G88" s="401"/>
      <c r="H88" s="722"/>
      <c r="I88" s="723"/>
      <c r="J88" s="724"/>
      <c r="K88" s="725"/>
      <c r="L88" s="725"/>
      <c r="M88" s="725"/>
      <c r="N88" s="725"/>
      <c r="O88" s="724"/>
      <c r="P88" s="723"/>
    </row>
    <row r="89" spans="2:17" s="426" customFormat="1" ht="14.45" customHeight="1" x14ac:dyDescent="0.2">
      <c r="B89" s="909"/>
      <c r="C89" s="1267"/>
      <c r="D89" s="768" t="s">
        <v>557</v>
      </c>
      <c r="E89" s="399">
        <v>1</v>
      </c>
      <c r="F89" s="400"/>
      <c r="G89" s="401"/>
      <c r="H89" s="722">
        <f>E89*G89</f>
        <v>0</v>
      </c>
      <c r="I89" s="723"/>
      <c r="J89" s="724"/>
      <c r="K89" s="725"/>
      <c r="L89" s="725"/>
      <c r="M89" s="725"/>
      <c r="N89" s="725"/>
      <c r="O89" s="724"/>
      <c r="P89" s="723"/>
    </row>
    <row r="90" spans="2:17" s="426" customFormat="1" ht="14.45" customHeight="1" x14ac:dyDescent="0.2">
      <c r="B90" s="909"/>
      <c r="C90" s="1267"/>
      <c r="D90" s="768"/>
      <c r="E90" s="399">
        <v>1</v>
      </c>
      <c r="F90" s="400"/>
      <c r="G90" s="401"/>
      <c r="H90" s="722">
        <f>E90*G90</f>
        <v>0</v>
      </c>
      <c r="I90" s="723"/>
      <c r="J90" s="724"/>
      <c r="K90" s="725"/>
      <c r="L90" s="725"/>
      <c r="M90" s="725"/>
      <c r="N90" s="725"/>
      <c r="O90" s="724"/>
      <c r="P90" s="723"/>
    </row>
    <row r="91" spans="2:17" s="426" customFormat="1" ht="14.45" customHeight="1" x14ac:dyDescent="0.2">
      <c r="B91" s="909"/>
      <c r="C91" s="1267"/>
      <c r="D91" s="768"/>
      <c r="E91" s="399">
        <v>1</v>
      </c>
      <c r="F91" s="400"/>
      <c r="G91" s="401"/>
      <c r="H91" s="722">
        <f>E91*G91</f>
        <v>0</v>
      </c>
      <c r="I91" s="723"/>
      <c r="J91" s="724"/>
      <c r="K91" s="725"/>
      <c r="L91" s="725"/>
      <c r="M91" s="725"/>
      <c r="N91" s="725"/>
      <c r="O91" s="724"/>
      <c r="P91" s="723"/>
    </row>
    <row r="92" spans="2:17" s="426" customFormat="1" ht="14.45" customHeight="1" x14ac:dyDescent="0.2">
      <c r="B92" s="909"/>
      <c r="C92" s="1267"/>
      <c r="D92" s="768"/>
      <c r="E92" s="399">
        <v>1</v>
      </c>
      <c r="F92" s="400"/>
      <c r="G92" s="401"/>
      <c r="H92" s="722">
        <f>E92*G92</f>
        <v>0</v>
      </c>
      <c r="I92" s="723"/>
      <c r="J92" s="724"/>
      <c r="K92" s="725"/>
      <c r="L92" s="725"/>
      <c r="M92" s="725"/>
      <c r="N92" s="725"/>
      <c r="O92" s="724"/>
      <c r="P92" s="723"/>
    </row>
    <row r="93" spans="2:17" s="426" customFormat="1" ht="14.45" customHeight="1" x14ac:dyDescent="0.2">
      <c r="B93" s="909"/>
      <c r="C93" s="1267"/>
      <c r="D93" s="768"/>
      <c r="E93" s="399">
        <v>1</v>
      </c>
      <c r="F93" s="400"/>
      <c r="G93" s="401"/>
      <c r="H93" s="722">
        <f>E93*G93</f>
        <v>0</v>
      </c>
      <c r="I93" s="723"/>
      <c r="J93" s="724"/>
      <c r="K93" s="725"/>
      <c r="L93" s="725"/>
      <c r="M93" s="725"/>
      <c r="N93" s="725"/>
      <c r="O93" s="724"/>
      <c r="P93" s="723"/>
    </row>
    <row r="94" spans="2:17" s="426" customFormat="1" ht="14.45" customHeight="1" x14ac:dyDescent="0.2">
      <c r="B94" s="909"/>
      <c r="C94" s="1267"/>
      <c r="D94" s="768" t="s">
        <v>621</v>
      </c>
      <c r="E94" s="399">
        <v>1</v>
      </c>
      <c r="F94" s="400"/>
      <c r="G94" s="401"/>
      <c r="H94" s="722">
        <f t="shared" ref="H94" si="11">E94*G94</f>
        <v>0</v>
      </c>
      <c r="I94" s="723">
        <f>SUM(H88:H94)</f>
        <v>0</v>
      </c>
      <c r="J94" s="724">
        <f>I94*$J$5</f>
        <v>0</v>
      </c>
      <c r="K94" s="725">
        <f>SUM(I94:J94)*$K$5</f>
        <v>0</v>
      </c>
      <c r="L94" s="725">
        <f>SUM(I94:K94)*$L$5</f>
        <v>0</v>
      </c>
      <c r="M94" s="725">
        <f>SUM(I94:L94)*$M$5</f>
        <v>0</v>
      </c>
      <c r="N94" s="725">
        <f>SUM(I94:M94)*$N$5</f>
        <v>0</v>
      </c>
      <c r="O94" s="724">
        <f>SUM(I94:N94)</f>
        <v>0</v>
      </c>
      <c r="P94" s="723">
        <f>ROUND(O94,-3)</f>
        <v>0</v>
      </c>
      <c r="Q94" s="426" t="s">
        <v>600</v>
      </c>
    </row>
    <row r="95" spans="2:17" s="426" customFormat="1" ht="15" customHeight="1" thickBot="1" x14ac:dyDescent="0.25">
      <c r="B95" s="910"/>
      <c r="C95" s="1268"/>
      <c r="D95" s="407"/>
      <c r="E95" s="408"/>
      <c r="F95" s="409"/>
      <c r="G95" s="410"/>
      <c r="H95" s="411"/>
      <c r="I95" s="412"/>
      <c r="J95" s="413"/>
      <c r="K95" s="414"/>
      <c r="L95" s="414"/>
      <c r="M95" s="414"/>
      <c r="N95" s="414"/>
      <c r="O95" s="413"/>
      <c r="P95" s="412"/>
    </row>
    <row r="96" spans="2:17" s="420" customFormat="1" ht="9.6" customHeight="1" x14ac:dyDescent="0.2">
      <c r="B96" s="908" t="str">
        <f>'Detailed Matrix'!E205</f>
        <v>Fully Circular Building</v>
      </c>
      <c r="C96" s="1266" t="str">
        <f>'Detailed Matrix'!F205</f>
        <v>Strategic target to create a fully circular building, data driven and designed for disassembly</v>
      </c>
      <c r="D96" s="390" t="s">
        <v>556</v>
      </c>
      <c r="E96" s="391">
        <v>1</v>
      </c>
      <c r="F96" s="392"/>
      <c r="G96" s="393"/>
      <c r="H96" s="394">
        <f t="shared" ref="H96:H102" si="12">E96*G96</f>
        <v>0</v>
      </c>
      <c r="I96" s="395"/>
      <c r="J96" s="396"/>
      <c r="K96" s="397"/>
      <c r="L96" s="397"/>
      <c r="M96" s="397"/>
      <c r="N96" s="397"/>
      <c r="O96" s="396"/>
      <c r="P96" s="395"/>
    </row>
    <row r="97" spans="2:17" s="420" customFormat="1" ht="14.45" customHeight="1" x14ac:dyDescent="0.2">
      <c r="B97" s="909"/>
      <c r="C97" s="1267"/>
      <c r="D97" s="768"/>
      <c r="E97" s="399">
        <v>1</v>
      </c>
      <c r="F97" s="400"/>
      <c r="G97" s="401"/>
      <c r="H97" s="722">
        <f t="shared" si="12"/>
        <v>0</v>
      </c>
      <c r="I97" s="723"/>
      <c r="J97" s="724"/>
      <c r="K97" s="725"/>
      <c r="L97" s="725"/>
      <c r="M97" s="725"/>
      <c r="N97" s="725"/>
      <c r="O97" s="724"/>
      <c r="P97" s="723"/>
    </row>
    <row r="98" spans="2:17" s="420" customFormat="1" ht="14.45" customHeight="1" x14ac:dyDescent="0.2">
      <c r="B98" s="909"/>
      <c r="C98" s="1267"/>
      <c r="D98" s="768"/>
      <c r="E98" s="399">
        <v>1</v>
      </c>
      <c r="F98" s="400"/>
      <c r="G98" s="401"/>
      <c r="H98" s="722">
        <f t="shared" si="12"/>
        <v>0</v>
      </c>
      <c r="I98" s="723"/>
      <c r="J98" s="724"/>
      <c r="K98" s="725"/>
      <c r="L98" s="725"/>
      <c r="M98" s="725"/>
      <c r="N98" s="725"/>
      <c r="O98" s="724"/>
      <c r="P98" s="723"/>
    </row>
    <row r="99" spans="2:17" s="420" customFormat="1" ht="14.45" customHeight="1" x14ac:dyDescent="0.2">
      <c r="B99" s="909"/>
      <c r="C99" s="1267"/>
      <c r="D99" s="768"/>
      <c r="E99" s="399">
        <v>1</v>
      </c>
      <c r="F99" s="400"/>
      <c r="G99" s="401"/>
      <c r="H99" s="722">
        <f t="shared" si="12"/>
        <v>0</v>
      </c>
      <c r="I99" s="723"/>
      <c r="J99" s="724"/>
      <c r="K99" s="725"/>
      <c r="L99" s="725"/>
      <c r="M99" s="725"/>
      <c r="N99" s="725"/>
      <c r="O99" s="724"/>
      <c r="P99" s="723"/>
    </row>
    <row r="100" spans="2:17" s="420" customFormat="1" ht="14.45" customHeight="1" x14ac:dyDescent="0.2">
      <c r="B100" s="909"/>
      <c r="C100" s="1267"/>
      <c r="D100" s="768"/>
      <c r="E100" s="399">
        <v>1</v>
      </c>
      <c r="F100" s="400"/>
      <c r="G100" s="401"/>
      <c r="H100" s="722">
        <f t="shared" si="12"/>
        <v>0</v>
      </c>
      <c r="I100" s="723"/>
      <c r="J100" s="724"/>
      <c r="K100" s="725"/>
      <c r="L100" s="725"/>
      <c r="M100" s="725"/>
      <c r="N100" s="725"/>
      <c r="O100" s="724"/>
      <c r="P100" s="723"/>
    </row>
    <row r="101" spans="2:17" s="420" customFormat="1" ht="14.45" customHeight="1" x14ac:dyDescent="0.2">
      <c r="B101" s="909"/>
      <c r="C101" s="1267"/>
      <c r="D101" s="768"/>
      <c r="E101" s="399">
        <v>1</v>
      </c>
      <c r="F101" s="400"/>
      <c r="G101" s="401"/>
      <c r="H101" s="722">
        <f t="shared" si="12"/>
        <v>0</v>
      </c>
      <c r="I101" s="723"/>
      <c r="J101" s="724"/>
      <c r="K101" s="725"/>
      <c r="L101" s="725"/>
      <c r="M101" s="725"/>
      <c r="N101" s="725"/>
      <c r="O101" s="724"/>
      <c r="P101" s="723"/>
    </row>
    <row r="102" spans="2:17" s="420" customFormat="1" ht="14.45" customHeight="1" x14ac:dyDescent="0.2">
      <c r="B102" s="909"/>
      <c r="C102" s="1267"/>
      <c r="D102" s="768" t="s">
        <v>621</v>
      </c>
      <c r="E102" s="399"/>
      <c r="F102" s="400"/>
      <c r="G102" s="401"/>
      <c r="H102" s="722">
        <f t="shared" si="12"/>
        <v>0</v>
      </c>
      <c r="I102" s="723">
        <f>SUM(H96:H102)</f>
        <v>0</v>
      </c>
      <c r="J102" s="724">
        <f>I102*$J$5</f>
        <v>0</v>
      </c>
      <c r="K102" s="725">
        <f>SUM(I102:J102)*$K$5</f>
        <v>0</v>
      </c>
      <c r="L102" s="725">
        <f>SUM(I102:K102)*$L$5</f>
        <v>0</v>
      </c>
      <c r="M102" s="725">
        <f>SUM(I102:L102)*$M$5</f>
        <v>0</v>
      </c>
      <c r="N102" s="725">
        <f>SUM(I102:M102)*$N$5</f>
        <v>0</v>
      </c>
      <c r="O102" s="724">
        <f>SUM(I102:N102)</f>
        <v>0</v>
      </c>
      <c r="P102" s="723">
        <f>ROUND(O102,-3)</f>
        <v>0</v>
      </c>
      <c r="Q102" s="420" t="s">
        <v>600</v>
      </c>
    </row>
    <row r="103" spans="2:17" s="420" customFormat="1" ht="14.45" customHeight="1" x14ac:dyDescent="0.2">
      <c r="B103" s="909"/>
      <c r="C103" s="1267"/>
      <c r="D103" s="768"/>
      <c r="E103" s="399"/>
      <c r="F103" s="400"/>
      <c r="G103" s="401"/>
      <c r="H103" s="722"/>
      <c r="I103" s="723"/>
      <c r="J103" s="724"/>
      <c r="K103" s="725"/>
      <c r="L103" s="725"/>
      <c r="M103" s="725"/>
      <c r="N103" s="725"/>
      <c r="O103" s="724"/>
      <c r="P103" s="723"/>
    </row>
    <row r="104" spans="2:17" s="420" customFormat="1" ht="14.45" customHeight="1" x14ac:dyDescent="0.2">
      <c r="B104" s="909"/>
      <c r="C104" s="1267"/>
      <c r="D104" s="768" t="s">
        <v>557</v>
      </c>
      <c r="E104" s="399">
        <v>1</v>
      </c>
      <c r="F104" s="400"/>
      <c r="G104" s="401"/>
      <c r="H104" s="722">
        <f>E104*G104</f>
        <v>0</v>
      </c>
      <c r="I104" s="723"/>
      <c r="J104" s="724"/>
      <c r="K104" s="725"/>
      <c r="L104" s="725"/>
      <c r="M104" s="725"/>
      <c r="N104" s="725"/>
      <c r="O104" s="724"/>
      <c r="P104" s="723"/>
    </row>
    <row r="105" spans="2:17" s="420" customFormat="1" ht="14.45" customHeight="1" x14ac:dyDescent="0.2">
      <c r="B105" s="909"/>
      <c r="C105" s="1267"/>
      <c r="D105" s="768"/>
      <c r="E105" s="399">
        <v>1</v>
      </c>
      <c r="F105" s="400"/>
      <c r="G105" s="401"/>
      <c r="H105" s="722">
        <f>E105*G105</f>
        <v>0</v>
      </c>
      <c r="I105" s="723"/>
      <c r="J105" s="724"/>
      <c r="K105" s="725"/>
      <c r="L105" s="725"/>
      <c r="M105" s="725"/>
      <c r="N105" s="725"/>
      <c r="O105" s="724"/>
      <c r="P105" s="723"/>
    </row>
    <row r="106" spans="2:17" s="420" customFormat="1" ht="14.45" customHeight="1" x14ac:dyDescent="0.2">
      <c r="B106" s="909"/>
      <c r="C106" s="1267"/>
      <c r="D106" s="768"/>
      <c r="E106" s="399">
        <v>1</v>
      </c>
      <c r="F106" s="400"/>
      <c r="G106" s="401"/>
      <c r="H106" s="722">
        <f>E106*G106</f>
        <v>0</v>
      </c>
      <c r="I106" s="723"/>
      <c r="J106" s="724"/>
      <c r="K106" s="725"/>
      <c r="L106" s="725"/>
      <c r="M106" s="725"/>
      <c r="N106" s="725"/>
      <c r="O106" s="724"/>
      <c r="P106" s="723"/>
    </row>
    <row r="107" spans="2:17" s="420" customFormat="1" ht="14.45" customHeight="1" x14ac:dyDescent="0.2">
      <c r="B107" s="909"/>
      <c r="C107" s="1267"/>
      <c r="D107" s="768"/>
      <c r="E107" s="399">
        <v>1</v>
      </c>
      <c r="F107" s="400"/>
      <c r="G107" s="401"/>
      <c r="H107" s="722">
        <f>E107*G107</f>
        <v>0</v>
      </c>
      <c r="I107" s="723"/>
      <c r="J107" s="724"/>
      <c r="K107" s="725"/>
      <c r="L107" s="725"/>
      <c r="M107" s="725"/>
      <c r="N107" s="725"/>
      <c r="O107" s="724"/>
      <c r="P107" s="723"/>
    </row>
    <row r="108" spans="2:17" s="420" customFormat="1" ht="14.45" customHeight="1" x14ac:dyDescent="0.2">
      <c r="B108" s="909"/>
      <c r="C108" s="1267"/>
      <c r="D108" s="768"/>
      <c r="E108" s="399">
        <v>1</v>
      </c>
      <c r="F108" s="400"/>
      <c r="G108" s="401"/>
      <c r="H108" s="722">
        <f>E108*G108</f>
        <v>0</v>
      </c>
      <c r="I108" s="723"/>
      <c r="J108" s="724"/>
      <c r="K108" s="725"/>
      <c r="L108" s="725"/>
      <c r="M108" s="725"/>
      <c r="N108" s="725"/>
      <c r="O108" s="724"/>
      <c r="P108" s="723"/>
    </row>
    <row r="109" spans="2:17" s="420" customFormat="1" ht="14.45" customHeight="1" x14ac:dyDescent="0.2">
      <c r="B109" s="909"/>
      <c r="C109" s="1267"/>
      <c r="D109" s="768" t="s">
        <v>621</v>
      </c>
      <c r="E109" s="399">
        <v>1</v>
      </c>
      <c r="F109" s="400"/>
      <c r="G109" s="401"/>
      <c r="H109" s="722">
        <f t="shared" ref="H109" si="13">E109*G109</f>
        <v>0</v>
      </c>
      <c r="I109" s="723">
        <f>SUM(H103:H109)</f>
        <v>0</v>
      </c>
      <c r="J109" s="724">
        <f>I109*$J$5</f>
        <v>0</v>
      </c>
      <c r="K109" s="725">
        <f>SUM(I109:J109)*$K$5</f>
        <v>0</v>
      </c>
      <c r="L109" s="725">
        <f>SUM(I109:K109)*$L$5</f>
        <v>0</v>
      </c>
      <c r="M109" s="725">
        <f>SUM(I109:L109)*$M$5</f>
        <v>0</v>
      </c>
      <c r="N109" s="725">
        <f>SUM(I109:M109)*$N$5</f>
        <v>0</v>
      </c>
      <c r="O109" s="724">
        <f>SUM(I109:N109)</f>
        <v>0</v>
      </c>
      <c r="P109" s="723">
        <f>ROUND(O109,-3)</f>
        <v>0</v>
      </c>
      <c r="Q109" s="420" t="s">
        <v>600</v>
      </c>
    </row>
    <row r="110" spans="2:17" s="420" customFormat="1" ht="15" customHeight="1" thickBot="1" x14ac:dyDescent="0.25">
      <c r="B110" s="910"/>
      <c r="C110" s="1268"/>
      <c r="D110" s="407"/>
      <c r="E110" s="408"/>
      <c r="F110" s="409"/>
      <c r="G110" s="410"/>
      <c r="H110" s="411"/>
      <c r="I110" s="412"/>
      <c r="J110" s="413"/>
      <c r="K110" s="414"/>
      <c r="L110" s="414"/>
      <c r="M110" s="414"/>
      <c r="N110" s="414"/>
      <c r="O110" s="413"/>
      <c r="P110" s="412"/>
    </row>
  </sheetData>
  <mergeCells count="8">
    <mergeCell ref="C66:C80"/>
    <mergeCell ref="C81:C95"/>
    <mergeCell ref="C96:C110"/>
    <mergeCell ref="B2:P3"/>
    <mergeCell ref="C6:C20"/>
    <mergeCell ref="C21:C35"/>
    <mergeCell ref="C36:C50"/>
    <mergeCell ref="C51:C6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B5B5B-C80F-4356-B211-89695E79B901}">
  <sheetPr>
    <tabColor theme="7" tint="0.59999389629810485"/>
  </sheetPr>
  <dimension ref="B2:Q129"/>
  <sheetViews>
    <sheetView topLeftCell="D9" zoomScale="130" zoomScaleNormal="130" workbookViewId="0">
      <selection activeCell="D12" sqref="D12"/>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6" ht="15.6" customHeight="1" x14ac:dyDescent="0.25">
      <c r="B2" s="1243" t="str" cm="1">
        <f t="array" aca="1" ref="B2" ca="1">MID(CELL("filename",A1),FIND("]",CELL("filename",A1))+1,256)</f>
        <v>Smart Demo</v>
      </c>
      <c r="C2" s="1244"/>
      <c r="D2" s="1244"/>
      <c r="E2" s="1244"/>
      <c r="F2" s="1244"/>
      <c r="G2" s="1244"/>
      <c r="H2" s="1244"/>
      <c r="I2" s="1244"/>
      <c r="J2" s="1244"/>
      <c r="K2" s="1244"/>
      <c r="L2" s="1244"/>
      <c r="M2" s="1244"/>
      <c r="N2" s="1244"/>
      <c r="O2" s="1244"/>
      <c r="P2" s="1284"/>
    </row>
    <row r="3" spans="2:16" ht="15" customHeight="1" thickBot="1" x14ac:dyDescent="0.3">
      <c r="B3" s="1246"/>
      <c r="C3" s="1247"/>
      <c r="D3" s="1247"/>
      <c r="E3" s="1247"/>
      <c r="F3" s="1247"/>
      <c r="G3" s="1247"/>
      <c r="H3" s="1247"/>
      <c r="I3" s="1247"/>
      <c r="J3" s="1247"/>
      <c r="K3" s="1247"/>
      <c r="L3" s="1247"/>
      <c r="M3" s="1247"/>
      <c r="N3" s="1247"/>
      <c r="O3" s="1247"/>
      <c r="P3" s="1285"/>
    </row>
    <row r="4" spans="2:16"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6"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6" s="420" customFormat="1" ht="24.95" customHeight="1" x14ac:dyDescent="0.2">
      <c r="B6" s="933" t="str">
        <f>'Detailed Matrix'!E207</f>
        <v>Neigbourly Relations</v>
      </c>
      <c r="C6" s="1228" t="str">
        <f>'Detailed Matrix'!F207</f>
        <v>Notification to neighbours in terms of scope and measures to prevent noise, dust etc.</v>
      </c>
      <c r="D6" s="492" t="s">
        <v>556</v>
      </c>
      <c r="E6" s="493">
        <v>1</v>
      </c>
      <c r="F6" s="494"/>
      <c r="G6" s="495"/>
      <c r="H6" s="496">
        <f t="shared" ref="H6:H12" si="0">E6*G6</f>
        <v>0</v>
      </c>
      <c r="I6" s="497"/>
      <c r="J6" s="498"/>
      <c r="K6" s="499"/>
      <c r="L6" s="499"/>
      <c r="M6" s="499"/>
      <c r="N6" s="499"/>
      <c r="O6" s="498"/>
      <c r="P6" s="497"/>
    </row>
    <row r="7" spans="2:16" s="420" customFormat="1" ht="14.45" customHeight="1" x14ac:dyDescent="0.2">
      <c r="B7" s="934"/>
      <c r="C7" s="1229"/>
      <c r="D7" s="500"/>
      <c r="E7" s="501">
        <v>1</v>
      </c>
      <c r="F7" s="502"/>
      <c r="G7" s="503"/>
      <c r="H7" s="504">
        <f t="shared" si="0"/>
        <v>0</v>
      </c>
      <c r="I7" s="505"/>
      <c r="J7" s="506"/>
      <c r="K7" s="507"/>
      <c r="L7" s="507"/>
      <c r="M7" s="507"/>
      <c r="N7" s="507"/>
      <c r="O7" s="506"/>
      <c r="P7" s="505"/>
    </row>
    <row r="8" spans="2:16" s="420" customFormat="1" ht="14.45" customHeight="1" x14ac:dyDescent="0.2">
      <c r="B8" s="934"/>
      <c r="C8" s="1229"/>
      <c r="D8" s="500" t="s">
        <v>652</v>
      </c>
      <c r="E8" s="501">
        <v>1</v>
      </c>
      <c r="F8" s="502" t="s">
        <v>576</v>
      </c>
      <c r="G8" s="503">
        <v>0</v>
      </c>
      <c r="H8" s="504">
        <f t="shared" si="0"/>
        <v>0</v>
      </c>
      <c r="I8" s="505"/>
      <c r="J8" s="506"/>
      <c r="K8" s="507"/>
      <c r="L8" s="507"/>
      <c r="M8" s="507"/>
      <c r="N8" s="507"/>
      <c r="O8" s="506"/>
      <c r="P8" s="505"/>
    </row>
    <row r="9" spans="2:16" s="420" customFormat="1" ht="14.45" customHeight="1" x14ac:dyDescent="0.2">
      <c r="B9" s="934"/>
      <c r="C9" s="1229"/>
      <c r="D9" s="500"/>
      <c r="E9" s="501">
        <v>1</v>
      </c>
      <c r="F9" s="502"/>
      <c r="G9" s="503"/>
      <c r="H9" s="504">
        <f t="shared" si="0"/>
        <v>0</v>
      </c>
      <c r="I9" s="505"/>
      <c r="J9" s="506"/>
      <c r="K9" s="507"/>
      <c r="L9" s="507"/>
      <c r="M9" s="507"/>
      <c r="N9" s="507"/>
      <c r="O9" s="506"/>
      <c r="P9" s="505"/>
    </row>
    <row r="10" spans="2:16" s="420" customFormat="1" ht="14.45" customHeight="1" x14ac:dyDescent="0.2">
      <c r="B10" s="934"/>
      <c r="C10" s="1229"/>
      <c r="D10" s="500"/>
      <c r="E10" s="501">
        <v>1</v>
      </c>
      <c r="F10" s="502"/>
      <c r="G10" s="503"/>
      <c r="H10" s="504">
        <f t="shared" si="0"/>
        <v>0</v>
      </c>
      <c r="I10" s="505"/>
      <c r="J10" s="506"/>
      <c r="K10" s="507"/>
      <c r="L10" s="507"/>
      <c r="M10" s="507"/>
      <c r="N10" s="507"/>
      <c r="O10" s="506"/>
      <c r="P10" s="505"/>
    </row>
    <row r="11" spans="2:16" s="420" customFormat="1" ht="14.45" customHeight="1" x14ac:dyDescent="0.2">
      <c r="B11" s="934"/>
      <c r="C11" s="1229"/>
      <c r="D11" s="500"/>
      <c r="E11" s="501">
        <v>1</v>
      </c>
      <c r="F11" s="502"/>
      <c r="G11" s="503"/>
      <c r="H11" s="504">
        <f t="shared" si="0"/>
        <v>0</v>
      </c>
      <c r="I11" s="505"/>
      <c r="J11" s="506"/>
      <c r="K11" s="507"/>
      <c r="L11" s="507"/>
      <c r="M11" s="507"/>
      <c r="N11" s="507"/>
      <c r="O11" s="506"/>
      <c r="P11" s="505"/>
    </row>
    <row r="12" spans="2:16" s="420" customFormat="1" ht="14.45" customHeight="1" x14ac:dyDescent="0.2">
      <c r="B12" s="934"/>
      <c r="C12" s="1229"/>
      <c r="D12" s="500" t="s">
        <v>653</v>
      </c>
      <c r="E12" s="501"/>
      <c r="F12" s="502"/>
      <c r="G12" s="503"/>
      <c r="H12" s="504">
        <f t="shared" si="0"/>
        <v>0</v>
      </c>
      <c r="I12" s="505">
        <f>SUM(H6:H12)</f>
        <v>0</v>
      </c>
      <c r="J12" s="506">
        <f>I12*$J$5</f>
        <v>0</v>
      </c>
      <c r="K12" s="507">
        <f>SUM(I12:J12)*$K$5</f>
        <v>0</v>
      </c>
      <c r="L12" s="507">
        <f>SUM(I12:K12)*$L$5</f>
        <v>0</v>
      </c>
      <c r="M12" s="507">
        <f>SUM(I12:L12)*$M$5</f>
        <v>0</v>
      </c>
      <c r="N12" s="507">
        <f>SUM(I12:M12)*$N$5</f>
        <v>0</v>
      </c>
      <c r="O12" s="506">
        <f>SUM(I12:N12)</f>
        <v>0</v>
      </c>
      <c r="P12" s="505">
        <f>ROUND(O12,-3)</f>
        <v>0</v>
      </c>
    </row>
    <row r="13" spans="2:16" s="420" customFormat="1" ht="14.45" customHeight="1" x14ac:dyDescent="0.2">
      <c r="B13" s="934"/>
      <c r="C13" s="1229"/>
      <c r="D13" s="500"/>
      <c r="E13" s="501"/>
      <c r="F13" s="502"/>
      <c r="G13" s="503"/>
      <c r="H13" s="504"/>
      <c r="I13" s="505"/>
      <c r="J13" s="506"/>
      <c r="K13" s="507"/>
      <c r="L13" s="507"/>
      <c r="M13" s="507"/>
      <c r="N13" s="507"/>
      <c r="O13" s="506"/>
      <c r="P13" s="505"/>
    </row>
    <row r="14" spans="2:16" s="420" customFormat="1" ht="14.45" customHeight="1" x14ac:dyDescent="0.2">
      <c r="B14" s="934"/>
      <c r="C14" s="1229"/>
      <c r="D14" s="500" t="s">
        <v>557</v>
      </c>
      <c r="E14" s="501">
        <v>1</v>
      </c>
      <c r="F14" s="502"/>
      <c r="G14" s="503"/>
      <c r="H14" s="504">
        <f>E14*G14</f>
        <v>0</v>
      </c>
      <c r="I14" s="505"/>
      <c r="J14" s="506"/>
      <c r="K14" s="507"/>
      <c r="L14" s="507"/>
      <c r="M14" s="507"/>
      <c r="N14" s="507"/>
      <c r="O14" s="506"/>
      <c r="P14" s="505"/>
    </row>
    <row r="15" spans="2:16" s="420" customFormat="1" ht="14.45" customHeight="1" x14ac:dyDescent="0.2">
      <c r="B15" s="934"/>
      <c r="C15" s="1229"/>
      <c r="D15" s="500"/>
      <c r="E15" s="501">
        <v>1</v>
      </c>
      <c r="F15" s="502"/>
      <c r="G15" s="503"/>
      <c r="H15" s="504">
        <f>E15*G15</f>
        <v>0</v>
      </c>
      <c r="I15" s="505"/>
      <c r="J15" s="506"/>
      <c r="K15" s="507"/>
      <c r="L15" s="507"/>
      <c r="M15" s="507"/>
      <c r="N15" s="507"/>
      <c r="O15" s="506"/>
      <c r="P15" s="505"/>
    </row>
    <row r="16" spans="2:16" s="420" customFormat="1" ht="14.45" customHeight="1" x14ac:dyDescent="0.2">
      <c r="B16" s="934"/>
      <c r="C16" s="1229"/>
      <c r="D16" s="500" t="s">
        <v>654</v>
      </c>
      <c r="E16" s="501">
        <v>1</v>
      </c>
      <c r="F16" s="502" t="s">
        <v>576</v>
      </c>
      <c r="G16" s="503">
        <v>5000</v>
      </c>
      <c r="H16" s="504">
        <f>E16*G16</f>
        <v>5000</v>
      </c>
      <c r="I16" s="505"/>
      <c r="J16" s="506"/>
      <c r="K16" s="507"/>
      <c r="L16" s="507"/>
      <c r="M16" s="507"/>
      <c r="N16" s="507"/>
      <c r="O16" s="506"/>
      <c r="P16" s="505"/>
    </row>
    <row r="17" spans="2:16" s="420" customFormat="1" ht="14.45" customHeight="1" x14ac:dyDescent="0.2">
      <c r="B17" s="934"/>
      <c r="C17" s="1229"/>
      <c r="D17" s="500"/>
      <c r="E17" s="501">
        <v>1</v>
      </c>
      <c r="F17" s="502"/>
      <c r="G17" s="503"/>
      <c r="H17" s="504">
        <f>E17*G17</f>
        <v>0</v>
      </c>
      <c r="I17" s="505"/>
      <c r="J17" s="506"/>
      <c r="K17" s="507"/>
      <c r="L17" s="507"/>
      <c r="M17" s="507"/>
      <c r="N17" s="507"/>
      <c r="O17" s="506"/>
      <c r="P17" s="505"/>
    </row>
    <row r="18" spans="2:16" s="420" customFormat="1" ht="14.45" customHeight="1" x14ac:dyDescent="0.2">
      <c r="B18" s="934"/>
      <c r="C18" s="1229"/>
      <c r="D18" s="500"/>
      <c r="E18" s="501">
        <v>1</v>
      </c>
      <c r="F18" s="502"/>
      <c r="G18" s="503"/>
      <c r="H18" s="504">
        <f>E18*G18</f>
        <v>0</v>
      </c>
      <c r="I18" s="505"/>
      <c r="J18" s="506"/>
      <c r="K18" s="507"/>
      <c r="L18" s="507"/>
      <c r="M18" s="507"/>
      <c r="N18" s="507"/>
      <c r="O18" s="506"/>
      <c r="P18" s="505"/>
    </row>
    <row r="19" spans="2:16" s="420" customFormat="1" ht="14.45" customHeight="1" x14ac:dyDescent="0.2">
      <c r="B19" s="934"/>
      <c r="C19" s="1229"/>
      <c r="D19" s="500" t="s">
        <v>653</v>
      </c>
      <c r="E19" s="501">
        <v>1</v>
      </c>
      <c r="F19" s="502"/>
      <c r="G19" s="503"/>
      <c r="H19" s="504">
        <f t="shared" ref="H19" si="1">E19*G19</f>
        <v>0</v>
      </c>
      <c r="I19" s="505">
        <f>SUM(H13:H19)</f>
        <v>5000</v>
      </c>
      <c r="J19" s="506">
        <f>I19*$J$5</f>
        <v>650</v>
      </c>
      <c r="K19" s="507">
        <f>SUM(I19:J19)*$K$5</f>
        <v>254.25</v>
      </c>
      <c r="L19" s="507">
        <f>SUM(I19:K19)*$L$5</f>
        <v>324.73374999999999</v>
      </c>
      <c r="M19" s="507">
        <f>SUM(I19:L19)*$M$5</f>
        <v>373.73902500000003</v>
      </c>
      <c r="N19" s="507">
        <f>SUM(I19:M19)*$N$5</f>
        <v>660.27227750000009</v>
      </c>
      <c r="O19" s="506">
        <f>SUM(I19:N19)</f>
        <v>7262.9950525000004</v>
      </c>
      <c r="P19" s="505">
        <f>ROUND(O19,-3)</f>
        <v>7000</v>
      </c>
    </row>
    <row r="20" spans="2:16" s="420" customFormat="1" ht="15" customHeight="1" thickBot="1" x14ac:dyDescent="0.25">
      <c r="B20" s="935"/>
      <c r="C20" s="1230"/>
      <c r="D20" s="516"/>
      <c r="E20" s="517"/>
      <c r="F20" s="518"/>
      <c r="G20" s="519"/>
      <c r="H20" s="520"/>
      <c r="I20" s="521"/>
      <c r="J20" s="522"/>
      <c r="K20" s="523"/>
      <c r="L20" s="523"/>
      <c r="M20" s="523"/>
      <c r="N20" s="523"/>
      <c r="O20" s="522"/>
      <c r="P20" s="521"/>
    </row>
    <row r="21" spans="2:16" s="426" customFormat="1" ht="11.25" x14ac:dyDescent="0.2">
      <c r="B21" s="962" t="str">
        <f>'Detailed Matrix'!E208</f>
        <v>Environmental appriasal</v>
      </c>
      <c r="C21" s="1228" t="str">
        <f>'Detailed Matrix'!F208</f>
        <v>Undertaking environmental appraisal</v>
      </c>
      <c r="D21" s="492" t="s">
        <v>556</v>
      </c>
      <c r="E21" s="493">
        <v>1</v>
      </c>
      <c r="F21" s="494"/>
      <c r="G21" s="495">
        <v>2500</v>
      </c>
      <c r="H21" s="496">
        <f t="shared" ref="H21:H27" si="2">E21*G21</f>
        <v>2500</v>
      </c>
      <c r="I21" s="497"/>
      <c r="J21" s="498"/>
      <c r="K21" s="499"/>
      <c r="L21" s="499"/>
      <c r="M21" s="499"/>
      <c r="N21" s="499"/>
      <c r="O21" s="498"/>
      <c r="P21" s="497"/>
    </row>
    <row r="22" spans="2:16" s="426" customFormat="1" ht="14.45" customHeight="1" x14ac:dyDescent="0.2">
      <c r="B22" s="963"/>
      <c r="C22" s="1229"/>
      <c r="D22" s="500"/>
      <c r="E22" s="501">
        <v>1</v>
      </c>
      <c r="F22" s="502"/>
      <c r="G22" s="503"/>
      <c r="H22" s="504">
        <f t="shared" si="2"/>
        <v>0</v>
      </c>
      <c r="I22" s="505"/>
      <c r="J22" s="506"/>
      <c r="K22" s="507"/>
      <c r="L22" s="507"/>
      <c r="M22" s="507"/>
      <c r="N22" s="507"/>
      <c r="O22" s="506"/>
      <c r="P22" s="505"/>
    </row>
    <row r="23" spans="2:16" s="426" customFormat="1" ht="14.45" customHeight="1" x14ac:dyDescent="0.2">
      <c r="B23" s="963"/>
      <c r="C23" s="1229"/>
      <c r="D23" s="500"/>
      <c r="E23" s="501">
        <v>1</v>
      </c>
      <c r="F23" s="502"/>
      <c r="G23" s="503"/>
      <c r="H23" s="504">
        <f t="shared" si="2"/>
        <v>0</v>
      </c>
      <c r="I23" s="505"/>
      <c r="J23" s="506"/>
      <c r="K23" s="507"/>
      <c r="L23" s="507"/>
      <c r="M23" s="507"/>
      <c r="N23" s="507"/>
      <c r="O23" s="506"/>
      <c r="P23" s="505"/>
    </row>
    <row r="24" spans="2:16" s="426" customFormat="1" ht="14.45" customHeight="1" x14ac:dyDescent="0.2">
      <c r="B24" s="963"/>
      <c r="C24" s="1229"/>
      <c r="D24" s="500"/>
      <c r="E24" s="501">
        <v>1</v>
      </c>
      <c r="F24" s="502"/>
      <c r="G24" s="503"/>
      <c r="H24" s="504">
        <f t="shared" si="2"/>
        <v>0</v>
      </c>
      <c r="I24" s="505"/>
      <c r="J24" s="506"/>
      <c r="K24" s="507"/>
      <c r="L24" s="507"/>
      <c r="M24" s="507"/>
      <c r="N24" s="507"/>
      <c r="O24" s="506"/>
      <c r="P24" s="505"/>
    </row>
    <row r="25" spans="2:16" s="426" customFormat="1" ht="14.45" customHeight="1" x14ac:dyDescent="0.2">
      <c r="B25" s="963"/>
      <c r="C25" s="1229"/>
      <c r="D25" s="500"/>
      <c r="E25" s="501">
        <v>1</v>
      </c>
      <c r="F25" s="502"/>
      <c r="G25" s="503"/>
      <c r="H25" s="504">
        <f t="shared" si="2"/>
        <v>0</v>
      </c>
      <c r="I25" s="505"/>
      <c r="J25" s="506"/>
      <c r="K25" s="507"/>
      <c r="L25" s="507"/>
      <c r="M25" s="507"/>
      <c r="N25" s="507"/>
      <c r="O25" s="506"/>
      <c r="P25" s="505"/>
    </row>
    <row r="26" spans="2:16" s="426" customFormat="1" ht="14.45" customHeight="1" x14ac:dyDescent="0.2">
      <c r="B26" s="963"/>
      <c r="C26" s="1229"/>
      <c r="D26" s="500"/>
      <c r="E26" s="501">
        <v>1</v>
      </c>
      <c r="F26" s="502"/>
      <c r="G26" s="503"/>
      <c r="H26" s="504">
        <f t="shared" si="2"/>
        <v>0</v>
      </c>
      <c r="I26" s="505"/>
      <c r="J26" s="506"/>
      <c r="K26" s="507"/>
      <c r="L26" s="507"/>
      <c r="M26" s="507"/>
      <c r="N26" s="507"/>
      <c r="O26" s="506"/>
      <c r="P26" s="505"/>
    </row>
    <row r="27" spans="2:16" s="426" customFormat="1" ht="14.45" customHeight="1" x14ac:dyDescent="0.2">
      <c r="B27" s="963"/>
      <c r="C27" s="1229"/>
      <c r="D27" s="500" t="s">
        <v>653</v>
      </c>
      <c r="E27" s="501"/>
      <c r="F27" s="502"/>
      <c r="G27" s="503"/>
      <c r="H27" s="504">
        <f t="shared" si="2"/>
        <v>0</v>
      </c>
      <c r="I27" s="505">
        <f>SUM(H21:H27)</f>
        <v>2500</v>
      </c>
      <c r="J27" s="506">
        <f>I27*$J$5</f>
        <v>325</v>
      </c>
      <c r="K27" s="507">
        <f>SUM(I27:J27)*$K$5</f>
        <v>127.125</v>
      </c>
      <c r="L27" s="507">
        <f>SUM(I27:K27)*$L$5</f>
        <v>162.36687499999999</v>
      </c>
      <c r="M27" s="507">
        <f>SUM(I27:L27)*$M$5</f>
        <v>186.86951250000001</v>
      </c>
      <c r="N27" s="507">
        <f>SUM(I27:M27)*$N$5</f>
        <v>330.13613875000004</v>
      </c>
      <c r="O27" s="506">
        <f>SUM(I27:N27)</f>
        <v>3631.4975262500002</v>
      </c>
      <c r="P27" s="505">
        <f>ROUND(O27,-3)</f>
        <v>4000</v>
      </c>
    </row>
    <row r="28" spans="2:16" s="426" customFormat="1" ht="14.45" customHeight="1" x14ac:dyDescent="0.2">
      <c r="B28" s="963"/>
      <c r="C28" s="1229"/>
      <c r="D28" s="500"/>
      <c r="E28" s="501"/>
      <c r="F28" s="502"/>
      <c r="G28" s="503"/>
      <c r="H28" s="504"/>
      <c r="I28" s="505"/>
      <c r="J28" s="506"/>
      <c r="K28" s="507"/>
      <c r="L28" s="507"/>
      <c r="M28" s="507"/>
      <c r="N28" s="507"/>
      <c r="O28" s="506"/>
      <c r="P28" s="505"/>
    </row>
    <row r="29" spans="2:16" s="426" customFormat="1" ht="14.45" customHeight="1" x14ac:dyDescent="0.2">
      <c r="B29" s="963"/>
      <c r="C29" s="1229"/>
      <c r="D29" s="500" t="s">
        <v>557</v>
      </c>
      <c r="E29" s="501">
        <v>1</v>
      </c>
      <c r="F29" s="502"/>
      <c r="G29" s="503">
        <v>10000</v>
      </c>
      <c r="H29" s="504">
        <f>E29*G29</f>
        <v>10000</v>
      </c>
      <c r="I29" s="505"/>
      <c r="J29" s="506"/>
      <c r="K29" s="507"/>
      <c r="L29" s="507"/>
      <c r="M29" s="507"/>
      <c r="N29" s="507"/>
      <c r="O29" s="506"/>
      <c r="P29" s="505"/>
    </row>
    <row r="30" spans="2:16" s="426" customFormat="1" ht="14.45" customHeight="1" x14ac:dyDescent="0.2">
      <c r="B30" s="963"/>
      <c r="C30" s="1229"/>
      <c r="D30" s="500"/>
      <c r="E30" s="501">
        <v>1</v>
      </c>
      <c r="F30" s="502"/>
      <c r="G30" s="503"/>
      <c r="H30" s="504">
        <f>E30*G30</f>
        <v>0</v>
      </c>
      <c r="I30" s="505"/>
      <c r="J30" s="506"/>
      <c r="K30" s="507"/>
      <c r="L30" s="507"/>
      <c r="M30" s="507"/>
      <c r="N30" s="507"/>
      <c r="O30" s="506"/>
      <c r="P30" s="505"/>
    </row>
    <row r="31" spans="2:16" s="426" customFormat="1" ht="14.45" customHeight="1" x14ac:dyDescent="0.2">
      <c r="B31" s="963"/>
      <c r="C31" s="1229"/>
      <c r="D31" s="500"/>
      <c r="E31" s="501">
        <v>1</v>
      </c>
      <c r="F31" s="502"/>
      <c r="G31" s="503"/>
      <c r="H31" s="504">
        <f>E31*G31</f>
        <v>0</v>
      </c>
      <c r="I31" s="505"/>
      <c r="J31" s="506"/>
      <c r="K31" s="507"/>
      <c r="L31" s="507"/>
      <c r="M31" s="507"/>
      <c r="N31" s="507"/>
      <c r="O31" s="506"/>
      <c r="P31" s="505"/>
    </row>
    <row r="32" spans="2:16" s="426" customFormat="1" ht="14.45" customHeight="1" x14ac:dyDescent="0.2">
      <c r="B32" s="963"/>
      <c r="C32" s="1229"/>
      <c r="D32" s="500"/>
      <c r="E32" s="501">
        <v>1</v>
      </c>
      <c r="F32" s="502"/>
      <c r="G32" s="503"/>
      <c r="H32" s="504">
        <f>E32*G32</f>
        <v>0</v>
      </c>
      <c r="I32" s="505"/>
      <c r="J32" s="506"/>
      <c r="K32" s="507"/>
      <c r="L32" s="507"/>
      <c r="M32" s="507"/>
      <c r="N32" s="507"/>
      <c r="O32" s="506"/>
      <c r="P32" s="505"/>
    </row>
    <row r="33" spans="2:17" s="426" customFormat="1" ht="14.45" customHeight="1" x14ac:dyDescent="0.2">
      <c r="B33" s="963"/>
      <c r="C33" s="1229"/>
      <c r="D33" s="500"/>
      <c r="E33" s="501">
        <v>1</v>
      </c>
      <c r="F33" s="502"/>
      <c r="G33" s="503"/>
      <c r="H33" s="504">
        <f>E33*G33</f>
        <v>0</v>
      </c>
      <c r="I33" s="505"/>
      <c r="J33" s="506"/>
      <c r="K33" s="507"/>
      <c r="L33" s="507"/>
      <c r="M33" s="507"/>
      <c r="N33" s="507"/>
      <c r="O33" s="506"/>
      <c r="P33" s="505"/>
    </row>
    <row r="34" spans="2:17" s="426" customFormat="1" ht="14.45" customHeight="1" x14ac:dyDescent="0.2">
      <c r="B34" s="963"/>
      <c r="C34" s="1229"/>
      <c r="D34" s="500" t="s">
        <v>653</v>
      </c>
      <c r="E34" s="501">
        <v>1</v>
      </c>
      <c r="F34" s="502"/>
      <c r="G34" s="503"/>
      <c r="H34" s="504">
        <f t="shared" ref="H34" si="3">E34*G34</f>
        <v>0</v>
      </c>
      <c r="I34" s="505">
        <f>SUM(H28:H34)</f>
        <v>10000</v>
      </c>
      <c r="J34" s="506">
        <f>I34*$J$5</f>
        <v>1300</v>
      </c>
      <c r="K34" s="507">
        <f>SUM(I34:J34)*$K$5</f>
        <v>508.5</v>
      </c>
      <c r="L34" s="507">
        <f>SUM(I34:K34)*$L$5</f>
        <v>649.46749999999997</v>
      </c>
      <c r="M34" s="507">
        <f>SUM(I34:L34)*$M$5</f>
        <v>747.47805000000005</v>
      </c>
      <c r="N34" s="507">
        <f>SUM(I34:M34)*$N$5</f>
        <v>1320.5445550000002</v>
      </c>
      <c r="O34" s="506">
        <f>SUM(I34:N34)</f>
        <v>14525.990105000001</v>
      </c>
      <c r="P34" s="505">
        <f>ROUND(O34,-3)</f>
        <v>15000</v>
      </c>
    </row>
    <row r="35" spans="2:17" s="426" customFormat="1" ht="15" customHeight="1" thickBot="1" x14ac:dyDescent="0.25">
      <c r="B35" s="964"/>
      <c r="C35" s="1230"/>
      <c r="D35" s="516"/>
      <c r="E35" s="517"/>
      <c r="F35" s="518"/>
      <c r="G35" s="519"/>
      <c r="H35" s="520"/>
      <c r="I35" s="521"/>
      <c r="J35" s="522"/>
      <c r="K35" s="523"/>
      <c r="L35" s="523"/>
      <c r="M35" s="523"/>
      <c r="N35" s="523"/>
      <c r="O35" s="522"/>
      <c r="P35" s="521"/>
    </row>
    <row r="36" spans="2:17" s="420" customFormat="1" ht="33" customHeight="1" x14ac:dyDescent="0.2">
      <c r="B36" s="962" t="str">
        <f>'Detailed Matrix'!E209</f>
        <v>Reuse Study</v>
      </c>
      <c r="C36" s="1228" t="str">
        <f>'Detailed Matrix'!F209</f>
        <v>Stage 01 - Preliminary feasibility study on the potentials of reuse in the existing building is conducted. (screening)</v>
      </c>
      <c r="D36" s="492" t="s">
        <v>556</v>
      </c>
      <c r="E36" s="493">
        <v>1</v>
      </c>
      <c r="F36" s="494"/>
      <c r="G36" s="495">
        <v>2500</v>
      </c>
      <c r="H36" s="509">
        <f t="shared" ref="H36:H43" si="4">E36*G36</f>
        <v>2500</v>
      </c>
      <c r="I36" s="497"/>
      <c r="J36" s="498"/>
      <c r="K36" s="499"/>
      <c r="L36" s="499"/>
      <c r="M36" s="499"/>
      <c r="N36" s="499"/>
      <c r="O36" s="498"/>
      <c r="P36" s="497"/>
    </row>
    <row r="37" spans="2:17" s="420" customFormat="1" ht="14.45" customHeight="1" x14ac:dyDescent="0.2">
      <c r="B37" s="963"/>
      <c r="C37" s="1229"/>
      <c r="D37" s="500"/>
      <c r="E37" s="501">
        <v>1</v>
      </c>
      <c r="F37" s="502"/>
      <c r="G37" s="503"/>
      <c r="H37" s="509">
        <f t="shared" si="4"/>
        <v>0</v>
      </c>
      <c r="I37" s="505"/>
      <c r="J37" s="506"/>
      <c r="K37" s="507"/>
      <c r="L37" s="507"/>
      <c r="M37" s="507"/>
      <c r="N37" s="507"/>
      <c r="O37" s="506"/>
      <c r="P37" s="505"/>
    </row>
    <row r="38" spans="2:17" s="420" customFormat="1" ht="14.45" customHeight="1" x14ac:dyDescent="0.2">
      <c r="B38" s="963"/>
      <c r="C38" s="1229"/>
      <c r="D38" s="500"/>
      <c r="E38" s="501">
        <v>1</v>
      </c>
      <c r="F38" s="502"/>
      <c r="G38" s="503"/>
      <c r="H38" s="509">
        <f t="shared" si="4"/>
        <v>0</v>
      </c>
      <c r="I38" s="505"/>
      <c r="J38" s="506"/>
      <c r="K38" s="507"/>
      <c r="L38" s="507"/>
      <c r="M38" s="507"/>
      <c r="N38" s="507"/>
      <c r="O38" s="506"/>
      <c r="P38" s="505"/>
    </row>
    <row r="39" spans="2:17" s="420" customFormat="1" ht="14.45" customHeight="1" x14ac:dyDescent="0.2">
      <c r="B39" s="963"/>
      <c r="C39" s="1229"/>
      <c r="D39" s="500"/>
      <c r="E39" s="501">
        <v>1</v>
      </c>
      <c r="F39" s="502"/>
      <c r="G39" s="503"/>
      <c r="H39" s="509">
        <f t="shared" si="4"/>
        <v>0</v>
      </c>
      <c r="I39" s="505"/>
      <c r="J39" s="506"/>
      <c r="K39" s="507"/>
      <c r="L39" s="507"/>
      <c r="M39" s="507"/>
      <c r="N39" s="507"/>
      <c r="O39" s="506"/>
      <c r="P39" s="505"/>
    </row>
    <row r="40" spans="2:17" s="420" customFormat="1" ht="14.45" customHeight="1" x14ac:dyDescent="0.2">
      <c r="B40" s="963"/>
      <c r="C40" s="1229"/>
      <c r="D40" s="500"/>
      <c r="E40" s="501">
        <v>1</v>
      </c>
      <c r="F40" s="502"/>
      <c r="G40" s="503"/>
      <c r="H40" s="509">
        <f t="shared" si="4"/>
        <v>0</v>
      </c>
      <c r="I40" s="505"/>
      <c r="J40" s="506"/>
      <c r="K40" s="507"/>
      <c r="L40" s="507"/>
      <c r="M40" s="507"/>
      <c r="N40" s="507"/>
      <c r="O40" s="506"/>
      <c r="P40" s="505"/>
    </row>
    <row r="41" spans="2:17" s="420" customFormat="1" ht="14.45" customHeight="1" x14ac:dyDescent="0.2">
      <c r="B41" s="963"/>
      <c r="C41" s="1229"/>
      <c r="D41" s="500"/>
      <c r="E41" s="501">
        <v>1</v>
      </c>
      <c r="F41" s="502"/>
      <c r="G41" s="503"/>
      <c r="H41" s="509">
        <f t="shared" si="4"/>
        <v>0</v>
      </c>
      <c r="I41" s="505"/>
      <c r="J41" s="506"/>
      <c r="K41" s="507"/>
      <c r="L41" s="507"/>
      <c r="M41" s="507"/>
      <c r="N41" s="507"/>
      <c r="O41" s="506"/>
      <c r="P41" s="505"/>
    </row>
    <row r="42" spans="2:17" s="420" customFormat="1" ht="14.45" customHeight="1" x14ac:dyDescent="0.2">
      <c r="B42" s="963"/>
      <c r="C42" s="1229"/>
      <c r="D42" s="500"/>
      <c r="E42" s="501">
        <v>1</v>
      </c>
      <c r="F42" s="502"/>
      <c r="G42" s="503"/>
      <c r="H42" s="509">
        <f t="shared" si="4"/>
        <v>0</v>
      </c>
      <c r="I42" s="505"/>
      <c r="J42" s="506"/>
      <c r="K42" s="507"/>
      <c r="L42" s="507"/>
      <c r="M42" s="507"/>
      <c r="N42" s="507"/>
      <c r="O42" s="506"/>
      <c r="P42" s="505"/>
    </row>
    <row r="43" spans="2:17" s="420" customFormat="1" ht="14.45" customHeight="1" x14ac:dyDescent="0.2">
      <c r="B43" s="963"/>
      <c r="C43" s="1229"/>
      <c r="D43" s="500"/>
      <c r="E43" s="501">
        <v>1</v>
      </c>
      <c r="F43" s="502"/>
      <c r="G43" s="503"/>
      <c r="H43" s="509">
        <f t="shared" si="4"/>
        <v>0</v>
      </c>
      <c r="I43" s="505"/>
      <c r="J43" s="506"/>
      <c r="K43" s="507"/>
      <c r="L43" s="507"/>
      <c r="M43" s="507"/>
      <c r="N43" s="507"/>
      <c r="O43" s="506"/>
      <c r="P43" s="505"/>
    </row>
    <row r="44" spans="2:17" s="420" customFormat="1" ht="14.45" customHeight="1" x14ac:dyDescent="0.2">
      <c r="B44" s="963"/>
      <c r="C44" s="1229"/>
      <c r="D44" s="508" t="s">
        <v>655</v>
      </c>
      <c r="E44" s="501">
        <v>1</v>
      </c>
      <c r="F44" s="502" t="s">
        <v>576</v>
      </c>
      <c r="G44" s="503">
        <v>2500</v>
      </c>
      <c r="H44" s="509">
        <f t="shared" ref="H44" si="5">E44*G44</f>
        <v>2500</v>
      </c>
      <c r="I44" s="863">
        <f>SUM(H36:H44)</f>
        <v>5000</v>
      </c>
      <c r="J44" s="513">
        <f>I44*$J$5</f>
        <v>650</v>
      </c>
      <c r="K44" s="514">
        <f>SUM(I44:J44)*$K$5</f>
        <v>254.25</v>
      </c>
      <c r="L44" s="514">
        <f>SUM(I44:K44)*$L$5</f>
        <v>324.73374999999999</v>
      </c>
      <c r="M44" s="514">
        <f>SUM(I44:L44)*$M$5</f>
        <v>373.73902500000003</v>
      </c>
      <c r="N44" s="514">
        <f>SUM(I44:M44)*$N$5</f>
        <v>660.27227750000009</v>
      </c>
      <c r="O44" s="515">
        <f>SUM(I44:N44)</f>
        <v>7262.9950525000004</v>
      </c>
      <c r="P44" s="512">
        <f>ROUND(O44,-3)</f>
        <v>7000</v>
      </c>
      <c r="Q44" s="420" t="s">
        <v>514</v>
      </c>
    </row>
    <row r="45" spans="2:17" s="420" customFormat="1" ht="14.45" customHeight="1" x14ac:dyDescent="0.2">
      <c r="B45" s="963"/>
      <c r="C45" s="1229"/>
      <c r="D45" s="508"/>
      <c r="E45" s="790"/>
      <c r="F45" s="791"/>
      <c r="G45" s="584"/>
      <c r="H45" s="575"/>
      <c r="I45" s="576"/>
      <c r="J45" s="577"/>
      <c r="K45" s="578"/>
      <c r="L45" s="578"/>
      <c r="M45" s="578"/>
      <c r="N45" s="578"/>
      <c r="O45" s="579"/>
      <c r="P45" s="576"/>
    </row>
    <row r="46" spans="2:17" s="420" customFormat="1" ht="14.45" customHeight="1" x14ac:dyDescent="0.2">
      <c r="B46" s="963"/>
      <c r="C46" s="1229"/>
      <c r="D46" s="500" t="s">
        <v>557</v>
      </c>
      <c r="E46" s="501">
        <v>1</v>
      </c>
      <c r="F46" s="502"/>
      <c r="G46" s="503">
        <v>10000</v>
      </c>
      <c r="H46" s="504">
        <f>E46*G46</f>
        <v>10000</v>
      </c>
      <c r="I46" s="505"/>
      <c r="J46" s="506"/>
      <c r="K46" s="507"/>
      <c r="L46" s="507"/>
      <c r="M46" s="507"/>
      <c r="N46" s="507"/>
      <c r="O46" s="506"/>
      <c r="P46" s="505"/>
    </row>
    <row r="47" spans="2:17" s="420" customFormat="1" ht="14.45" customHeight="1" x14ac:dyDescent="0.2">
      <c r="B47" s="963"/>
      <c r="C47" s="1229"/>
      <c r="D47" s="500"/>
      <c r="E47" s="501">
        <v>1</v>
      </c>
      <c r="F47" s="502"/>
      <c r="G47" s="503"/>
      <c r="H47" s="504">
        <f>E47*G47</f>
        <v>0</v>
      </c>
      <c r="I47" s="505"/>
      <c r="J47" s="506"/>
      <c r="K47" s="507"/>
      <c r="L47" s="507"/>
      <c r="M47" s="507"/>
      <c r="N47" s="507"/>
      <c r="O47" s="506"/>
      <c r="P47" s="505"/>
    </row>
    <row r="48" spans="2:17" s="420" customFormat="1" ht="14.45" customHeight="1" x14ac:dyDescent="0.2">
      <c r="B48" s="963"/>
      <c r="C48" s="1229"/>
      <c r="D48" s="500"/>
      <c r="E48" s="501">
        <v>1</v>
      </c>
      <c r="F48" s="502"/>
      <c r="G48" s="503"/>
      <c r="H48" s="504">
        <f>E48*G48</f>
        <v>0</v>
      </c>
      <c r="I48" s="505"/>
      <c r="J48" s="506"/>
      <c r="K48" s="507"/>
      <c r="L48" s="507"/>
      <c r="M48" s="507"/>
      <c r="N48" s="507"/>
      <c r="O48" s="506"/>
      <c r="P48" s="505"/>
    </row>
    <row r="49" spans="2:17" s="420" customFormat="1" ht="14.45" customHeight="1" x14ac:dyDescent="0.2">
      <c r="B49" s="963"/>
      <c r="C49" s="1229"/>
      <c r="D49" s="500"/>
      <c r="E49" s="501">
        <v>1</v>
      </c>
      <c r="F49" s="502"/>
      <c r="G49" s="503"/>
      <c r="H49" s="504">
        <f>E49*G49</f>
        <v>0</v>
      </c>
      <c r="I49" s="505"/>
      <c r="J49" s="506"/>
      <c r="K49" s="507"/>
      <c r="L49" s="507"/>
      <c r="M49" s="507"/>
      <c r="N49" s="507"/>
      <c r="O49" s="506"/>
      <c r="P49" s="505"/>
    </row>
    <row r="50" spans="2:17" s="420" customFormat="1" ht="14.45" customHeight="1" x14ac:dyDescent="0.2">
      <c r="B50" s="963"/>
      <c r="C50" s="1229"/>
      <c r="D50" s="500"/>
      <c r="E50" s="501">
        <v>1</v>
      </c>
      <c r="F50" s="502"/>
      <c r="G50" s="503"/>
      <c r="H50" s="504">
        <f>E50*G50</f>
        <v>0</v>
      </c>
      <c r="I50" s="505"/>
      <c r="J50" s="506"/>
      <c r="K50" s="507"/>
      <c r="L50" s="507"/>
      <c r="M50" s="507"/>
      <c r="N50" s="507"/>
      <c r="O50" s="506"/>
      <c r="P50" s="505"/>
    </row>
    <row r="51" spans="2:17" s="420" customFormat="1" ht="14.45" customHeight="1" x14ac:dyDescent="0.2">
      <c r="B51" s="963"/>
      <c r="C51" s="1229"/>
      <c r="D51" s="508" t="s">
        <v>655</v>
      </c>
      <c r="E51" s="501">
        <v>1</v>
      </c>
      <c r="F51" s="502"/>
      <c r="G51" s="503"/>
      <c r="H51" s="504">
        <f t="shared" ref="H51" si="6">E51*G51</f>
        <v>0</v>
      </c>
      <c r="I51" s="905">
        <f>SUM(H45:H51)</f>
        <v>10000</v>
      </c>
      <c r="J51" s="506">
        <f>I51*$J$5</f>
        <v>1300</v>
      </c>
      <c r="K51" s="507">
        <f>SUM(I51:J51)*$K$5</f>
        <v>508.5</v>
      </c>
      <c r="L51" s="507">
        <f>SUM(I51:K51)*$L$5</f>
        <v>649.46749999999997</v>
      </c>
      <c r="M51" s="507">
        <f>SUM(I51:L51)*$M$5</f>
        <v>747.47805000000005</v>
      </c>
      <c r="N51" s="507">
        <f>SUM(I51:M51)*$N$5</f>
        <v>1320.5445550000002</v>
      </c>
      <c r="O51" s="506">
        <f>SUM(I51:N51)</f>
        <v>14525.990105000001</v>
      </c>
      <c r="P51" s="505">
        <f>ROUND(O51,-3)</f>
        <v>15000</v>
      </c>
    </row>
    <row r="52" spans="2:17" s="420" customFormat="1" ht="15" customHeight="1" thickBot="1" x14ac:dyDescent="0.25">
      <c r="B52" s="964"/>
      <c r="C52" s="1230"/>
      <c r="D52" s="516"/>
      <c r="E52" s="517"/>
      <c r="F52" s="518"/>
      <c r="G52" s="519"/>
      <c r="H52" s="520"/>
      <c r="I52" s="521"/>
      <c r="J52" s="522"/>
      <c r="K52" s="523"/>
      <c r="L52" s="523"/>
      <c r="M52" s="523"/>
      <c r="N52" s="523"/>
      <c r="O52" s="522"/>
      <c r="P52" s="521"/>
    </row>
    <row r="53" spans="2:17" s="426" customFormat="1" ht="22.5" customHeight="1" x14ac:dyDescent="0.2">
      <c r="B53" s="962" t="str">
        <f>'Detailed Matrix'!E210</f>
        <v>Reuse Study</v>
      </c>
      <c r="C53" s="1228" t="str">
        <f>'Detailed Matrix'!F210</f>
        <v>Stage 02 - Preliminary pre-demolition audit on the potentials of reuse in the existing building is conducted</v>
      </c>
      <c r="D53" s="492" t="s">
        <v>556</v>
      </c>
      <c r="E53" s="493">
        <v>1</v>
      </c>
      <c r="F53" s="494"/>
      <c r="G53" s="495">
        <v>2500</v>
      </c>
      <c r="H53" s="509">
        <f t="shared" ref="H53:H60" si="7">E53*G53</f>
        <v>2500</v>
      </c>
      <c r="I53" s="497"/>
      <c r="J53" s="498"/>
      <c r="K53" s="499"/>
      <c r="L53" s="499"/>
      <c r="M53" s="499"/>
      <c r="N53" s="499"/>
      <c r="O53" s="498"/>
      <c r="P53" s="497"/>
    </row>
    <row r="54" spans="2:17" s="426" customFormat="1" ht="14.45" customHeight="1" x14ac:dyDescent="0.2">
      <c r="B54" s="963"/>
      <c r="C54" s="1229"/>
      <c r="D54" s="500"/>
      <c r="E54" s="501">
        <v>1</v>
      </c>
      <c r="F54" s="502"/>
      <c r="G54" s="503"/>
      <c r="H54" s="509">
        <f t="shared" si="7"/>
        <v>0</v>
      </c>
      <c r="I54" s="505"/>
      <c r="J54" s="506"/>
      <c r="K54" s="507"/>
      <c r="L54" s="507"/>
      <c r="M54" s="507"/>
      <c r="N54" s="507"/>
      <c r="O54" s="506"/>
      <c r="P54" s="505"/>
    </row>
    <row r="55" spans="2:17" s="426" customFormat="1" ht="14.45" customHeight="1" x14ac:dyDescent="0.2">
      <c r="B55" s="963"/>
      <c r="C55" s="1229"/>
      <c r="D55" s="500"/>
      <c r="E55" s="501">
        <v>1</v>
      </c>
      <c r="F55" s="502"/>
      <c r="G55" s="503"/>
      <c r="H55" s="509">
        <f t="shared" si="7"/>
        <v>0</v>
      </c>
      <c r="I55" s="505"/>
      <c r="J55" s="506"/>
      <c r="K55" s="507"/>
      <c r="L55" s="507"/>
      <c r="M55" s="507"/>
      <c r="N55" s="507"/>
      <c r="O55" s="506"/>
      <c r="P55" s="505"/>
    </row>
    <row r="56" spans="2:17" s="426" customFormat="1" ht="14.45" customHeight="1" x14ac:dyDescent="0.2">
      <c r="B56" s="963"/>
      <c r="C56" s="1229"/>
      <c r="D56" s="500"/>
      <c r="E56" s="501">
        <v>1</v>
      </c>
      <c r="F56" s="502"/>
      <c r="G56" s="503"/>
      <c r="H56" s="509">
        <f t="shared" si="7"/>
        <v>0</v>
      </c>
      <c r="I56" s="505"/>
      <c r="J56" s="506"/>
      <c r="K56" s="507"/>
      <c r="L56" s="507"/>
      <c r="M56" s="507"/>
      <c r="N56" s="507"/>
      <c r="O56" s="506"/>
      <c r="P56" s="505"/>
    </row>
    <row r="57" spans="2:17" s="426" customFormat="1" ht="14.45" customHeight="1" x14ac:dyDescent="0.2">
      <c r="B57" s="963"/>
      <c r="C57" s="1229"/>
      <c r="D57" s="500"/>
      <c r="E57" s="501">
        <v>1</v>
      </c>
      <c r="F57" s="502"/>
      <c r="G57" s="503"/>
      <c r="H57" s="509">
        <f t="shared" si="7"/>
        <v>0</v>
      </c>
      <c r="I57" s="505"/>
      <c r="J57" s="506"/>
      <c r="K57" s="507"/>
      <c r="L57" s="507"/>
      <c r="M57" s="507"/>
      <c r="N57" s="507"/>
      <c r="O57" s="506"/>
      <c r="P57" s="505"/>
    </row>
    <row r="58" spans="2:17" s="426" customFormat="1" ht="14.45" customHeight="1" x14ac:dyDescent="0.2">
      <c r="B58" s="963"/>
      <c r="C58" s="1229"/>
      <c r="D58" s="500" t="s">
        <v>644</v>
      </c>
      <c r="E58" s="501">
        <v>-1</v>
      </c>
      <c r="F58" s="502" t="s">
        <v>656</v>
      </c>
      <c r="G58" s="503">
        <f>I44</f>
        <v>5000</v>
      </c>
      <c r="H58" s="509">
        <f t="shared" si="7"/>
        <v>-5000</v>
      </c>
      <c r="I58" s="505"/>
      <c r="J58" s="506"/>
      <c r="K58" s="507"/>
      <c r="L58" s="507"/>
      <c r="M58" s="507"/>
      <c r="N58" s="507"/>
      <c r="O58" s="506"/>
      <c r="P58" s="505"/>
    </row>
    <row r="59" spans="2:17" s="426" customFormat="1" ht="14.45" customHeight="1" x14ac:dyDescent="0.2">
      <c r="B59" s="963"/>
      <c r="C59" s="1229"/>
      <c r="D59" s="500"/>
      <c r="E59" s="501">
        <v>1</v>
      </c>
      <c r="F59" s="502"/>
      <c r="G59" s="503"/>
      <c r="H59" s="509">
        <f t="shared" si="7"/>
        <v>0</v>
      </c>
      <c r="I59" s="505"/>
      <c r="J59" s="506"/>
      <c r="K59" s="507"/>
      <c r="L59" s="507"/>
      <c r="M59" s="507"/>
      <c r="N59" s="507"/>
      <c r="O59" s="506"/>
      <c r="P59" s="505"/>
    </row>
    <row r="60" spans="2:17" s="426" customFormat="1" ht="14.45" customHeight="1" x14ac:dyDescent="0.2">
      <c r="B60" s="963"/>
      <c r="C60" s="1229"/>
      <c r="D60" s="500"/>
      <c r="E60" s="501">
        <v>1</v>
      </c>
      <c r="F60" s="502"/>
      <c r="G60" s="503"/>
      <c r="H60" s="509">
        <f t="shared" si="7"/>
        <v>0</v>
      </c>
      <c r="I60" s="505"/>
      <c r="J60" s="506"/>
      <c r="K60" s="507"/>
      <c r="L60" s="507"/>
      <c r="M60" s="507"/>
      <c r="N60" s="507"/>
      <c r="O60" s="506"/>
      <c r="P60" s="505"/>
    </row>
    <row r="61" spans="2:17" s="426" customFormat="1" ht="14.45" customHeight="1" x14ac:dyDescent="0.2">
      <c r="B61" s="963"/>
      <c r="C61" s="1229"/>
      <c r="D61" s="508" t="s">
        <v>657</v>
      </c>
      <c r="E61" s="501">
        <v>1</v>
      </c>
      <c r="F61" s="502" t="s">
        <v>576</v>
      </c>
      <c r="G61" s="503">
        <v>5000</v>
      </c>
      <c r="H61" s="509">
        <f t="shared" ref="H61" si="8">E61*G61</f>
        <v>5000</v>
      </c>
      <c r="I61" s="863">
        <f>SUM(H53:H61)</f>
        <v>2500</v>
      </c>
      <c r="J61" s="513">
        <f>I61*$J$5</f>
        <v>325</v>
      </c>
      <c r="K61" s="514">
        <f>SUM(I61:J61)*$K$5</f>
        <v>127.125</v>
      </c>
      <c r="L61" s="514">
        <f>SUM(I61:K61)*$L$5</f>
        <v>162.36687499999999</v>
      </c>
      <c r="M61" s="514">
        <f>SUM(I61:L61)*$M$5</f>
        <v>186.86951250000001</v>
      </c>
      <c r="N61" s="514">
        <f>SUM(I61:M61)*$N$5</f>
        <v>330.13613875000004</v>
      </c>
      <c r="O61" s="515">
        <f>SUM(I61:N61)</f>
        <v>3631.4975262500002</v>
      </c>
      <c r="P61" s="512">
        <f>ROUND(O61,-3)</f>
        <v>4000</v>
      </c>
      <c r="Q61" s="426" t="s">
        <v>514</v>
      </c>
    </row>
    <row r="62" spans="2:17" s="426" customFormat="1" ht="14.45" customHeight="1" x14ac:dyDescent="0.2">
      <c r="B62" s="963"/>
      <c r="C62" s="1229"/>
      <c r="D62" s="508"/>
      <c r="E62" s="790"/>
      <c r="F62" s="791"/>
      <c r="G62" s="584"/>
      <c r="H62" s="575"/>
      <c r="I62" s="576"/>
      <c r="J62" s="577"/>
      <c r="K62" s="578"/>
      <c r="L62" s="578"/>
      <c r="M62" s="578"/>
      <c r="N62" s="578"/>
      <c r="O62" s="579"/>
      <c r="P62" s="576"/>
    </row>
    <row r="63" spans="2:17" s="426" customFormat="1" ht="14.45" customHeight="1" x14ac:dyDescent="0.2">
      <c r="B63" s="963"/>
      <c r="C63" s="1229"/>
      <c r="D63" s="500" t="s">
        <v>557</v>
      </c>
      <c r="E63" s="501">
        <v>1</v>
      </c>
      <c r="F63" s="502"/>
      <c r="G63" s="503">
        <v>5000</v>
      </c>
      <c r="H63" s="504">
        <f>E63*G63</f>
        <v>5000</v>
      </c>
      <c r="I63" s="505"/>
      <c r="J63" s="506"/>
      <c r="K63" s="507"/>
      <c r="L63" s="507"/>
      <c r="M63" s="507"/>
      <c r="N63" s="507"/>
      <c r="O63" s="506"/>
      <c r="P63" s="505"/>
    </row>
    <row r="64" spans="2:17" s="426" customFormat="1" ht="14.45" customHeight="1" x14ac:dyDescent="0.2">
      <c r="B64" s="963"/>
      <c r="C64" s="1229"/>
      <c r="D64" s="500"/>
      <c r="E64" s="501">
        <v>1</v>
      </c>
      <c r="F64" s="502"/>
      <c r="G64" s="503"/>
      <c r="H64" s="504">
        <f>E64*G64</f>
        <v>0</v>
      </c>
      <c r="I64" s="505"/>
      <c r="J64" s="506"/>
      <c r="K64" s="507"/>
      <c r="L64" s="507"/>
      <c r="M64" s="507"/>
      <c r="N64" s="507"/>
      <c r="O64" s="506"/>
      <c r="P64" s="505"/>
    </row>
    <row r="65" spans="2:16" s="426" customFormat="1" ht="14.45" customHeight="1" x14ac:dyDescent="0.2">
      <c r="B65" s="963"/>
      <c r="C65" s="1229"/>
      <c r="D65" s="500"/>
      <c r="E65" s="501">
        <v>1</v>
      </c>
      <c r="F65" s="502"/>
      <c r="G65" s="503"/>
      <c r="H65" s="504">
        <f>E65*G65</f>
        <v>0</v>
      </c>
      <c r="I65" s="505"/>
      <c r="J65" s="506"/>
      <c r="K65" s="507"/>
      <c r="L65" s="507"/>
      <c r="M65" s="507"/>
      <c r="N65" s="507"/>
      <c r="O65" s="506"/>
      <c r="P65" s="505"/>
    </row>
    <row r="66" spans="2:16" s="426" customFormat="1" ht="14.45" customHeight="1" x14ac:dyDescent="0.2">
      <c r="B66" s="963"/>
      <c r="C66" s="1229"/>
      <c r="D66" s="500" t="s">
        <v>644</v>
      </c>
      <c r="E66" s="501">
        <v>-1</v>
      </c>
      <c r="F66" s="502"/>
      <c r="G66" s="503">
        <f>I51</f>
        <v>10000</v>
      </c>
      <c r="H66" s="504">
        <f>E66*G66</f>
        <v>-10000</v>
      </c>
      <c r="I66" s="505"/>
      <c r="J66" s="506"/>
      <c r="K66" s="507"/>
      <c r="L66" s="507"/>
      <c r="M66" s="507"/>
      <c r="N66" s="507"/>
      <c r="O66" s="506"/>
      <c r="P66" s="505"/>
    </row>
    <row r="67" spans="2:16" s="426" customFormat="1" ht="14.45" customHeight="1" x14ac:dyDescent="0.2">
      <c r="B67" s="963"/>
      <c r="C67" s="1229"/>
      <c r="D67" s="500"/>
      <c r="E67" s="501">
        <v>1</v>
      </c>
      <c r="F67" s="502"/>
      <c r="G67" s="503"/>
      <c r="H67" s="504">
        <f>E67*G67</f>
        <v>0</v>
      </c>
      <c r="I67" s="505"/>
      <c r="J67" s="506"/>
      <c r="K67" s="507"/>
      <c r="L67" s="507"/>
      <c r="M67" s="507"/>
      <c r="N67" s="507"/>
      <c r="O67" s="506"/>
      <c r="P67" s="505"/>
    </row>
    <row r="68" spans="2:16" s="426" customFormat="1" ht="14.45" customHeight="1" x14ac:dyDescent="0.2">
      <c r="B68" s="963"/>
      <c r="C68" s="1229"/>
      <c r="D68" s="508" t="s">
        <v>657</v>
      </c>
      <c r="E68" s="501">
        <v>1</v>
      </c>
      <c r="F68" s="502"/>
      <c r="G68" s="503"/>
      <c r="H68" s="504">
        <f t="shared" ref="H68" si="9">E68*G68</f>
        <v>0</v>
      </c>
      <c r="I68" s="905">
        <f>SUM(H62:H68)</f>
        <v>-5000</v>
      </c>
      <c r="J68" s="506">
        <f>I68*$J$5</f>
        <v>-650</v>
      </c>
      <c r="K68" s="507">
        <f>SUM(I68:J68)*$K$5</f>
        <v>-254.25</v>
      </c>
      <c r="L68" s="507">
        <f>SUM(I68:K68)*$L$5</f>
        <v>-324.73374999999999</v>
      </c>
      <c r="M68" s="507">
        <f>SUM(I68:L68)*$M$5</f>
        <v>-373.73902500000003</v>
      </c>
      <c r="N68" s="507">
        <f>SUM(I68:M68)*$N$5</f>
        <v>-660.27227750000009</v>
      </c>
      <c r="O68" s="506">
        <f>SUM(I68:N68)</f>
        <v>-7262.9950525000004</v>
      </c>
      <c r="P68" s="505">
        <f>ROUND(O68,-3)</f>
        <v>-7000</v>
      </c>
    </row>
    <row r="69" spans="2:16" s="426" customFormat="1" ht="15" customHeight="1" thickBot="1" x14ac:dyDescent="0.25">
      <c r="B69" s="964"/>
      <c r="C69" s="1230"/>
      <c r="D69" s="516"/>
      <c r="E69" s="517"/>
      <c r="F69" s="518"/>
      <c r="G69" s="519"/>
      <c r="H69" s="520"/>
      <c r="I69" s="521"/>
      <c r="J69" s="522"/>
      <c r="K69" s="523"/>
      <c r="L69" s="523"/>
      <c r="M69" s="523"/>
      <c r="N69" s="523"/>
      <c r="O69" s="522"/>
      <c r="P69" s="521"/>
    </row>
    <row r="70" spans="2:16" s="420" customFormat="1" ht="32.450000000000003" customHeight="1" x14ac:dyDescent="0.2">
      <c r="B70" s="936" t="str">
        <f>'Detailed Matrix'!E211</f>
        <v>Reuse Study</v>
      </c>
      <c r="C70" s="1252" t="str">
        <f>'Detailed Matrix'!F211</f>
        <v>Stage 03 - More in-depth mapping and examination of materials and components is conducted including calcualtion on savings on emission and costs.</v>
      </c>
      <c r="D70" s="427" t="s">
        <v>556</v>
      </c>
      <c r="E70" s="428">
        <v>1</v>
      </c>
      <c r="F70" s="429"/>
      <c r="G70" s="430">
        <v>5000</v>
      </c>
      <c r="H70" s="431">
        <f t="shared" ref="H70:H76" si="10">E70*G70</f>
        <v>5000</v>
      </c>
      <c r="I70" s="432"/>
      <c r="J70" s="433"/>
      <c r="K70" s="434"/>
      <c r="L70" s="434"/>
      <c r="M70" s="434"/>
      <c r="N70" s="434"/>
      <c r="O70" s="433"/>
      <c r="P70" s="432"/>
    </row>
    <row r="71" spans="2:16" s="420" customFormat="1" ht="14.45" customHeight="1" x14ac:dyDescent="0.2">
      <c r="B71" s="937"/>
      <c r="C71" s="1253"/>
      <c r="D71" s="482"/>
      <c r="E71" s="483">
        <v>1</v>
      </c>
      <c r="F71" s="484"/>
      <c r="G71" s="485"/>
      <c r="H71" s="486">
        <f t="shared" si="10"/>
        <v>0</v>
      </c>
      <c r="I71" s="487"/>
      <c r="J71" s="488"/>
      <c r="K71" s="489"/>
      <c r="L71" s="489"/>
      <c r="M71" s="489"/>
      <c r="N71" s="489"/>
      <c r="O71" s="488"/>
      <c r="P71" s="487"/>
    </row>
    <row r="72" spans="2:16" s="420" customFormat="1" ht="14.45" customHeight="1" x14ac:dyDescent="0.2">
      <c r="B72" s="937"/>
      <c r="C72" s="1253"/>
      <c r="D72" s="482"/>
      <c r="E72" s="483">
        <v>1</v>
      </c>
      <c r="F72" s="484"/>
      <c r="G72" s="485"/>
      <c r="H72" s="486">
        <f t="shared" si="10"/>
        <v>0</v>
      </c>
      <c r="I72" s="487"/>
      <c r="J72" s="488"/>
      <c r="K72" s="489"/>
      <c r="L72" s="489"/>
      <c r="M72" s="489"/>
      <c r="N72" s="489"/>
      <c r="O72" s="488"/>
      <c r="P72" s="487"/>
    </row>
    <row r="73" spans="2:16" s="420" customFormat="1" ht="14.45" customHeight="1" x14ac:dyDescent="0.2">
      <c r="B73" s="937"/>
      <c r="C73" s="1253"/>
      <c r="D73" s="482"/>
      <c r="E73" s="483">
        <v>1</v>
      </c>
      <c r="F73" s="484"/>
      <c r="G73" s="485"/>
      <c r="H73" s="486">
        <f t="shared" si="10"/>
        <v>0</v>
      </c>
      <c r="I73" s="487"/>
      <c r="J73" s="488"/>
      <c r="K73" s="489"/>
      <c r="L73" s="489"/>
      <c r="M73" s="489"/>
      <c r="N73" s="489"/>
      <c r="O73" s="488"/>
      <c r="P73" s="487"/>
    </row>
    <row r="74" spans="2:16" s="420" customFormat="1" ht="14.45" customHeight="1" x14ac:dyDescent="0.2">
      <c r="B74" s="937"/>
      <c r="C74" s="1253"/>
      <c r="D74" s="482"/>
      <c r="E74" s="483">
        <v>1</v>
      </c>
      <c r="F74" s="484"/>
      <c r="G74" s="485"/>
      <c r="H74" s="486">
        <f t="shared" si="10"/>
        <v>0</v>
      </c>
      <c r="I74" s="487"/>
      <c r="J74" s="488"/>
      <c r="K74" s="489"/>
      <c r="L74" s="489"/>
      <c r="M74" s="489"/>
      <c r="N74" s="489"/>
      <c r="O74" s="488"/>
      <c r="P74" s="487"/>
    </row>
    <row r="75" spans="2:16" s="420" customFormat="1" ht="14.45" customHeight="1" x14ac:dyDescent="0.2">
      <c r="B75" s="937"/>
      <c r="C75" s="1253"/>
      <c r="D75" s="482" t="s">
        <v>645</v>
      </c>
      <c r="E75" s="483">
        <v>-1</v>
      </c>
      <c r="F75" s="484"/>
      <c r="G75" s="485">
        <f>I61+I44</f>
        <v>7500</v>
      </c>
      <c r="H75" s="486">
        <f t="shared" si="10"/>
        <v>-7500</v>
      </c>
      <c r="I75" s="487"/>
      <c r="J75" s="488"/>
      <c r="K75" s="489"/>
      <c r="L75" s="489"/>
      <c r="M75" s="489"/>
      <c r="N75" s="489"/>
      <c r="O75" s="488"/>
      <c r="P75" s="487"/>
    </row>
    <row r="76" spans="2:16" s="420" customFormat="1" ht="14.45" customHeight="1" x14ac:dyDescent="0.2">
      <c r="B76" s="937"/>
      <c r="C76" s="1253"/>
      <c r="D76" s="482" t="s">
        <v>621</v>
      </c>
      <c r="E76" s="483"/>
      <c r="F76" s="484"/>
      <c r="G76" s="485"/>
      <c r="H76" s="486">
        <f t="shared" si="10"/>
        <v>0</v>
      </c>
      <c r="I76" s="875">
        <f>SUM(H70:H76)</f>
        <v>-2500</v>
      </c>
      <c r="J76" s="488">
        <f>I76*$J$5</f>
        <v>-325</v>
      </c>
      <c r="K76" s="489">
        <f>SUM(I76:J76)*$K$5</f>
        <v>-127.125</v>
      </c>
      <c r="L76" s="489">
        <f>SUM(I76:K76)*$L$5</f>
        <v>-162.36687499999999</v>
      </c>
      <c r="M76" s="489">
        <f>SUM(I76:L76)*$M$5</f>
        <v>-186.86951250000001</v>
      </c>
      <c r="N76" s="489">
        <f>SUM(I76:M76)*$N$5</f>
        <v>-330.13613875000004</v>
      </c>
      <c r="O76" s="488">
        <f>SUM(I76:N76)</f>
        <v>-3631.4975262500002</v>
      </c>
      <c r="P76" s="487">
        <f>ROUND(O76,-3)</f>
        <v>-4000</v>
      </c>
    </row>
    <row r="77" spans="2:16" s="420" customFormat="1" ht="14.45" customHeight="1" x14ac:dyDescent="0.2">
      <c r="B77" s="937"/>
      <c r="C77" s="1253"/>
      <c r="D77" s="482"/>
      <c r="E77" s="483"/>
      <c r="F77" s="484"/>
      <c r="G77" s="485"/>
      <c r="H77" s="486"/>
      <c r="I77" s="487"/>
      <c r="J77" s="488"/>
      <c r="K77" s="489"/>
      <c r="L77" s="489"/>
      <c r="M77" s="489"/>
      <c r="N77" s="489"/>
      <c r="O77" s="488"/>
      <c r="P77" s="487"/>
    </row>
    <row r="78" spans="2:16" s="420" customFormat="1" ht="14.45" customHeight="1" x14ac:dyDescent="0.2">
      <c r="B78" s="937"/>
      <c r="C78" s="1253"/>
      <c r="D78" s="482" t="s">
        <v>557</v>
      </c>
      <c r="E78" s="483">
        <v>1</v>
      </c>
      <c r="F78" s="484"/>
      <c r="G78" s="485">
        <v>5000</v>
      </c>
      <c r="H78" s="486">
        <f>E78*G78</f>
        <v>5000</v>
      </c>
      <c r="I78" s="487"/>
      <c r="J78" s="488"/>
      <c r="K78" s="489"/>
      <c r="L78" s="489"/>
      <c r="M78" s="489"/>
      <c r="N78" s="489"/>
      <c r="O78" s="488"/>
      <c r="P78" s="487"/>
    </row>
    <row r="79" spans="2:16" s="420" customFormat="1" ht="14.45" customHeight="1" x14ac:dyDescent="0.2">
      <c r="B79" s="937"/>
      <c r="C79" s="1253"/>
      <c r="D79" s="482"/>
      <c r="E79" s="483">
        <v>1</v>
      </c>
      <c r="F79" s="484"/>
      <c r="G79" s="485"/>
      <c r="H79" s="486">
        <f>E79*G79</f>
        <v>0</v>
      </c>
      <c r="I79" s="487"/>
      <c r="J79" s="488"/>
      <c r="K79" s="489"/>
      <c r="L79" s="489"/>
      <c r="M79" s="489"/>
      <c r="N79" s="489"/>
      <c r="O79" s="488"/>
      <c r="P79" s="487"/>
    </row>
    <row r="80" spans="2:16" s="420" customFormat="1" ht="14.45" customHeight="1" x14ac:dyDescent="0.2">
      <c r="B80" s="937"/>
      <c r="C80" s="1253"/>
      <c r="D80" s="482"/>
      <c r="E80" s="483">
        <v>1</v>
      </c>
      <c r="F80" s="484"/>
      <c r="G80" s="485"/>
      <c r="H80" s="486">
        <f>E80*G80</f>
        <v>0</v>
      </c>
      <c r="I80" s="487"/>
      <c r="J80" s="488"/>
      <c r="K80" s="489"/>
      <c r="L80" s="489"/>
      <c r="M80" s="489"/>
      <c r="N80" s="489"/>
      <c r="O80" s="488"/>
      <c r="P80" s="487"/>
    </row>
    <row r="81" spans="2:16" s="420" customFormat="1" ht="14.45" customHeight="1" x14ac:dyDescent="0.2">
      <c r="B81" s="937"/>
      <c r="C81" s="1253"/>
      <c r="D81" s="482"/>
      <c r="E81" s="483">
        <v>1</v>
      </c>
      <c r="F81" s="484"/>
      <c r="G81" s="485"/>
      <c r="H81" s="486">
        <f>E81*G81</f>
        <v>0</v>
      </c>
      <c r="I81" s="487"/>
      <c r="J81" s="488"/>
      <c r="K81" s="489"/>
      <c r="L81" s="489"/>
      <c r="M81" s="489"/>
      <c r="N81" s="489"/>
      <c r="O81" s="488"/>
      <c r="P81" s="487"/>
    </row>
    <row r="82" spans="2:16" s="420" customFormat="1" ht="14.45" customHeight="1" x14ac:dyDescent="0.2">
      <c r="B82" s="937"/>
      <c r="C82" s="1253"/>
      <c r="D82" s="482" t="s">
        <v>645</v>
      </c>
      <c r="E82" s="483">
        <v>-1</v>
      </c>
      <c r="F82" s="484"/>
      <c r="G82" s="485">
        <f>I68+I51</f>
        <v>5000</v>
      </c>
      <c r="H82" s="486">
        <f>E82*G82</f>
        <v>-5000</v>
      </c>
      <c r="I82" s="487"/>
      <c r="J82" s="488"/>
      <c r="K82" s="489"/>
      <c r="L82" s="489"/>
      <c r="M82" s="489"/>
      <c r="N82" s="489"/>
      <c r="O82" s="488"/>
      <c r="P82" s="487"/>
    </row>
    <row r="83" spans="2:16" s="420" customFormat="1" ht="14.45" customHeight="1" x14ac:dyDescent="0.2">
      <c r="B83" s="937"/>
      <c r="C83" s="1253"/>
      <c r="D83" s="482" t="s">
        <v>621</v>
      </c>
      <c r="E83" s="483"/>
      <c r="F83" s="484"/>
      <c r="G83" s="485"/>
      <c r="H83" s="486"/>
      <c r="I83" s="905">
        <f>SUM(H77:H83)</f>
        <v>0</v>
      </c>
      <c r="J83" s="488">
        <f>I83*$J$5</f>
        <v>0</v>
      </c>
      <c r="K83" s="489">
        <f>SUM(I83:J83)*$K$5</f>
        <v>0</v>
      </c>
      <c r="L83" s="489">
        <f>SUM(I83:K83)*$L$5</f>
        <v>0</v>
      </c>
      <c r="M83" s="489">
        <f>SUM(I83:L83)*$M$5</f>
        <v>0</v>
      </c>
      <c r="N83" s="489">
        <f>SUM(I83:M83)*$N$5</f>
        <v>0</v>
      </c>
      <c r="O83" s="488">
        <f>SUM(I83:N83)</f>
        <v>0</v>
      </c>
      <c r="P83" s="487">
        <f>ROUND(O83,-3)</f>
        <v>0</v>
      </c>
    </row>
    <row r="84" spans="2:16" s="420" customFormat="1" ht="15" customHeight="1" thickBot="1" x14ac:dyDescent="0.25">
      <c r="B84" s="938"/>
      <c r="C84" s="1254"/>
      <c r="D84" s="444"/>
      <c r="E84" s="445"/>
      <c r="F84" s="446"/>
      <c r="G84" s="447"/>
      <c r="H84" s="448"/>
      <c r="I84" s="449"/>
      <c r="J84" s="450"/>
      <c r="K84" s="451"/>
      <c r="L84" s="451"/>
      <c r="M84" s="451"/>
      <c r="N84" s="451"/>
      <c r="O84" s="450"/>
      <c r="P84" s="449"/>
    </row>
    <row r="85" spans="2:16" s="426" customFormat="1" ht="32.450000000000003" customHeight="1" x14ac:dyDescent="0.2">
      <c r="B85" s="936" t="str">
        <f>'Detailed Matrix'!E212</f>
        <v>Reuse Study</v>
      </c>
      <c r="C85" s="1252" t="str">
        <f>'Detailed Matrix'!F212</f>
        <v>Stage 04 - Mapping of materials and buildings components is supplemented with a suitability analysis, examining if some of the identified buildings components can be reused in the design 1 to 1 or fulfilling a secondary function.</v>
      </c>
      <c r="D85" s="427" t="s">
        <v>556</v>
      </c>
      <c r="E85" s="428">
        <v>1</v>
      </c>
      <c r="F85" s="429"/>
      <c r="G85" s="430">
        <v>5000</v>
      </c>
      <c r="H85" s="431">
        <f t="shared" ref="H85:H91" si="11">E85*G85</f>
        <v>5000</v>
      </c>
      <c r="I85" s="432"/>
      <c r="J85" s="433"/>
      <c r="K85" s="434"/>
      <c r="L85" s="434"/>
      <c r="M85" s="434"/>
      <c r="N85" s="434"/>
      <c r="O85" s="433"/>
      <c r="P85" s="432"/>
    </row>
    <row r="86" spans="2:16" s="426" customFormat="1" ht="14.45" customHeight="1" x14ac:dyDescent="0.2">
      <c r="B86" s="937"/>
      <c r="C86" s="1253"/>
      <c r="D86" s="482"/>
      <c r="E86" s="483">
        <v>1</v>
      </c>
      <c r="F86" s="484"/>
      <c r="G86" s="485"/>
      <c r="H86" s="486">
        <f t="shared" si="11"/>
        <v>0</v>
      </c>
      <c r="I86" s="487"/>
      <c r="J86" s="488"/>
      <c r="K86" s="489"/>
      <c r="L86" s="489"/>
      <c r="M86" s="489"/>
      <c r="N86" s="489"/>
      <c r="O86" s="488"/>
      <c r="P86" s="487"/>
    </row>
    <row r="87" spans="2:16" s="426" customFormat="1" ht="14.45" customHeight="1" x14ac:dyDescent="0.2">
      <c r="B87" s="937"/>
      <c r="C87" s="1253"/>
      <c r="D87" s="482"/>
      <c r="E87" s="483">
        <v>1</v>
      </c>
      <c r="F87" s="484"/>
      <c r="G87" s="485"/>
      <c r="H87" s="486">
        <f t="shared" si="11"/>
        <v>0</v>
      </c>
      <c r="I87" s="487"/>
      <c r="J87" s="488"/>
      <c r="K87" s="489"/>
      <c r="L87" s="489"/>
      <c r="M87" s="489"/>
      <c r="N87" s="489"/>
      <c r="O87" s="488"/>
      <c r="P87" s="487"/>
    </row>
    <row r="88" spans="2:16" s="426" customFormat="1" ht="14.45" customHeight="1" x14ac:dyDescent="0.2">
      <c r="B88" s="937"/>
      <c r="C88" s="1253"/>
      <c r="D88" s="482"/>
      <c r="E88" s="483">
        <v>1</v>
      </c>
      <c r="F88" s="484"/>
      <c r="G88" s="485"/>
      <c r="H88" s="486">
        <f t="shared" si="11"/>
        <v>0</v>
      </c>
      <c r="I88" s="487"/>
      <c r="J88" s="488"/>
      <c r="K88" s="489"/>
      <c r="L88" s="489"/>
      <c r="M88" s="489"/>
      <c r="N88" s="489"/>
      <c r="O88" s="488"/>
      <c r="P88" s="487"/>
    </row>
    <row r="89" spans="2:16" s="426" customFormat="1" ht="14.45" customHeight="1" x14ac:dyDescent="0.2">
      <c r="B89" s="937"/>
      <c r="C89" s="1253"/>
      <c r="D89" s="482"/>
      <c r="E89" s="483">
        <v>1</v>
      </c>
      <c r="F89" s="484"/>
      <c r="G89" s="485"/>
      <c r="H89" s="486">
        <f t="shared" si="11"/>
        <v>0</v>
      </c>
      <c r="I89" s="487"/>
      <c r="J89" s="488"/>
      <c r="K89" s="489"/>
      <c r="L89" s="489"/>
      <c r="M89" s="489"/>
      <c r="N89" s="489"/>
      <c r="O89" s="488"/>
      <c r="P89" s="487"/>
    </row>
    <row r="90" spans="2:16" s="426" customFormat="1" ht="14.45" customHeight="1" x14ac:dyDescent="0.2">
      <c r="B90" s="937"/>
      <c r="C90" s="1253"/>
      <c r="D90" s="482" t="s">
        <v>646</v>
      </c>
      <c r="E90" s="483">
        <v>-1</v>
      </c>
      <c r="F90" s="484"/>
      <c r="G90" s="485">
        <f>I76+I61+I44</f>
        <v>5000</v>
      </c>
      <c r="H90" s="486">
        <f t="shared" si="11"/>
        <v>-5000</v>
      </c>
      <c r="I90" s="487"/>
      <c r="J90" s="488"/>
      <c r="K90" s="489"/>
      <c r="L90" s="489"/>
      <c r="M90" s="489"/>
      <c r="N90" s="489"/>
      <c r="O90" s="488"/>
      <c r="P90" s="487"/>
    </row>
    <row r="91" spans="2:16" s="426" customFormat="1" ht="14.45" customHeight="1" x14ac:dyDescent="0.2">
      <c r="B91" s="937"/>
      <c r="C91" s="1253"/>
      <c r="D91" s="482" t="s">
        <v>621</v>
      </c>
      <c r="E91" s="483"/>
      <c r="F91" s="484"/>
      <c r="G91" s="485"/>
      <c r="H91" s="486">
        <f t="shared" si="11"/>
        <v>0</v>
      </c>
      <c r="I91" s="875">
        <f>SUM(H85:H91)</f>
        <v>0</v>
      </c>
      <c r="J91" s="488">
        <f>I91*$J$5</f>
        <v>0</v>
      </c>
      <c r="K91" s="489">
        <f>SUM(I91:J91)*$K$5</f>
        <v>0</v>
      </c>
      <c r="L91" s="489">
        <f>SUM(I91:K91)*$L$5</f>
        <v>0</v>
      </c>
      <c r="M91" s="489">
        <f>SUM(I91:L91)*$M$5</f>
        <v>0</v>
      </c>
      <c r="N91" s="489">
        <f>SUM(I91:M91)*$N$5</f>
        <v>0</v>
      </c>
      <c r="O91" s="488">
        <f>SUM(I91:N91)</f>
        <v>0</v>
      </c>
      <c r="P91" s="487">
        <f>ROUND(O91,-3)</f>
        <v>0</v>
      </c>
    </row>
    <row r="92" spans="2:16" s="426" customFormat="1" ht="14.45" customHeight="1" x14ac:dyDescent="0.2">
      <c r="B92" s="937"/>
      <c r="C92" s="1253"/>
      <c r="D92" s="482"/>
      <c r="E92" s="483"/>
      <c r="F92" s="484"/>
      <c r="G92" s="485"/>
      <c r="H92" s="486"/>
      <c r="I92" s="487"/>
      <c r="J92" s="488"/>
      <c r="K92" s="489"/>
      <c r="L92" s="489"/>
      <c r="M92" s="489"/>
      <c r="N92" s="489"/>
      <c r="O92" s="488"/>
      <c r="P92" s="487"/>
    </row>
    <row r="93" spans="2:16" s="426" customFormat="1" ht="14.45" customHeight="1" x14ac:dyDescent="0.2">
      <c r="B93" s="937"/>
      <c r="C93" s="1253"/>
      <c r="D93" s="482" t="s">
        <v>557</v>
      </c>
      <c r="E93" s="483">
        <v>1</v>
      </c>
      <c r="F93" s="484"/>
      <c r="G93" s="485">
        <v>5000</v>
      </c>
      <c r="H93" s="486">
        <f>E93*G93</f>
        <v>5000</v>
      </c>
      <c r="I93" s="487"/>
      <c r="J93" s="488"/>
      <c r="K93" s="489"/>
      <c r="L93" s="489"/>
      <c r="M93" s="489"/>
      <c r="N93" s="489"/>
      <c r="O93" s="488"/>
      <c r="P93" s="487"/>
    </row>
    <row r="94" spans="2:16" s="426" customFormat="1" ht="14.45" customHeight="1" x14ac:dyDescent="0.2">
      <c r="B94" s="937"/>
      <c r="C94" s="1253"/>
      <c r="D94" s="482"/>
      <c r="E94" s="483">
        <v>1</v>
      </c>
      <c r="F94" s="484"/>
      <c r="G94" s="485"/>
      <c r="H94" s="486">
        <f>E94*G94</f>
        <v>0</v>
      </c>
      <c r="I94" s="487"/>
      <c r="J94" s="488"/>
      <c r="K94" s="489"/>
      <c r="L94" s="489"/>
      <c r="M94" s="489"/>
      <c r="N94" s="489"/>
      <c r="O94" s="488"/>
      <c r="P94" s="487"/>
    </row>
    <row r="95" spans="2:16" s="426" customFormat="1" ht="14.45" customHeight="1" x14ac:dyDescent="0.2">
      <c r="B95" s="937"/>
      <c r="C95" s="1253"/>
      <c r="D95" s="482"/>
      <c r="E95" s="483">
        <v>1</v>
      </c>
      <c r="F95" s="484"/>
      <c r="G95" s="485"/>
      <c r="H95" s="486">
        <f>E95*G95</f>
        <v>0</v>
      </c>
      <c r="I95" s="487"/>
      <c r="J95" s="488"/>
      <c r="K95" s="489"/>
      <c r="L95" s="489"/>
      <c r="M95" s="489"/>
      <c r="N95" s="489"/>
      <c r="O95" s="488"/>
      <c r="P95" s="487"/>
    </row>
    <row r="96" spans="2:16" s="426" customFormat="1" ht="14.45" customHeight="1" x14ac:dyDescent="0.2">
      <c r="B96" s="937"/>
      <c r="C96" s="1253"/>
      <c r="D96" s="482"/>
      <c r="E96" s="483">
        <v>1</v>
      </c>
      <c r="F96" s="484"/>
      <c r="G96" s="485"/>
      <c r="H96" s="486">
        <f>E96*G96</f>
        <v>0</v>
      </c>
      <c r="I96" s="487"/>
      <c r="J96" s="488"/>
      <c r="K96" s="489"/>
      <c r="L96" s="489"/>
      <c r="M96" s="489"/>
      <c r="N96" s="489"/>
      <c r="O96" s="488"/>
      <c r="P96" s="487"/>
    </row>
    <row r="97" spans="2:16" s="426" customFormat="1" ht="14.45" customHeight="1" x14ac:dyDescent="0.2">
      <c r="B97" s="937"/>
      <c r="C97" s="1253"/>
      <c r="D97" s="482" t="s">
        <v>646</v>
      </c>
      <c r="E97" s="483">
        <v>-1</v>
      </c>
      <c r="F97" s="484"/>
      <c r="G97" s="485">
        <f>I83+I68+I51</f>
        <v>5000</v>
      </c>
      <c r="H97" s="486">
        <f>E97*G97</f>
        <v>-5000</v>
      </c>
      <c r="I97" s="487"/>
      <c r="J97" s="488"/>
      <c r="K97" s="489"/>
      <c r="L97" s="489"/>
      <c r="M97" s="489"/>
      <c r="N97" s="489"/>
      <c r="O97" s="488"/>
      <c r="P97" s="487"/>
    </row>
    <row r="98" spans="2:16" s="426" customFormat="1" ht="14.45" customHeight="1" x14ac:dyDescent="0.2">
      <c r="B98" s="937"/>
      <c r="C98" s="1253"/>
      <c r="D98" s="482" t="s">
        <v>621</v>
      </c>
      <c r="E98" s="483"/>
      <c r="F98" s="484"/>
      <c r="G98" s="485"/>
      <c r="H98" s="486"/>
      <c r="I98" s="905">
        <f>SUM(H92:H98)</f>
        <v>0</v>
      </c>
      <c r="J98" s="488">
        <f>I98*$J$5</f>
        <v>0</v>
      </c>
      <c r="K98" s="489">
        <f>SUM(I98:J98)*$K$5</f>
        <v>0</v>
      </c>
      <c r="L98" s="489">
        <f>SUM(I98:K98)*$L$5</f>
        <v>0</v>
      </c>
      <c r="M98" s="489">
        <f>SUM(I98:L98)*$M$5</f>
        <v>0</v>
      </c>
      <c r="N98" s="489">
        <f>SUM(I98:M98)*$N$5</f>
        <v>0</v>
      </c>
      <c r="O98" s="488">
        <f>SUM(I98:N98)</f>
        <v>0</v>
      </c>
      <c r="P98" s="487">
        <f>ROUND(O98,-3)</f>
        <v>0</v>
      </c>
    </row>
    <row r="99" spans="2:16" s="426" customFormat="1" ht="15" customHeight="1" thickBot="1" x14ac:dyDescent="0.25">
      <c r="B99" s="938"/>
      <c r="C99" s="1254"/>
      <c r="D99" s="444"/>
      <c r="E99" s="445"/>
      <c r="F99" s="446"/>
      <c r="G99" s="447"/>
      <c r="H99" s="448"/>
      <c r="I99" s="449"/>
      <c r="J99" s="450"/>
      <c r="K99" s="451"/>
      <c r="L99" s="451"/>
      <c r="M99" s="451"/>
      <c r="N99" s="451"/>
      <c r="O99" s="450"/>
      <c r="P99" s="449"/>
    </row>
    <row r="100" spans="2:16" s="420" customFormat="1" ht="32.1" customHeight="1" x14ac:dyDescent="0.2">
      <c r="B100" s="754" t="e">
        <f>'Detailed Matrix'!#REF!</f>
        <v>#REF!</v>
      </c>
      <c r="C100" s="1261" t="e">
        <f>'Detailed Matrix'!#REF!</f>
        <v>#REF!</v>
      </c>
      <c r="D100" s="452" t="s">
        <v>556</v>
      </c>
      <c r="E100" s="453">
        <v>1</v>
      </c>
      <c r="F100" s="454"/>
      <c r="G100" s="455"/>
      <c r="H100" s="456">
        <f t="shared" ref="H100:H106" si="12">E100*G100</f>
        <v>0</v>
      </c>
      <c r="I100" s="457"/>
      <c r="J100" s="458"/>
      <c r="K100" s="459"/>
      <c r="L100" s="459"/>
      <c r="M100" s="459"/>
      <c r="N100" s="459"/>
      <c r="O100" s="458"/>
      <c r="P100" s="457"/>
    </row>
    <row r="101" spans="2:16" s="420" customFormat="1" ht="14.45" customHeight="1" x14ac:dyDescent="0.2">
      <c r="B101" s="755"/>
      <c r="C101" s="1262"/>
      <c r="D101" s="769"/>
      <c r="E101" s="479">
        <v>1</v>
      </c>
      <c r="F101" s="480"/>
      <c r="G101" s="481"/>
      <c r="H101" s="665">
        <f t="shared" si="12"/>
        <v>0</v>
      </c>
      <c r="I101" s="666"/>
      <c r="J101" s="667"/>
      <c r="K101" s="668"/>
      <c r="L101" s="668"/>
      <c r="M101" s="668"/>
      <c r="N101" s="668"/>
      <c r="O101" s="667"/>
      <c r="P101" s="666"/>
    </row>
    <row r="102" spans="2:16" s="420" customFormat="1" ht="14.45" customHeight="1" x14ac:dyDescent="0.2">
      <c r="B102" s="755"/>
      <c r="C102" s="1262"/>
      <c r="D102" s="769"/>
      <c r="E102" s="479">
        <v>1</v>
      </c>
      <c r="F102" s="480"/>
      <c r="G102" s="481"/>
      <c r="H102" s="665">
        <f t="shared" si="12"/>
        <v>0</v>
      </c>
      <c r="I102" s="666"/>
      <c r="J102" s="667"/>
      <c r="K102" s="668"/>
      <c r="L102" s="668"/>
      <c r="M102" s="668"/>
      <c r="N102" s="668"/>
      <c r="O102" s="667"/>
      <c r="P102" s="666"/>
    </row>
    <row r="103" spans="2:16" s="420" customFormat="1" ht="14.45" customHeight="1" x14ac:dyDescent="0.2">
      <c r="B103" s="755"/>
      <c r="C103" s="1262"/>
      <c r="D103" s="769"/>
      <c r="E103" s="479">
        <v>1</v>
      </c>
      <c r="F103" s="480"/>
      <c r="G103" s="481"/>
      <c r="H103" s="665">
        <f t="shared" si="12"/>
        <v>0</v>
      </c>
      <c r="I103" s="666"/>
      <c r="J103" s="667"/>
      <c r="K103" s="668"/>
      <c r="L103" s="668"/>
      <c r="M103" s="668"/>
      <c r="N103" s="668"/>
      <c r="O103" s="667"/>
      <c r="P103" s="666"/>
    </row>
    <row r="104" spans="2:16" s="420" customFormat="1" ht="14.45" customHeight="1" x14ac:dyDescent="0.2">
      <c r="B104" s="755"/>
      <c r="C104" s="1262"/>
      <c r="D104" s="769"/>
      <c r="E104" s="479">
        <v>1</v>
      </c>
      <c r="F104" s="480"/>
      <c r="G104" s="481"/>
      <c r="H104" s="665">
        <f t="shared" si="12"/>
        <v>0</v>
      </c>
      <c r="I104" s="666"/>
      <c r="J104" s="667"/>
      <c r="K104" s="668"/>
      <c r="L104" s="668"/>
      <c r="M104" s="668"/>
      <c r="N104" s="668"/>
      <c r="O104" s="667"/>
      <c r="P104" s="666"/>
    </row>
    <row r="105" spans="2:16" s="420" customFormat="1" ht="14.45" customHeight="1" x14ac:dyDescent="0.2">
      <c r="B105" s="755"/>
      <c r="C105" s="1262"/>
      <c r="D105" s="769"/>
      <c r="E105" s="479">
        <v>1</v>
      </c>
      <c r="F105" s="480"/>
      <c r="G105" s="481"/>
      <c r="H105" s="665">
        <f t="shared" si="12"/>
        <v>0</v>
      </c>
      <c r="I105" s="666"/>
      <c r="J105" s="667"/>
      <c r="K105" s="668"/>
      <c r="L105" s="668"/>
      <c r="M105" s="668"/>
      <c r="N105" s="668"/>
      <c r="O105" s="667"/>
      <c r="P105" s="666"/>
    </row>
    <row r="106" spans="2:16" s="420" customFormat="1" ht="14.45" customHeight="1" x14ac:dyDescent="0.2">
      <c r="B106" s="755"/>
      <c r="C106" s="1262"/>
      <c r="D106" s="769" t="s">
        <v>658</v>
      </c>
      <c r="E106" s="479"/>
      <c r="F106" s="480"/>
      <c r="G106" s="481"/>
      <c r="H106" s="665">
        <f t="shared" si="12"/>
        <v>0</v>
      </c>
      <c r="I106" s="666">
        <f>SUM(H100:H106)</f>
        <v>0</v>
      </c>
      <c r="J106" s="667">
        <f>I106*$J$5</f>
        <v>0</v>
      </c>
      <c r="K106" s="668">
        <f>SUM(I106:J106)*$K$5</f>
        <v>0</v>
      </c>
      <c r="L106" s="668">
        <f>SUM(I106:K106)*$L$5</f>
        <v>0</v>
      </c>
      <c r="M106" s="668">
        <f>SUM(I106:L106)*$M$5</f>
        <v>0</v>
      </c>
      <c r="N106" s="668">
        <f>SUM(I106:M106)*$N$5</f>
        <v>0</v>
      </c>
      <c r="O106" s="667">
        <f>SUM(I106:N106)</f>
        <v>0</v>
      </c>
      <c r="P106" s="666">
        <f>ROUND(O106,-3)</f>
        <v>0</v>
      </c>
    </row>
    <row r="107" spans="2:16" s="420" customFormat="1" ht="14.45" customHeight="1" x14ac:dyDescent="0.2">
      <c r="B107" s="755"/>
      <c r="C107" s="1262"/>
      <c r="D107" s="769"/>
      <c r="E107" s="479"/>
      <c r="F107" s="480"/>
      <c r="G107" s="481"/>
      <c r="H107" s="665"/>
      <c r="I107" s="666"/>
      <c r="J107" s="667"/>
      <c r="K107" s="668"/>
      <c r="L107" s="668"/>
      <c r="M107" s="668"/>
      <c r="N107" s="668"/>
      <c r="O107" s="667"/>
      <c r="P107" s="666"/>
    </row>
    <row r="108" spans="2:16" s="420" customFormat="1" ht="14.45" customHeight="1" x14ac:dyDescent="0.2">
      <c r="B108" s="755"/>
      <c r="C108" s="1262"/>
      <c r="D108" s="769" t="s">
        <v>557</v>
      </c>
      <c r="E108" s="479">
        <v>1</v>
      </c>
      <c r="F108" s="480"/>
      <c r="G108" s="481"/>
      <c r="H108" s="665">
        <f>E108*G108</f>
        <v>0</v>
      </c>
      <c r="I108" s="666"/>
      <c r="J108" s="667"/>
      <c r="K108" s="668"/>
      <c r="L108" s="668"/>
      <c r="M108" s="668"/>
      <c r="N108" s="668"/>
      <c r="O108" s="667"/>
      <c r="P108" s="666"/>
    </row>
    <row r="109" spans="2:16" s="420" customFormat="1" ht="14.45" customHeight="1" x14ac:dyDescent="0.2">
      <c r="B109" s="755"/>
      <c r="C109" s="1262"/>
      <c r="D109" s="769"/>
      <c r="E109" s="479">
        <v>1</v>
      </c>
      <c r="F109" s="480"/>
      <c r="G109" s="481"/>
      <c r="H109" s="665">
        <f>E109*G109</f>
        <v>0</v>
      </c>
      <c r="I109" s="666"/>
      <c r="J109" s="667"/>
      <c r="K109" s="668"/>
      <c r="L109" s="668"/>
      <c r="M109" s="668"/>
      <c r="N109" s="668"/>
      <c r="O109" s="667"/>
      <c r="P109" s="666"/>
    </row>
    <row r="110" spans="2:16" s="420" customFormat="1" ht="14.45" customHeight="1" x14ac:dyDescent="0.2">
      <c r="B110" s="755"/>
      <c r="C110" s="1262"/>
      <c r="D110" s="769"/>
      <c r="E110" s="479">
        <v>1</v>
      </c>
      <c r="F110" s="480"/>
      <c r="G110" s="481"/>
      <c r="H110" s="665">
        <f>E110*G110</f>
        <v>0</v>
      </c>
      <c r="I110" s="666"/>
      <c r="J110" s="667"/>
      <c r="K110" s="668"/>
      <c r="L110" s="668"/>
      <c r="M110" s="668"/>
      <c r="N110" s="668"/>
      <c r="O110" s="667"/>
      <c r="P110" s="666"/>
    </row>
    <row r="111" spans="2:16" s="420" customFormat="1" ht="14.45" customHeight="1" x14ac:dyDescent="0.2">
      <c r="B111" s="755"/>
      <c r="C111" s="1262"/>
      <c r="D111" s="769"/>
      <c r="E111" s="479">
        <v>1</v>
      </c>
      <c r="F111" s="480"/>
      <c r="G111" s="481"/>
      <c r="H111" s="665">
        <f>E111*G111</f>
        <v>0</v>
      </c>
      <c r="I111" s="666"/>
      <c r="J111" s="667"/>
      <c r="K111" s="668"/>
      <c r="L111" s="668"/>
      <c r="M111" s="668"/>
      <c r="N111" s="668"/>
      <c r="O111" s="667"/>
      <c r="P111" s="666"/>
    </row>
    <row r="112" spans="2:16" s="420" customFormat="1" ht="14.45" customHeight="1" x14ac:dyDescent="0.2">
      <c r="B112" s="755"/>
      <c r="C112" s="1262"/>
      <c r="D112" s="769"/>
      <c r="E112" s="479">
        <v>1</v>
      </c>
      <c r="F112" s="480"/>
      <c r="G112" s="481"/>
      <c r="H112" s="665">
        <f>E112*G112</f>
        <v>0</v>
      </c>
      <c r="I112" s="666"/>
      <c r="J112" s="667"/>
      <c r="K112" s="668"/>
      <c r="L112" s="668"/>
      <c r="M112" s="668"/>
      <c r="N112" s="668"/>
      <c r="O112" s="667"/>
      <c r="P112" s="666"/>
    </row>
    <row r="113" spans="2:16" s="420" customFormat="1" ht="14.45" customHeight="1" x14ac:dyDescent="0.2">
      <c r="B113" s="755"/>
      <c r="C113" s="1262"/>
      <c r="D113" s="769" t="s">
        <v>658</v>
      </c>
      <c r="E113" s="479">
        <v>1</v>
      </c>
      <c r="F113" s="480"/>
      <c r="G113" s="481"/>
      <c r="H113" s="665">
        <f t="shared" ref="H113" si="13">E113*G113</f>
        <v>0</v>
      </c>
      <c r="I113" s="666">
        <f>SUM(H107:H113)</f>
        <v>0</v>
      </c>
      <c r="J113" s="667">
        <f>I113*$J$5</f>
        <v>0</v>
      </c>
      <c r="K113" s="668">
        <f>SUM(I113:J113)*$K$5</f>
        <v>0</v>
      </c>
      <c r="L113" s="668">
        <f>SUM(I113:K113)*$L$5</f>
        <v>0</v>
      </c>
      <c r="M113" s="668">
        <f>SUM(I113:L113)*$M$5</f>
        <v>0</v>
      </c>
      <c r="N113" s="668">
        <f>SUM(I113:M113)*$N$5</f>
        <v>0</v>
      </c>
      <c r="O113" s="667">
        <f>SUM(I113:N113)</f>
        <v>0</v>
      </c>
      <c r="P113" s="666">
        <f>ROUND(O113,-3)</f>
        <v>0</v>
      </c>
    </row>
    <row r="114" spans="2:16" s="420" customFormat="1" ht="15" customHeight="1" thickBot="1" x14ac:dyDescent="0.25">
      <c r="B114" s="917"/>
      <c r="C114" s="1280"/>
      <c r="D114" s="469"/>
      <c r="E114" s="470"/>
      <c r="F114" s="471"/>
      <c r="G114" s="472"/>
      <c r="H114" s="473"/>
      <c r="I114" s="474"/>
      <c r="J114" s="475"/>
      <c r="K114" s="476"/>
      <c r="L114" s="476"/>
      <c r="M114" s="476"/>
      <c r="N114" s="476"/>
      <c r="O114" s="475"/>
      <c r="P114" s="474"/>
    </row>
    <row r="115" spans="2:16" s="420" customFormat="1" ht="29.45" customHeight="1" x14ac:dyDescent="0.2">
      <c r="B115" s="936" t="str">
        <f>'Detailed Matrix'!E213</f>
        <v>Data Capture</v>
      </c>
      <c r="C115" s="1252" t="str">
        <f>'Detailed Matrix'!F213</f>
        <v>Providing applicable LCA and LCC data, as well as qualitative data to the dismounted materials and buildings components. The materials are thereby prepared for online databases, markets, entering other LCA or LCC calculations etc
The reused building components will be supported by a static documentation, evaluating on the load capacity and estimated lifetime</v>
      </c>
      <c r="D115" s="427" t="s">
        <v>556</v>
      </c>
      <c r="E115" s="428">
        <v>1</v>
      </c>
      <c r="F115" s="429"/>
      <c r="G115" s="430">
        <v>5000</v>
      </c>
      <c r="H115" s="431">
        <f t="shared" ref="H115:H121" si="14">E115*G115</f>
        <v>5000</v>
      </c>
      <c r="I115" s="432"/>
      <c r="J115" s="433"/>
      <c r="K115" s="434"/>
      <c r="L115" s="434"/>
      <c r="M115" s="434"/>
      <c r="N115" s="434"/>
      <c r="O115" s="433"/>
      <c r="P115" s="432"/>
    </row>
    <row r="116" spans="2:16" s="420" customFormat="1" ht="14.45" customHeight="1" x14ac:dyDescent="0.2">
      <c r="B116" s="937"/>
      <c r="C116" s="1253"/>
      <c r="D116" s="482"/>
      <c r="E116" s="483">
        <v>1</v>
      </c>
      <c r="F116" s="484"/>
      <c r="G116" s="485"/>
      <c r="H116" s="486">
        <f t="shared" si="14"/>
        <v>0</v>
      </c>
      <c r="I116" s="487"/>
      <c r="J116" s="488"/>
      <c r="K116" s="489"/>
      <c r="L116" s="489"/>
      <c r="M116" s="489"/>
      <c r="N116" s="489"/>
      <c r="O116" s="488"/>
      <c r="P116" s="487"/>
    </row>
    <row r="117" spans="2:16" s="420" customFormat="1" ht="14.45" customHeight="1" x14ac:dyDescent="0.2">
      <c r="B117" s="937"/>
      <c r="C117" s="1253"/>
      <c r="D117" s="482"/>
      <c r="E117" s="483">
        <v>1</v>
      </c>
      <c r="F117" s="484"/>
      <c r="G117" s="485"/>
      <c r="H117" s="486">
        <f t="shared" si="14"/>
        <v>0</v>
      </c>
      <c r="I117" s="487"/>
      <c r="J117" s="488"/>
      <c r="K117" s="489"/>
      <c r="L117" s="489"/>
      <c r="M117" s="489"/>
      <c r="N117" s="489"/>
      <c r="O117" s="488"/>
      <c r="P117" s="487"/>
    </row>
    <row r="118" spans="2:16" s="420" customFormat="1" ht="14.45" customHeight="1" x14ac:dyDescent="0.2">
      <c r="B118" s="937"/>
      <c r="C118" s="1253"/>
      <c r="D118" s="482"/>
      <c r="E118" s="483">
        <v>1</v>
      </c>
      <c r="F118" s="484"/>
      <c r="G118" s="485"/>
      <c r="H118" s="486">
        <f t="shared" si="14"/>
        <v>0</v>
      </c>
      <c r="I118" s="487"/>
      <c r="J118" s="488"/>
      <c r="K118" s="489"/>
      <c r="L118" s="489"/>
      <c r="M118" s="489"/>
      <c r="N118" s="489"/>
      <c r="O118" s="488"/>
      <c r="P118" s="487"/>
    </row>
    <row r="119" spans="2:16" s="420" customFormat="1" ht="14.45" customHeight="1" x14ac:dyDescent="0.2">
      <c r="B119" s="937"/>
      <c r="C119" s="1253"/>
      <c r="D119" s="482"/>
      <c r="E119" s="483">
        <v>1</v>
      </c>
      <c r="F119" s="484"/>
      <c r="G119" s="485"/>
      <c r="H119" s="486">
        <f t="shared" si="14"/>
        <v>0</v>
      </c>
      <c r="I119" s="487"/>
      <c r="J119" s="488"/>
      <c r="K119" s="489"/>
      <c r="L119" s="489"/>
      <c r="M119" s="489"/>
      <c r="N119" s="489"/>
      <c r="O119" s="488"/>
      <c r="P119" s="487"/>
    </row>
    <row r="120" spans="2:16" s="420" customFormat="1" ht="14.45" customHeight="1" x14ac:dyDescent="0.2">
      <c r="B120" s="937"/>
      <c r="C120" s="1253"/>
      <c r="D120" s="482"/>
      <c r="E120" s="483">
        <v>1</v>
      </c>
      <c r="F120" s="484"/>
      <c r="G120" s="485"/>
      <c r="H120" s="486">
        <f t="shared" si="14"/>
        <v>0</v>
      </c>
      <c r="I120" s="487"/>
      <c r="J120" s="488"/>
      <c r="K120" s="489"/>
      <c r="L120" s="489"/>
      <c r="M120" s="489"/>
      <c r="N120" s="489"/>
      <c r="O120" s="488"/>
      <c r="P120" s="487"/>
    </row>
    <row r="121" spans="2:16" s="420" customFormat="1" ht="14.45" customHeight="1" x14ac:dyDescent="0.2">
      <c r="B121" s="937"/>
      <c r="C121" s="1253"/>
      <c r="D121" s="482" t="s">
        <v>658</v>
      </c>
      <c r="E121" s="483"/>
      <c r="F121" s="484"/>
      <c r="G121" s="485"/>
      <c r="H121" s="486">
        <f t="shared" si="14"/>
        <v>0</v>
      </c>
      <c r="I121" s="487">
        <f>SUM(H115:H121)</f>
        <v>5000</v>
      </c>
      <c r="J121" s="488">
        <f>I121*$J$5</f>
        <v>650</v>
      </c>
      <c r="K121" s="489">
        <f>SUM(I121:J121)*$K$5</f>
        <v>254.25</v>
      </c>
      <c r="L121" s="489">
        <f>SUM(I121:K121)*$L$5</f>
        <v>324.73374999999999</v>
      </c>
      <c r="M121" s="489">
        <f>SUM(I121:L121)*$M$5</f>
        <v>373.73902500000003</v>
      </c>
      <c r="N121" s="489">
        <f>SUM(I121:M121)*$N$5</f>
        <v>660.27227750000009</v>
      </c>
      <c r="O121" s="488">
        <f>SUM(I121:N121)</f>
        <v>7262.9950525000004</v>
      </c>
      <c r="P121" s="487">
        <f>ROUND(O121,-3)</f>
        <v>7000</v>
      </c>
    </row>
    <row r="122" spans="2:16" s="420" customFormat="1" ht="14.45" customHeight="1" x14ac:dyDescent="0.2">
      <c r="B122" s="937"/>
      <c r="C122" s="1253"/>
      <c r="D122" s="482"/>
      <c r="E122" s="483"/>
      <c r="F122" s="484"/>
      <c r="G122" s="485"/>
      <c r="H122" s="486"/>
      <c r="I122" s="487"/>
      <c r="J122" s="488"/>
      <c r="K122" s="489"/>
      <c r="L122" s="489"/>
      <c r="M122" s="489"/>
      <c r="N122" s="489"/>
      <c r="O122" s="488"/>
      <c r="P122" s="487"/>
    </row>
    <row r="123" spans="2:16" s="420" customFormat="1" ht="14.45" customHeight="1" x14ac:dyDescent="0.2">
      <c r="B123" s="937"/>
      <c r="C123" s="1253"/>
      <c r="D123" s="482" t="s">
        <v>557</v>
      </c>
      <c r="E123" s="483">
        <v>1</v>
      </c>
      <c r="F123" s="484"/>
      <c r="G123" s="485">
        <v>25000</v>
      </c>
      <c r="H123" s="486">
        <f>E123*G123</f>
        <v>25000</v>
      </c>
      <c r="I123" s="487"/>
      <c r="J123" s="488"/>
      <c r="K123" s="489"/>
      <c r="L123" s="489"/>
      <c r="M123" s="489"/>
      <c r="N123" s="489"/>
      <c r="O123" s="488"/>
      <c r="P123" s="487"/>
    </row>
    <row r="124" spans="2:16" s="420" customFormat="1" ht="14.45" customHeight="1" x14ac:dyDescent="0.2">
      <c r="B124" s="937"/>
      <c r="C124" s="1253"/>
      <c r="D124" s="482"/>
      <c r="E124" s="483">
        <v>1</v>
      </c>
      <c r="F124" s="484"/>
      <c r="G124" s="485"/>
      <c r="H124" s="486">
        <f>E124*G124</f>
        <v>0</v>
      </c>
      <c r="I124" s="487"/>
      <c r="J124" s="488"/>
      <c r="K124" s="489"/>
      <c r="L124" s="489"/>
      <c r="M124" s="489"/>
      <c r="N124" s="489"/>
      <c r="O124" s="488"/>
      <c r="P124" s="487"/>
    </row>
    <row r="125" spans="2:16" s="420" customFormat="1" ht="14.45" customHeight="1" x14ac:dyDescent="0.2">
      <c r="B125" s="937"/>
      <c r="C125" s="1253"/>
      <c r="D125" s="482"/>
      <c r="E125" s="483">
        <v>1</v>
      </c>
      <c r="F125" s="484"/>
      <c r="G125" s="485"/>
      <c r="H125" s="486">
        <f>E125*G125</f>
        <v>0</v>
      </c>
      <c r="I125" s="487"/>
      <c r="J125" s="488"/>
      <c r="K125" s="489"/>
      <c r="L125" s="489"/>
      <c r="M125" s="489"/>
      <c r="N125" s="489"/>
      <c r="O125" s="488"/>
      <c r="P125" s="487"/>
    </row>
    <row r="126" spans="2:16" s="420" customFormat="1" ht="14.45" customHeight="1" x14ac:dyDescent="0.2">
      <c r="B126" s="937"/>
      <c r="C126" s="1253"/>
      <c r="D126" s="482"/>
      <c r="E126" s="483">
        <v>1</v>
      </c>
      <c r="F126" s="484"/>
      <c r="G126" s="485"/>
      <c r="H126" s="486">
        <f>E126*G126</f>
        <v>0</v>
      </c>
      <c r="I126" s="487"/>
      <c r="J126" s="488"/>
      <c r="K126" s="489"/>
      <c r="L126" s="489"/>
      <c r="M126" s="489"/>
      <c r="N126" s="489"/>
      <c r="O126" s="488"/>
      <c r="P126" s="487"/>
    </row>
    <row r="127" spans="2:16" s="420" customFormat="1" ht="14.45" customHeight="1" x14ac:dyDescent="0.2">
      <c r="B127" s="937"/>
      <c r="C127" s="1253"/>
      <c r="D127" s="482"/>
      <c r="E127" s="483">
        <v>1</v>
      </c>
      <c r="F127" s="484"/>
      <c r="G127" s="485"/>
      <c r="H127" s="486">
        <f>E127*G127</f>
        <v>0</v>
      </c>
      <c r="I127" s="487"/>
      <c r="J127" s="488"/>
      <c r="K127" s="489"/>
      <c r="L127" s="489"/>
      <c r="M127" s="489"/>
      <c r="N127" s="489"/>
      <c r="O127" s="488"/>
      <c r="P127" s="487"/>
    </row>
    <row r="128" spans="2:16" s="420" customFormat="1" ht="14.45" customHeight="1" x14ac:dyDescent="0.2">
      <c r="B128" s="937"/>
      <c r="C128" s="1253"/>
      <c r="D128" s="482" t="s">
        <v>658</v>
      </c>
      <c r="E128" s="483">
        <v>1</v>
      </c>
      <c r="F128" s="484"/>
      <c r="G128" s="485"/>
      <c r="H128" s="486">
        <f t="shared" ref="H128" si="15">E128*G128</f>
        <v>0</v>
      </c>
      <c r="I128" s="487">
        <f>SUM(H122:H128)</f>
        <v>25000</v>
      </c>
      <c r="J128" s="488">
        <f>I128*$J$5</f>
        <v>3250</v>
      </c>
      <c r="K128" s="489">
        <f>SUM(I128:J128)*$K$5</f>
        <v>1271.25</v>
      </c>
      <c r="L128" s="489">
        <f>SUM(I128:K128)*$L$5</f>
        <v>1623.66875</v>
      </c>
      <c r="M128" s="489">
        <f>SUM(I128:L128)*$M$5</f>
        <v>1868.695125</v>
      </c>
      <c r="N128" s="489">
        <f>SUM(I128:M128)*$N$5</f>
        <v>3301.3613875000005</v>
      </c>
      <c r="O128" s="488">
        <f>SUM(I128:N128)</f>
        <v>36314.975262500004</v>
      </c>
      <c r="P128" s="487">
        <f>ROUND(O128,-3)</f>
        <v>36000</v>
      </c>
    </row>
    <row r="129" spans="2:16" s="420" customFormat="1" ht="15" customHeight="1" thickBot="1" x14ac:dyDescent="0.25">
      <c r="B129" s="938"/>
      <c r="C129" s="1254"/>
      <c r="D129" s="444"/>
      <c r="E129" s="445"/>
      <c r="F129" s="446"/>
      <c r="G129" s="447"/>
      <c r="H129" s="448"/>
      <c r="I129" s="449"/>
      <c r="J129" s="450"/>
      <c r="K129" s="451"/>
      <c r="L129" s="451"/>
      <c r="M129" s="451"/>
      <c r="N129" s="451"/>
      <c r="O129" s="450"/>
      <c r="P129" s="449"/>
    </row>
  </sheetData>
  <mergeCells count="9">
    <mergeCell ref="C70:C84"/>
    <mergeCell ref="C85:C99"/>
    <mergeCell ref="C100:C114"/>
    <mergeCell ref="C115:C129"/>
    <mergeCell ref="B2:P3"/>
    <mergeCell ref="C6:C20"/>
    <mergeCell ref="C21:C35"/>
    <mergeCell ref="C36:C52"/>
    <mergeCell ref="C53:C69"/>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5541-D375-48AE-86E4-E6F4D3EF9C88}">
  <sheetPr>
    <tabColor theme="7" tint="0.59999389629810485"/>
  </sheetPr>
  <dimension ref="B2:P65"/>
  <sheetViews>
    <sheetView zoomScale="145" zoomScaleNormal="145" workbookViewId="0">
      <selection activeCell="G47" sqref="G47"/>
    </sheetView>
  </sheetViews>
  <sheetFormatPr defaultRowHeight="15" x14ac:dyDescent="0.25"/>
  <cols>
    <col min="1" max="1" width="3" customWidth="1"/>
    <col min="2" max="2" width="33.140625" style="14" customWidth="1"/>
    <col min="3" max="3" width="36.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6" ht="15.6" customHeight="1" x14ac:dyDescent="0.25">
      <c r="B2" s="1243" t="str" cm="1">
        <f t="array" aca="1" ref="B2" ca="1">MID(CELL("filename",A1),FIND("]",CELL("filename",A1))+1,256)</f>
        <v>Hazardous Materials</v>
      </c>
      <c r="C2" s="1244"/>
      <c r="D2" s="1244"/>
      <c r="E2" s="1244"/>
      <c r="F2" s="1244"/>
      <c r="G2" s="1244"/>
      <c r="H2" s="1244"/>
      <c r="I2" s="1244"/>
      <c r="J2" s="1244"/>
      <c r="K2" s="1244"/>
      <c r="L2" s="1244"/>
      <c r="M2" s="1244"/>
      <c r="N2" s="1244"/>
      <c r="O2" s="1244"/>
      <c r="P2" s="1284"/>
    </row>
    <row r="3" spans="2:16" ht="15" customHeight="1" thickBot="1" x14ac:dyDescent="0.3">
      <c r="B3" s="1246"/>
      <c r="C3" s="1247"/>
      <c r="D3" s="1247"/>
      <c r="E3" s="1247"/>
      <c r="F3" s="1247"/>
      <c r="G3" s="1247"/>
      <c r="H3" s="1247"/>
      <c r="I3" s="1247"/>
      <c r="J3" s="1247"/>
      <c r="K3" s="1247"/>
      <c r="L3" s="1247"/>
      <c r="M3" s="1247"/>
      <c r="N3" s="1247"/>
      <c r="O3" s="1247"/>
      <c r="P3" s="1285"/>
    </row>
    <row r="4" spans="2:16"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6"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6" s="420" customFormat="1" ht="22.5" customHeight="1" x14ac:dyDescent="0.2">
      <c r="B6" s="962" t="str">
        <f>'Detailed Matrix'!E215</f>
        <v>Identification of Hazardous Materials</v>
      </c>
      <c r="C6" s="1316" t="str">
        <f>'Detailed Matrix'!F215</f>
        <v xml:space="preserve">Identify potentially harmful products e.g. glues and propose non-hazardous solutions.Collation of product data sheets. </v>
      </c>
      <c r="D6" s="492" t="s">
        <v>556</v>
      </c>
      <c r="E6" s="493">
        <v>1</v>
      </c>
      <c r="F6" s="494"/>
      <c r="G6" s="495">
        <v>2500</v>
      </c>
      <c r="H6" s="496">
        <f t="shared" ref="H6:H12" si="0">E6*G6</f>
        <v>2500</v>
      </c>
      <c r="I6" s="497"/>
      <c r="J6" s="498"/>
      <c r="K6" s="499"/>
      <c r="L6" s="499"/>
      <c r="M6" s="499"/>
      <c r="N6" s="499"/>
      <c r="O6" s="498"/>
      <c r="P6" s="497"/>
    </row>
    <row r="7" spans="2:16" s="420" customFormat="1" ht="14.45" customHeight="1" x14ac:dyDescent="0.2">
      <c r="B7" s="963"/>
      <c r="C7" s="1317"/>
      <c r="D7" s="500"/>
      <c r="E7" s="501">
        <v>1</v>
      </c>
      <c r="F7" s="502"/>
      <c r="G7" s="503"/>
      <c r="H7" s="504">
        <f t="shared" si="0"/>
        <v>0</v>
      </c>
      <c r="I7" s="505"/>
      <c r="J7" s="506"/>
      <c r="K7" s="507"/>
      <c r="L7" s="507"/>
      <c r="M7" s="507"/>
      <c r="N7" s="507"/>
      <c r="O7" s="506"/>
      <c r="P7" s="505"/>
    </row>
    <row r="8" spans="2:16" s="420" customFormat="1" ht="14.45" customHeight="1" x14ac:dyDescent="0.2">
      <c r="B8" s="963"/>
      <c r="C8" s="1317"/>
      <c r="D8" s="500"/>
      <c r="E8" s="501">
        <v>1</v>
      </c>
      <c r="F8" s="502"/>
      <c r="G8" s="503"/>
      <c r="H8" s="504">
        <f t="shared" si="0"/>
        <v>0</v>
      </c>
      <c r="I8" s="505"/>
      <c r="J8" s="506"/>
      <c r="K8" s="507"/>
      <c r="L8" s="507"/>
      <c r="M8" s="507"/>
      <c r="N8" s="507"/>
      <c r="O8" s="506"/>
      <c r="P8" s="505"/>
    </row>
    <row r="9" spans="2:16" s="420" customFormat="1" ht="14.45" customHeight="1" x14ac:dyDescent="0.2">
      <c r="B9" s="963"/>
      <c r="C9" s="1317"/>
      <c r="D9" s="500"/>
      <c r="E9" s="501">
        <v>1</v>
      </c>
      <c r="F9" s="502"/>
      <c r="G9" s="503"/>
      <c r="H9" s="504">
        <f t="shared" si="0"/>
        <v>0</v>
      </c>
      <c r="I9" s="505"/>
      <c r="J9" s="506"/>
      <c r="K9" s="507"/>
      <c r="L9" s="507"/>
      <c r="M9" s="507"/>
      <c r="N9" s="507"/>
      <c r="O9" s="506"/>
      <c r="P9" s="505"/>
    </row>
    <row r="10" spans="2:16" s="420" customFormat="1" ht="14.45" customHeight="1" x14ac:dyDescent="0.2">
      <c r="B10" s="963"/>
      <c r="C10" s="1317"/>
      <c r="D10" s="500"/>
      <c r="E10" s="501">
        <v>1</v>
      </c>
      <c r="F10" s="502"/>
      <c r="G10" s="503"/>
      <c r="H10" s="504">
        <f t="shared" si="0"/>
        <v>0</v>
      </c>
      <c r="I10" s="505"/>
      <c r="J10" s="506"/>
      <c r="K10" s="507"/>
      <c r="L10" s="507"/>
      <c r="M10" s="507"/>
      <c r="N10" s="507"/>
      <c r="O10" s="506"/>
      <c r="P10" s="505"/>
    </row>
    <row r="11" spans="2:16" s="420" customFormat="1" ht="14.45" customHeight="1" x14ac:dyDescent="0.2">
      <c r="B11" s="963"/>
      <c r="C11" s="1317"/>
      <c r="D11" s="500"/>
      <c r="E11" s="501">
        <v>1</v>
      </c>
      <c r="F11" s="502"/>
      <c r="G11" s="503"/>
      <c r="H11" s="504">
        <f t="shared" si="0"/>
        <v>0</v>
      </c>
      <c r="I11" s="505"/>
      <c r="J11" s="506"/>
      <c r="K11" s="507"/>
      <c r="L11" s="507"/>
      <c r="M11" s="507"/>
      <c r="N11" s="507"/>
      <c r="O11" s="506"/>
      <c r="P11" s="505"/>
    </row>
    <row r="12" spans="2:16" s="420" customFormat="1" ht="14.45" customHeight="1" x14ac:dyDescent="0.2">
      <c r="B12" s="963"/>
      <c r="C12" s="1317"/>
      <c r="D12" s="500" t="s">
        <v>581</v>
      </c>
      <c r="E12" s="501"/>
      <c r="F12" s="502"/>
      <c r="G12" s="503"/>
      <c r="H12" s="504">
        <f t="shared" si="0"/>
        <v>0</v>
      </c>
      <c r="I12" s="505">
        <f>SUM(H6:H12)</f>
        <v>2500</v>
      </c>
      <c r="J12" s="506">
        <f>I12*$J$5</f>
        <v>325</v>
      </c>
      <c r="K12" s="507">
        <f>SUM(I12:J12)*$K$5</f>
        <v>127.125</v>
      </c>
      <c r="L12" s="507">
        <f>SUM(I12:K12)*$L$5</f>
        <v>162.36687499999999</v>
      </c>
      <c r="M12" s="507">
        <f>SUM(I12:L12)*$M$5</f>
        <v>186.86951250000001</v>
      </c>
      <c r="N12" s="507">
        <f>SUM(I12:M12)*$N$5</f>
        <v>330.13613875000004</v>
      </c>
      <c r="O12" s="506">
        <f>SUM(I12:N12)</f>
        <v>3631.4975262500002</v>
      </c>
      <c r="P12" s="505">
        <f>ROUND(O12,-3)</f>
        <v>4000</v>
      </c>
    </row>
    <row r="13" spans="2:16" s="420" customFormat="1" ht="14.45" customHeight="1" x14ac:dyDescent="0.2">
      <c r="B13" s="963"/>
      <c r="C13" s="1317"/>
      <c r="D13" s="500"/>
      <c r="E13" s="501"/>
      <c r="F13" s="502"/>
      <c r="G13" s="503"/>
      <c r="H13" s="504"/>
      <c r="I13" s="505"/>
      <c r="J13" s="506"/>
      <c r="K13" s="507"/>
      <c r="L13" s="507"/>
      <c r="M13" s="507"/>
      <c r="N13" s="507"/>
      <c r="O13" s="506"/>
      <c r="P13" s="505"/>
    </row>
    <row r="14" spans="2:16" s="420" customFormat="1" ht="14.45" customHeight="1" x14ac:dyDescent="0.2">
      <c r="B14" s="963"/>
      <c r="C14" s="1317"/>
      <c r="D14" s="500" t="s">
        <v>557</v>
      </c>
      <c r="E14" s="501">
        <v>1</v>
      </c>
      <c r="F14" s="502"/>
      <c r="G14" s="503">
        <v>10000</v>
      </c>
      <c r="H14" s="504">
        <f>E14*G14</f>
        <v>10000</v>
      </c>
      <c r="I14" s="505"/>
      <c r="J14" s="506"/>
      <c r="K14" s="507"/>
      <c r="L14" s="507"/>
      <c r="M14" s="507"/>
      <c r="N14" s="507"/>
      <c r="O14" s="506"/>
      <c r="P14" s="505"/>
    </row>
    <row r="15" spans="2:16" s="420" customFormat="1" ht="14.45" customHeight="1" x14ac:dyDescent="0.2">
      <c r="B15" s="963"/>
      <c r="C15" s="1317"/>
      <c r="D15" s="500"/>
      <c r="E15" s="501">
        <v>1</v>
      </c>
      <c r="F15" s="502"/>
      <c r="G15" s="503"/>
      <c r="H15" s="504">
        <f>E15*G15</f>
        <v>0</v>
      </c>
      <c r="I15" s="505"/>
      <c r="J15" s="506"/>
      <c r="K15" s="507"/>
      <c r="L15" s="507"/>
      <c r="M15" s="507"/>
      <c r="N15" s="507"/>
      <c r="O15" s="506"/>
      <c r="P15" s="505"/>
    </row>
    <row r="16" spans="2:16" s="420" customFormat="1" ht="14.45" customHeight="1" x14ac:dyDescent="0.2">
      <c r="B16" s="963"/>
      <c r="C16" s="1317"/>
      <c r="D16" s="500"/>
      <c r="E16" s="501">
        <v>1</v>
      </c>
      <c r="F16" s="502"/>
      <c r="G16" s="503"/>
      <c r="H16" s="504">
        <f>E16*G16</f>
        <v>0</v>
      </c>
      <c r="I16" s="505"/>
      <c r="J16" s="506"/>
      <c r="K16" s="507"/>
      <c r="L16" s="507"/>
      <c r="M16" s="507"/>
      <c r="N16" s="507"/>
      <c r="O16" s="506"/>
      <c r="P16" s="505"/>
    </row>
    <row r="17" spans="2:16" s="420" customFormat="1" ht="14.45" customHeight="1" x14ac:dyDescent="0.2">
      <c r="B17" s="963"/>
      <c r="C17" s="1317"/>
      <c r="D17" s="500"/>
      <c r="E17" s="501">
        <v>1</v>
      </c>
      <c r="F17" s="502"/>
      <c r="G17" s="503"/>
      <c r="H17" s="504">
        <f>E17*G17</f>
        <v>0</v>
      </c>
      <c r="I17" s="505"/>
      <c r="J17" s="506"/>
      <c r="K17" s="507"/>
      <c r="L17" s="507"/>
      <c r="M17" s="507"/>
      <c r="N17" s="507"/>
      <c r="O17" s="506"/>
      <c r="P17" s="505"/>
    </row>
    <row r="18" spans="2:16" s="420" customFormat="1" ht="14.45" customHeight="1" x14ac:dyDescent="0.2">
      <c r="B18" s="963"/>
      <c r="C18" s="1317"/>
      <c r="D18" s="500"/>
      <c r="E18" s="501">
        <v>1</v>
      </c>
      <c r="F18" s="502"/>
      <c r="G18" s="503"/>
      <c r="H18" s="504">
        <f>E18*G18</f>
        <v>0</v>
      </c>
      <c r="I18" s="505"/>
      <c r="J18" s="506"/>
      <c r="K18" s="507"/>
      <c r="L18" s="507"/>
      <c r="M18" s="507"/>
      <c r="N18" s="507"/>
      <c r="O18" s="506"/>
      <c r="P18" s="505"/>
    </row>
    <row r="19" spans="2:16" s="420" customFormat="1" ht="14.45" customHeight="1" x14ac:dyDescent="0.2">
      <c r="B19" s="963"/>
      <c r="C19" s="1317"/>
      <c r="D19" s="500" t="s">
        <v>581</v>
      </c>
      <c r="E19" s="501">
        <v>1</v>
      </c>
      <c r="F19" s="502"/>
      <c r="G19" s="503"/>
      <c r="H19" s="504">
        <f t="shared" ref="H19" si="1">E19*G19</f>
        <v>0</v>
      </c>
      <c r="I19" s="505">
        <f>SUM(H13:H19)</f>
        <v>10000</v>
      </c>
      <c r="J19" s="506">
        <f>I19*$J$5</f>
        <v>1300</v>
      </c>
      <c r="K19" s="507">
        <f>SUM(I19:J19)*$K$5</f>
        <v>508.5</v>
      </c>
      <c r="L19" s="507">
        <f>SUM(I19:K19)*$L$5</f>
        <v>649.46749999999997</v>
      </c>
      <c r="M19" s="507">
        <f>SUM(I19:L19)*$M$5</f>
        <v>747.47805000000005</v>
      </c>
      <c r="N19" s="507">
        <f>SUM(I19:M19)*$N$5</f>
        <v>1320.5445550000002</v>
      </c>
      <c r="O19" s="506">
        <f>SUM(I19:N19)</f>
        <v>14525.990105000001</v>
      </c>
      <c r="P19" s="505">
        <f>ROUND(O19,-3)</f>
        <v>15000</v>
      </c>
    </row>
    <row r="20" spans="2:16" s="420" customFormat="1" ht="15" customHeight="1" thickBot="1" x14ac:dyDescent="0.25">
      <c r="B20" s="964"/>
      <c r="C20" s="1318"/>
      <c r="D20" s="516"/>
      <c r="E20" s="517"/>
      <c r="F20" s="518"/>
      <c r="G20" s="519"/>
      <c r="H20" s="520"/>
      <c r="I20" s="521"/>
      <c r="J20" s="522"/>
      <c r="K20" s="523"/>
      <c r="L20" s="523"/>
      <c r="M20" s="523"/>
      <c r="N20" s="523"/>
      <c r="O20" s="522"/>
      <c r="P20" s="521"/>
    </row>
    <row r="21" spans="2:16" s="426" customFormat="1" ht="22.5" customHeight="1" x14ac:dyDescent="0.2">
      <c r="B21" s="936" t="str">
        <f>'Detailed Matrix'!E216</f>
        <v>Exclusion of identified hazardous materials from specification</v>
      </c>
      <c r="C21" s="1252" t="str">
        <f>'Detailed Matrix'!F216</f>
        <v xml:space="preserve">Stage 01 - Develop materials specification to exclude a significant proportion of identified hazardous substances. </v>
      </c>
      <c r="D21" s="427" t="s">
        <v>556</v>
      </c>
      <c r="E21" s="428">
        <v>1</v>
      </c>
      <c r="F21" s="429"/>
      <c r="G21" s="430"/>
      <c r="H21" s="431">
        <f t="shared" ref="H21:H27" si="2">E21*G21</f>
        <v>0</v>
      </c>
      <c r="I21" s="432"/>
      <c r="J21" s="433"/>
      <c r="K21" s="434"/>
      <c r="L21" s="434"/>
      <c r="M21" s="434"/>
      <c r="N21" s="434"/>
      <c r="O21" s="433"/>
      <c r="P21" s="432"/>
    </row>
    <row r="22" spans="2:16" s="426" customFormat="1" ht="14.45" customHeight="1" x14ac:dyDescent="0.2">
      <c r="B22" s="937"/>
      <c r="C22" s="1253"/>
      <c r="D22" s="482"/>
      <c r="E22" s="483">
        <v>1</v>
      </c>
      <c r="F22" s="484"/>
      <c r="G22" s="485"/>
      <c r="H22" s="486">
        <f t="shared" si="2"/>
        <v>0</v>
      </c>
      <c r="I22" s="487"/>
      <c r="J22" s="488"/>
      <c r="K22" s="489"/>
      <c r="L22" s="489"/>
      <c r="M22" s="489"/>
      <c r="N22" s="489"/>
      <c r="O22" s="488"/>
      <c r="P22" s="487"/>
    </row>
    <row r="23" spans="2:16" s="426" customFormat="1" ht="14.45" customHeight="1" x14ac:dyDescent="0.2">
      <c r="B23" s="937"/>
      <c r="C23" s="1253"/>
      <c r="D23" s="482" t="s">
        <v>659</v>
      </c>
      <c r="E23" s="483">
        <v>1</v>
      </c>
      <c r="F23" s="484" t="s">
        <v>576</v>
      </c>
      <c r="G23" s="485">
        <v>10000</v>
      </c>
      <c r="H23" s="486">
        <f t="shared" si="2"/>
        <v>10000</v>
      </c>
      <c r="I23" s="487"/>
      <c r="J23" s="488"/>
      <c r="K23" s="489"/>
      <c r="L23" s="489"/>
      <c r="M23" s="489"/>
      <c r="N23" s="489"/>
      <c r="O23" s="488"/>
      <c r="P23" s="487"/>
    </row>
    <row r="24" spans="2:16" s="426" customFormat="1" ht="14.45" customHeight="1" x14ac:dyDescent="0.2">
      <c r="B24" s="937"/>
      <c r="C24" s="1253"/>
      <c r="D24" s="482" t="s">
        <v>660</v>
      </c>
      <c r="E24" s="483">
        <f>'Key Data'!$B$12</f>
        <v>11688</v>
      </c>
      <c r="F24" s="484" t="s">
        <v>9</v>
      </c>
      <c r="G24" s="485">
        <v>0</v>
      </c>
      <c r="H24" s="486">
        <f t="shared" si="2"/>
        <v>0</v>
      </c>
      <c r="I24" s="487"/>
      <c r="J24" s="488"/>
      <c r="K24" s="489"/>
      <c r="L24" s="489"/>
      <c r="M24" s="489"/>
      <c r="N24" s="489"/>
      <c r="O24" s="488"/>
      <c r="P24" s="487"/>
    </row>
    <row r="25" spans="2:16" s="426" customFormat="1" ht="14.45" customHeight="1" x14ac:dyDescent="0.2">
      <c r="B25" s="937"/>
      <c r="C25" s="1253"/>
      <c r="D25" s="482"/>
      <c r="E25" s="483">
        <v>1</v>
      </c>
      <c r="F25" s="484"/>
      <c r="G25" s="485"/>
      <c r="H25" s="486">
        <f t="shared" si="2"/>
        <v>0</v>
      </c>
      <c r="I25" s="487"/>
      <c r="J25" s="488"/>
      <c r="K25" s="489"/>
      <c r="L25" s="489"/>
      <c r="M25" s="489"/>
      <c r="N25" s="489"/>
      <c r="O25" s="488"/>
      <c r="P25" s="487"/>
    </row>
    <row r="26" spans="2:16" s="426" customFormat="1" ht="14.45" customHeight="1" x14ac:dyDescent="0.2">
      <c r="B26" s="937"/>
      <c r="C26" s="1253"/>
      <c r="D26" s="482"/>
      <c r="E26" s="483">
        <v>1</v>
      </c>
      <c r="F26" s="484"/>
      <c r="G26" s="485"/>
      <c r="H26" s="486">
        <f t="shared" si="2"/>
        <v>0</v>
      </c>
      <c r="I26" s="487"/>
      <c r="J26" s="488"/>
      <c r="K26" s="489"/>
      <c r="L26" s="489"/>
      <c r="M26" s="489"/>
      <c r="N26" s="489"/>
      <c r="O26" s="488"/>
      <c r="P26" s="487"/>
    </row>
    <row r="27" spans="2:16" s="426" customFormat="1" ht="14.45" customHeight="1" x14ac:dyDescent="0.2">
      <c r="B27" s="937"/>
      <c r="C27" s="1253"/>
      <c r="D27" s="482" t="s">
        <v>661</v>
      </c>
      <c r="E27" s="483"/>
      <c r="F27" s="484"/>
      <c r="G27" s="485"/>
      <c r="H27" s="486">
        <f t="shared" si="2"/>
        <v>0</v>
      </c>
      <c r="I27" s="875">
        <f>SUM(H21:H27)</f>
        <v>10000</v>
      </c>
      <c r="J27" s="488">
        <f>I27*$J$5</f>
        <v>1300</v>
      </c>
      <c r="K27" s="489">
        <f>SUM(I27:J27)*$K$5</f>
        <v>508.5</v>
      </c>
      <c r="L27" s="489">
        <f>SUM(I27:K27)*$L$5</f>
        <v>649.46749999999997</v>
      </c>
      <c r="M27" s="489">
        <f>SUM(I27:L27)*$M$5</f>
        <v>747.47805000000005</v>
      </c>
      <c r="N27" s="489">
        <f>SUM(I27:M27)*$N$5</f>
        <v>1320.5445550000002</v>
      </c>
      <c r="O27" s="488">
        <f>SUM(I27:N27)</f>
        <v>14525.990105000001</v>
      </c>
      <c r="P27" s="487">
        <f>ROUND(O27,-3)</f>
        <v>15000</v>
      </c>
    </row>
    <row r="28" spans="2:16" s="426" customFormat="1" ht="14.45" customHeight="1" x14ac:dyDescent="0.2">
      <c r="B28" s="937"/>
      <c r="C28" s="1253"/>
      <c r="D28" s="482"/>
      <c r="E28" s="483"/>
      <c r="F28" s="484"/>
      <c r="G28" s="485"/>
      <c r="H28" s="486"/>
      <c r="I28" s="487"/>
      <c r="J28" s="488"/>
      <c r="K28" s="489"/>
      <c r="L28" s="489"/>
      <c r="M28" s="489"/>
      <c r="N28" s="489"/>
      <c r="O28" s="488"/>
      <c r="P28" s="487"/>
    </row>
    <row r="29" spans="2:16" s="426" customFormat="1" ht="14.45" customHeight="1" x14ac:dyDescent="0.2">
      <c r="B29" s="937"/>
      <c r="C29" s="1253"/>
      <c r="D29" s="482" t="s">
        <v>557</v>
      </c>
      <c r="E29" s="483">
        <v>1</v>
      </c>
      <c r="F29" s="484"/>
      <c r="G29" s="485"/>
      <c r="H29" s="486">
        <f>E29*G29</f>
        <v>0</v>
      </c>
      <c r="I29" s="487"/>
      <c r="J29" s="488"/>
      <c r="K29" s="489"/>
      <c r="L29" s="489"/>
      <c r="M29" s="489"/>
      <c r="N29" s="489"/>
      <c r="O29" s="488"/>
      <c r="P29" s="487"/>
    </row>
    <row r="30" spans="2:16" s="426" customFormat="1" ht="14.45" customHeight="1" x14ac:dyDescent="0.2">
      <c r="B30" s="937"/>
      <c r="C30" s="1253"/>
      <c r="D30" s="482" t="s">
        <v>659</v>
      </c>
      <c r="E30" s="483">
        <v>1</v>
      </c>
      <c r="F30" s="484" t="s">
        <v>576</v>
      </c>
      <c r="G30" s="485">
        <v>25000</v>
      </c>
      <c r="H30" s="486">
        <f t="shared" ref="H30:H31" si="3">E30*G30</f>
        <v>25000</v>
      </c>
      <c r="I30" s="487"/>
      <c r="J30" s="488"/>
      <c r="K30" s="489"/>
      <c r="L30" s="489"/>
      <c r="M30" s="489"/>
      <c r="N30" s="489"/>
      <c r="O30" s="488"/>
      <c r="P30" s="487"/>
    </row>
    <row r="31" spans="2:16" s="426" customFormat="1" ht="14.45" customHeight="1" x14ac:dyDescent="0.2">
      <c r="B31" s="937"/>
      <c r="C31" s="1253"/>
      <c r="D31" s="482" t="s">
        <v>660</v>
      </c>
      <c r="E31" s="483">
        <f>'Key Data'!$B$12</f>
        <v>11688</v>
      </c>
      <c r="F31" s="484" t="s">
        <v>9</v>
      </c>
      <c r="G31" s="485">
        <v>50</v>
      </c>
      <c r="H31" s="486">
        <f t="shared" si="3"/>
        <v>584400</v>
      </c>
      <c r="I31" s="487"/>
      <c r="J31" s="488"/>
      <c r="K31" s="489"/>
      <c r="L31" s="489"/>
      <c r="M31" s="489"/>
      <c r="N31" s="489"/>
      <c r="O31" s="488"/>
      <c r="P31" s="487"/>
    </row>
    <row r="32" spans="2:16" s="426" customFormat="1" ht="14.45" customHeight="1" x14ac:dyDescent="0.2">
      <c r="B32" s="937"/>
      <c r="C32" s="1253"/>
      <c r="D32" s="482"/>
      <c r="E32" s="483">
        <v>1</v>
      </c>
      <c r="F32" s="484"/>
      <c r="G32" s="485"/>
      <c r="H32" s="486">
        <f>E32*G32</f>
        <v>0</v>
      </c>
      <c r="I32" s="487"/>
      <c r="J32" s="488"/>
      <c r="K32" s="489"/>
      <c r="L32" s="489"/>
      <c r="M32" s="489"/>
      <c r="N32" s="489"/>
      <c r="O32" s="488"/>
      <c r="P32" s="487"/>
    </row>
    <row r="33" spans="2:16" s="426" customFormat="1" ht="14.45" customHeight="1" x14ac:dyDescent="0.2">
      <c r="B33" s="937"/>
      <c r="C33" s="1253"/>
      <c r="D33" s="482"/>
      <c r="E33" s="483">
        <v>1</v>
      </c>
      <c r="F33" s="484"/>
      <c r="G33" s="485"/>
      <c r="H33" s="486">
        <f>E33*G33</f>
        <v>0</v>
      </c>
      <c r="I33" s="487"/>
      <c r="J33" s="488"/>
      <c r="K33" s="489"/>
      <c r="L33" s="489"/>
      <c r="M33" s="489"/>
      <c r="N33" s="489"/>
      <c r="O33" s="488"/>
      <c r="P33" s="487"/>
    </row>
    <row r="34" spans="2:16" s="426" customFormat="1" ht="14.45" customHeight="1" x14ac:dyDescent="0.2">
      <c r="B34" s="937"/>
      <c r="C34" s="1253"/>
      <c r="D34" s="482" t="s">
        <v>661</v>
      </c>
      <c r="E34" s="483">
        <v>1</v>
      </c>
      <c r="F34" s="484"/>
      <c r="G34" s="485"/>
      <c r="H34" s="486">
        <f t="shared" ref="H34" si="4">E34*G34</f>
        <v>0</v>
      </c>
      <c r="I34" s="905">
        <f>SUM(H28:H34)</f>
        <v>609400</v>
      </c>
      <c r="J34" s="488">
        <f>I34*$J$5</f>
        <v>79222</v>
      </c>
      <c r="K34" s="489">
        <f>SUM(I34:J34)*$K$5</f>
        <v>30987.989999999998</v>
      </c>
      <c r="L34" s="489">
        <f>SUM(I34:K34)*$L$5</f>
        <v>39578.549449999999</v>
      </c>
      <c r="M34" s="489">
        <f>SUM(I34:L34)*$M$5</f>
        <v>45551.312366999999</v>
      </c>
      <c r="N34" s="489">
        <f>SUM(I34:M34)*$N$5</f>
        <v>80473.985181700016</v>
      </c>
      <c r="O34" s="488">
        <f>SUM(I34:N34)</f>
        <v>885213.83699870005</v>
      </c>
      <c r="P34" s="487">
        <f>ROUND(O34,-3)</f>
        <v>885000</v>
      </c>
    </row>
    <row r="35" spans="2:16" s="426" customFormat="1" ht="15" customHeight="1" thickBot="1" x14ac:dyDescent="0.25">
      <c r="B35" s="938"/>
      <c r="C35" s="1254"/>
      <c r="D35" s="444"/>
      <c r="E35" s="445"/>
      <c r="F35" s="446"/>
      <c r="G35" s="447"/>
      <c r="H35" s="448"/>
      <c r="I35" s="449"/>
      <c r="J35" s="450"/>
      <c r="K35" s="451"/>
      <c r="L35" s="451"/>
      <c r="M35" s="451"/>
      <c r="N35" s="451"/>
      <c r="O35" s="450"/>
      <c r="P35" s="449"/>
    </row>
    <row r="36" spans="2:16" s="420" customFormat="1" ht="22.5" customHeight="1" x14ac:dyDescent="0.2">
      <c r="B36" s="936" t="str">
        <f>'Detailed Matrix'!E217</f>
        <v>Exclusion of identified hazardous materials from specification</v>
      </c>
      <c r="C36" s="1252" t="str">
        <f>'Detailed Matrix'!F217</f>
        <v xml:space="preserve">Stage 02 - Develop materials specification to exclude all identified hazardous substances. </v>
      </c>
      <c r="D36" s="427" t="s">
        <v>556</v>
      </c>
      <c r="E36" s="428">
        <v>1</v>
      </c>
      <c r="F36" s="429"/>
      <c r="G36" s="430"/>
      <c r="H36" s="431">
        <f t="shared" ref="H36:H42" si="5">E36*G36</f>
        <v>0</v>
      </c>
      <c r="I36" s="432"/>
      <c r="J36" s="433"/>
      <c r="K36" s="434"/>
      <c r="L36" s="434"/>
      <c r="M36" s="434"/>
      <c r="N36" s="434"/>
      <c r="O36" s="433"/>
      <c r="P36" s="432"/>
    </row>
    <row r="37" spans="2:16" s="420" customFormat="1" ht="14.45" customHeight="1" x14ac:dyDescent="0.2">
      <c r="B37" s="937"/>
      <c r="C37" s="1253"/>
      <c r="D37" s="482"/>
      <c r="E37" s="483">
        <v>1</v>
      </c>
      <c r="F37" s="484"/>
      <c r="G37" s="485"/>
      <c r="H37" s="486">
        <f t="shared" si="5"/>
        <v>0</v>
      </c>
      <c r="I37" s="487"/>
      <c r="J37" s="488"/>
      <c r="K37" s="489"/>
      <c r="L37" s="489"/>
      <c r="M37" s="489"/>
      <c r="N37" s="489"/>
      <c r="O37" s="488"/>
      <c r="P37" s="487"/>
    </row>
    <row r="38" spans="2:16" s="420" customFormat="1" ht="14.45" customHeight="1" x14ac:dyDescent="0.2">
      <c r="B38" s="937"/>
      <c r="C38" s="1253"/>
      <c r="D38" s="482" t="s">
        <v>659</v>
      </c>
      <c r="E38" s="483">
        <v>1</v>
      </c>
      <c r="F38" s="484" t="s">
        <v>576</v>
      </c>
      <c r="G38" s="485">
        <v>25000</v>
      </c>
      <c r="H38" s="486">
        <f t="shared" si="5"/>
        <v>25000</v>
      </c>
      <c r="I38" s="487"/>
      <c r="J38" s="488"/>
      <c r="K38" s="489"/>
      <c r="L38" s="489"/>
      <c r="M38" s="489"/>
      <c r="N38" s="489"/>
      <c r="O38" s="488"/>
      <c r="P38" s="487"/>
    </row>
    <row r="39" spans="2:16" s="420" customFormat="1" ht="14.45" customHeight="1" x14ac:dyDescent="0.2">
      <c r="B39" s="937"/>
      <c r="C39" s="1253"/>
      <c r="D39" s="482" t="s">
        <v>660</v>
      </c>
      <c r="E39" s="483">
        <f>'Key Data'!$B$12</f>
        <v>11688</v>
      </c>
      <c r="F39" s="484" t="s">
        <v>9</v>
      </c>
      <c r="G39" s="485">
        <v>0</v>
      </c>
      <c r="H39" s="486">
        <f t="shared" si="5"/>
        <v>0</v>
      </c>
      <c r="I39" s="487"/>
      <c r="J39" s="488"/>
      <c r="K39" s="489"/>
      <c r="L39" s="489"/>
      <c r="M39" s="489"/>
      <c r="N39" s="489"/>
      <c r="O39" s="488"/>
      <c r="P39" s="487"/>
    </row>
    <row r="40" spans="2:16" s="420" customFormat="1" ht="14.45" customHeight="1" x14ac:dyDescent="0.2">
      <c r="B40" s="937"/>
      <c r="C40" s="1253"/>
      <c r="D40" s="482"/>
      <c r="E40" s="483">
        <v>1</v>
      </c>
      <c r="F40" s="484"/>
      <c r="G40" s="485"/>
      <c r="H40" s="486">
        <f t="shared" si="5"/>
        <v>0</v>
      </c>
      <c r="I40" s="487"/>
      <c r="J40" s="488"/>
      <c r="K40" s="489"/>
      <c r="L40" s="489"/>
      <c r="M40" s="489"/>
      <c r="N40" s="489"/>
      <c r="O40" s="488"/>
      <c r="P40" s="487"/>
    </row>
    <row r="41" spans="2:16" s="420" customFormat="1" ht="14.45" customHeight="1" x14ac:dyDescent="0.2">
      <c r="B41" s="937"/>
      <c r="C41" s="1253"/>
      <c r="D41" s="482" t="s">
        <v>644</v>
      </c>
      <c r="E41" s="483">
        <v>-1</v>
      </c>
      <c r="F41" s="484"/>
      <c r="G41" s="485">
        <f>I27</f>
        <v>10000</v>
      </c>
      <c r="H41" s="486">
        <f t="shared" si="5"/>
        <v>-10000</v>
      </c>
      <c r="I41" s="487"/>
      <c r="J41" s="488"/>
      <c r="K41" s="489"/>
      <c r="L41" s="489"/>
      <c r="M41" s="489"/>
      <c r="N41" s="489"/>
      <c r="O41" s="488"/>
      <c r="P41" s="487"/>
    </row>
    <row r="42" spans="2:16" s="420" customFormat="1" ht="14.45" customHeight="1" x14ac:dyDescent="0.2">
      <c r="B42" s="937"/>
      <c r="C42" s="1253"/>
      <c r="D42" s="482" t="s">
        <v>661</v>
      </c>
      <c r="E42" s="483"/>
      <c r="F42" s="484"/>
      <c r="G42" s="485"/>
      <c r="H42" s="486">
        <f t="shared" si="5"/>
        <v>0</v>
      </c>
      <c r="I42" s="875">
        <f>SUM(H36:H42)</f>
        <v>15000</v>
      </c>
      <c r="J42" s="488">
        <f>I42*$J$5</f>
        <v>1950</v>
      </c>
      <c r="K42" s="489">
        <f>SUM(I42:J42)*$K$5</f>
        <v>762.75</v>
      </c>
      <c r="L42" s="489">
        <f>SUM(I42:K42)*$L$5</f>
        <v>974.20124999999996</v>
      </c>
      <c r="M42" s="489">
        <f>SUM(I42:L42)*$M$5</f>
        <v>1121.2170749999998</v>
      </c>
      <c r="N42" s="489">
        <f>SUM(I42:M42)*$N$5</f>
        <v>1980.8168324999999</v>
      </c>
      <c r="O42" s="488">
        <f>SUM(I42:N42)</f>
        <v>21788.985157499999</v>
      </c>
      <c r="P42" s="487">
        <f>ROUND(O42,-3)</f>
        <v>22000</v>
      </c>
    </row>
    <row r="43" spans="2:16" s="420" customFormat="1" ht="14.45" customHeight="1" x14ac:dyDescent="0.2">
      <c r="B43" s="937"/>
      <c r="C43" s="1253"/>
      <c r="D43" s="482"/>
      <c r="E43" s="483"/>
      <c r="F43" s="484"/>
      <c r="G43" s="485"/>
      <c r="H43" s="486"/>
      <c r="I43" s="487"/>
      <c r="J43" s="488"/>
      <c r="K43" s="489"/>
      <c r="L43" s="489"/>
      <c r="M43" s="489"/>
      <c r="N43" s="489"/>
      <c r="O43" s="488"/>
      <c r="P43" s="487"/>
    </row>
    <row r="44" spans="2:16" s="420" customFormat="1" ht="14.45" customHeight="1" x14ac:dyDescent="0.2">
      <c r="B44" s="937"/>
      <c r="C44" s="1253"/>
      <c r="D44" s="482" t="s">
        <v>557</v>
      </c>
      <c r="E44" s="483">
        <v>1</v>
      </c>
      <c r="F44" s="484"/>
      <c r="G44" s="485"/>
      <c r="H44" s="486">
        <f>E44*G44</f>
        <v>0</v>
      </c>
      <c r="I44" s="487"/>
      <c r="J44" s="488"/>
      <c r="K44" s="489"/>
      <c r="L44" s="489"/>
      <c r="M44" s="489"/>
      <c r="N44" s="489"/>
      <c r="O44" s="488"/>
      <c r="P44" s="487"/>
    </row>
    <row r="45" spans="2:16" s="420" customFormat="1" ht="14.45" customHeight="1" x14ac:dyDescent="0.2">
      <c r="B45" s="937"/>
      <c r="C45" s="1253"/>
      <c r="D45" s="482" t="s">
        <v>659</v>
      </c>
      <c r="E45" s="483">
        <v>1</v>
      </c>
      <c r="F45" s="484" t="s">
        <v>576</v>
      </c>
      <c r="G45" s="485">
        <v>50000</v>
      </c>
      <c r="H45" s="486">
        <f t="shared" ref="H45:H46" si="6">E45*G45</f>
        <v>50000</v>
      </c>
      <c r="I45" s="487"/>
      <c r="J45" s="488"/>
      <c r="K45" s="489"/>
      <c r="L45" s="489"/>
      <c r="M45" s="489"/>
      <c r="N45" s="489"/>
      <c r="O45" s="488"/>
      <c r="P45" s="487"/>
    </row>
    <row r="46" spans="2:16" s="420" customFormat="1" ht="14.45" customHeight="1" x14ac:dyDescent="0.2">
      <c r="B46" s="937"/>
      <c r="C46" s="1253"/>
      <c r="D46" s="482" t="s">
        <v>660</v>
      </c>
      <c r="E46" s="483">
        <f>'Key Data'!$B$12</f>
        <v>11688</v>
      </c>
      <c r="F46" s="484" t="s">
        <v>9</v>
      </c>
      <c r="G46" s="485">
        <v>150</v>
      </c>
      <c r="H46" s="486">
        <f t="shared" si="6"/>
        <v>1753200</v>
      </c>
      <c r="I46" s="487"/>
      <c r="J46" s="488"/>
      <c r="K46" s="489"/>
      <c r="L46" s="489"/>
      <c r="M46" s="489"/>
      <c r="N46" s="489"/>
      <c r="O46" s="488"/>
      <c r="P46" s="487"/>
    </row>
    <row r="47" spans="2:16" s="420" customFormat="1" ht="14.45" customHeight="1" x14ac:dyDescent="0.2">
      <c r="B47" s="937"/>
      <c r="C47" s="1253"/>
      <c r="D47" s="482"/>
      <c r="E47" s="483">
        <v>1</v>
      </c>
      <c r="F47" s="484"/>
      <c r="G47" s="485"/>
      <c r="H47" s="486">
        <f>E47*G47</f>
        <v>0</v>
      </c>
      <c r="I47" s="487"/>
      <c r="J47" s="488"/>
      <c r="K47" s="489"/>
      <c r="L47" s="489"/>
      <c r="M47" s="489"/>
      <c r="N47" s="489"/>
      <c r="O47" s="488"/>
      <c r="P47" s="487"/>
    </row>
    <row r="48" spans="2:16" s="420" customFormat="1" ht="14.45" customHeight="1" x14ac:dyDescent="0.2">
      <c r="B48" s="937"/>
      <c r="C48" s="1253"/>
      <c r="D48" s="482" t="s">
        <v>644</v>
      </c>
      <c r="E48" s="483">
        <v>-1</v>
      </c>
      <c r="F48" s="484"/>
      <c r="G48" s="485">
        <f>I34</f>
        <v>609400</v>
      </c>
      <c r="H48" s="486">
        <f>E48*G48</f>
        <v>-609400</v>
      </c>
      <c r="I48" s="487"/>
      <c r="J48" s="488"/>
      <c r="K48" s="489"/>
      <c r="L48" s="489"/>
      <c r="M48" s="489"/>
      <c r="N48" s="489"/>
      <c r="O48" s="488"/>
      <c r="P48" s="487"/>
    </row>
    <row r="49" spans="2:16" s="420" customFormat="1" ht="14.45" customHeight="1" x14ac:dyDescent="0.2">
      <c r="B49" s="937"/>
      <c r="C49" s="1253"/>
      <c r="D49" s="482" t="s">
        <v>661</v>
      </c>
      <c r="E49" s="483">
        <v>1</v>
      </c>
      <c r="F49" s="484"/>
      <c r="G49" s="485"/>
      <c r="H49" s="486">
        <f t="shared" ref="H49" si="7">E49*G49</f>
        <v>0</v>
      </c>
      <c r="I49" s="905">
        <f>SUM(H43:H49)</f>
        <v>1193800</v>
      </c>
      <c r="J49" s="488">
        <f>I49*$J$5</f>
        <v>155194</v>
      </c>
      <c r="K49" s="489">
        <f>SUM(I49:J49)*$K$5</f>
        <v>60704.729999999996</v>
      </c>
      <c r="L49" s="489">
        <f>SUM(I49:K49)*$L$5</f>
        <v>77533.43015</v>
      </c>
      <c r="M49" s="489">
        <f>SUM(I49:L49)*$M$5</f>
        <v>89233.929608999984</v>
      </c>
      <c r="N49" s="489">
        <f>SUM(I49:M49)*$N$5</f>
        <v>157646.60897589999</v>
      </c>
      <c r="O49" s="488">
        <f>SUM(I49:N49)</f>
        <v>1734112.6987349</v>
      </c>
      <c r="P49" s="487">
        <f>ROUND(O49,-3)</f>
        <v>1734000</v>
      </c>
    </row>
    <row r="50" spans="2:16" s="420" customFormat="1" ht="15" customHeight="1" thickBot="1" x14ac:dyDescent="0.25">
      <c r="B50" s="938"/>
      <c r="C50" s="1254"/>
      <c r="D50" s="444"/>
      <c r="E50" s="445"/>
      <c r="F50" s="446"/>
      <c r="G50" s="447"/>
      <c r="H50" s="448"/>
      <c r="I50" s="449"/>
      <c r="J50" s="450"/>
      <c r="K50" s="451"/>
      <c r="L50" s="451"/>
      <c r="M50" s="451"/>
      <c r="N50" s="451"/>
      <c r="O50" s="450"/>
      <c r="P50" s="449"/>
    </row>
    <row r="51" spans="2:16" s="426" customFormat="1" ht="21" customHeight="1" x14ac:dyDescent="0.2">
      <c r="B51" s="962" t="str">
        <f>'Detailed Matrix'!E218</f>
        <v>Building Management to exclude use of specific substances</v>
      </c>
      <c r="C51" s="1228" t="str">
        <f>'Detailed Matrix'!F218</f>
        <v xml:space="preserve">Building Management operations to implement a policy for exclusion of specific substances for product repairs and replacement, as well as for maintenance and cleaning products. </v>
      </c>
      <c r="D51" s="492" t="s">
        <v>556</v>
      </c>
      <c r="E51" s="493">
        <v>1</v>
      </c>
      <c r="F51" s="494"/>
      <c r="G51" s="495"/>
      <c r="H51" s="496">
        <f t="shared" ref="H51:H57" si="8">E51*G51</f>
        <v>0</v>
      </c>
      <c r="I51" s="497"/>
      <c r="J51" s="498"/>
      <c r="K51" s="499"/>
      <c r="L51" s="499"/>
      <c r="M51" s="499"/>
      <c r="N51" s="499"/>
      <c r="O51" s="498"/>
      <c r="P51" s="497"/>
    </row>
    <row r="52" spans="2:16" s="426" customFormat="1" ht="14.45" customHeight="1" x14ac:dyDescent="0.2">
      <c r="B52" s="963"/>
      <c r="C52" s="1229"/>
      <c r="D52" s="500"/>
      <c r="E52" s="501">
        <v>1</v>
      </c>
      <c r="F52" s="502"/>
      <c r="G52" s="503"/>
      <c r="H52" s="504">
        <f t="shared" si="8"/>
        <v>0</v>
      </c>
      <c r="I52" s="505"/>
      <c r="J52" s="506"/>
      <c r="K52" s="507"/>
      <c r="L52" s="507"/>
      <c r="M52" s="507"/>
      <c r="N52" s="507"/>
      <c r="O52" s="506"/>
      <c r="P52" s="505"/>
    </row>
    <row r="53" spans="2:16" s="426" customFormat="1" ht="14.45" customHeight="1" x14ac:dyDescent="0.2">
      <c r="B53" s="963"/>
      <c r="C53" s="1229"/>
      <c r="D53" s="500"/>
      <c r="E53" s="501">
        <v>1</v>
      </c>
      <c r="F53" s="502"/>
      <c r="G53" s="503"/>
      <c r="H53" s="504">
        <f t="shared" si="8"/>
        <v>0</v>
      </c>
      <c r="I53" s="505"/>
      <c r="J53" s="506"/>
      <c r="K53" s="507"/>
      <c r="L53" s="507"/>
      <c r="M53" s="507"/>
      <c r="N53" s="507"/>
      <c r="O53" s="506"/>
      <c r="P53" s="505"/>
    </row>
    <row r="54" spans="2:16" s="426" customFormat="1" ht="14.45" customHeight="1" x14ac:dyDescent="0.2">
      <c r="B54" s="963"/>
      <c r="C54" s="1229"/>
      <c r="D54" s="500"/>
      <c r="E54" s="501">
        <v>1</v>
      </c>
      <c r="F54" s="502"/>
      <c r="G54" s="503"/>
      <c r="H54" s="504">
        <f t="shared" si="8"/>
        <v>0</v>
      </c>
      <c r="I54" s="505"/>
      <c r="J54" s="506"/>
      <c r="K54" s="507"/>
      <c r="L54" s="507"/>
      <c r="M54" s="507"/>
      <c r="N54" s="507"/>
      <c r="O54" s="506"/>
      <c r="P54" s="505"/>
    </row>
    <row r="55" spans="2:16" s="426" customFormat="1" ht="14.45" customHeight="1" x14ac:dyDescent="0.2">
      <c r="B55" s="963"/>
      <c r="C55" s="1229"/>
      <c r="D55" s="500"/>
      <c r="E55" s="501">
        <v>1</v>
      </c>
      <c r="F55" s="502"/>
      <c r="G55" s="503"/>
      <c r="H55" s="504">
        <f t="shared" si="8"/>
        <v>0</v>
      </c>
      <c r="I55" s="505"/>
      <c r="J55" s="506"/>
      <c r="K55" s="507"/>
      <c r="L55" s="507"/>
      <c r="M55" s="507"/>
      <c r="N55" s="507"/>
      <c r="O55" s="506"/>
      <c r="P55" s="505"/>
    </row>
    <row r="56" spans="2:16" s="426" customFormat="1" ht="14.45" customHeight="1" x14ac:dyDescent="0.2">
      <c r="B56" s="963"/>
      <c r="C56" s="1229"/>
      <c r="D56" s="500"/>
      <c r="E56" s="501">
        <v>1</v>
      </c>
      <c r="F56" s="502"/>
      <c r="G56" s="503"/>
      <c r="H56" s="504">
        <f t="shared" si="8"/>
        <v>0</v>
      </c>
      <c r="I56" s="505"/>
      <c r="J56" s="506"/>
      <c r="K56" s="507"/>
      <c r="L56" s="507"/>
      <c r="M56" s="507"/>
      <c r="N56" s="507"/>
      <c r="O56" s="506"/>
      <c r="P56" s="505"/>
    </row>
    <row r="57" spans="2:16" s="426" customFormat="1" ht="14.45" customHeight="1" x14ac:dyDescent="0.2">
      <c r="B57" s="963"/>
      <c r="C57" s="1229"/>
      <c r="D57" s="500" t="s">
        <v>662</v>
      </c>
      <c r="E57" s="501"/>
      <c r="F57" s="502"/>
      <c r="G57" s="503"/>
      <c r="H57" s="504">
        <f t="shared" si="8"/>
        <v>0</v>
      </c>
      <c r="I57" s="505">
        <f>SUM(H51:H57)</f>
        <v>0</v>
      </c>
      <c r="J57" s="506">
        <f>I57*$J$5</f>
        <v>0</v>
      </c>
      <c r="K57" s="507">
        <f>SUM(I57:J57)*$K$5</f>
        <v>0</v>
      </c>
      <c r="L57" s="507">
        <f>SUM(I57:K57)*$L$5</f>
        <v>0</v>
      </c>
      <c r="M57" s="507">
        <f>SUM(I57:L57)*$M$5</f>
        <v>0</v>
      </c>
      <c r="N57" s="507">
        <f>SUM(I57:M57)*$N$5</f>
        <v>0</v>
      </c>
      <c r="O57" s="506">
        <f>SUM(I57:N57)</f>
        <v>0</v>
      </c>
      <c r="P57" s="505">
        <f>ROUND(O57,-3)</f>
        <v>0</v>
      </c>
    </row>
    <row r="58" spans="2:16" s="426" customFormat="1" ht="14.45" customHeight="1" x14ac:dyDescent="0.2">
      <c r="B58" s="963"/>
      <c r="C58" s="1229"/>
      <c r="D58" s="500"/>
      <c r="E58" s="501"/>
      <c r="F58" s="502"/>
      <c r="G58" s="503"/>
      <c r="H58" s="504"/>
      <c r="I58" s="505"/>
      <c r="J58" s="506"/>
      <c r="K58" s="507"/>
      <c r="L58" s="507"/>
      <c r="M58" s="507"/>
      <c r="N58" s="507"/>
      <c r="O58" s="506"/>
      <c r="P58" s="505"/>
    </row>
    <row r="59" spans="2:16" s="426" customFormat="1" ht="14.45" customHeight="1" x14ac:dyDescent="0.2">
      <c r="B59" s="963"/>
      <c r="C59" s="1229"/>
      <c r="D59" s="500" t="s">
        <v>557</v>
      </c>
      <c r="E59" s="501">
        <v>1</v>
      </c>
      <c r="F59" s="502"/>
      <c r="G59" s="503"/>
      <c r="H59" s="504">
        <f>E59*G59</f>
        <v>0</v>
      </c>
      <c r="I59" s="505"/>
      <c r="J59" s="506"/>
      <c r="K59" s="507"/>
      <c r="L59" s="507"/>
      <c r="M59" s="507"/>
      <c r="N59" s="507"/>
      <c r="O59" s="506"/>
      <c r="P59" s="505"/>
    </row>
    <row r="60" spans="2:16" s="426" customFormat="1" ht="14.45" customHeight="1" x14ac:dyDescent="0.2">
      <c r="B60" s="963"/>
      <c r="C60" s="1229"/>
      <c r="D60" s="500"/>
      <c r="E60" s="501">
        <v>1</v>
      </c>
      <c r="F60" s="502"/>
      <c r="G60" s="503"/>
      <c r="H60" s="504">
        <f>E60*G60</f>
        <v>0</v>
      </c>
      <c r="I60" s="505"/>
      <c r="J60" s="506"/>
      <c r="K60" s="507"/>
      <c r="L60" s="507"/>
      <c r="M60" s="507"/>
      <c r="N60" s="507"/>
      <c r="O60" s="506"/>
      <c r="P60" s="505"/>
    </row>
    <row r="61" spans="2:16" s="426" customFormat="1" ht="14.45" customHeight="1" x14ac:dyDescent="0.2">
      <c r="B61" s="963"/>
      <c r="C61" s="1229"/>
      <c r="D61" s="500"/>
      <c r="E61" s="501">
        <v>1</v>
      </c>
      <c r="F61" s="502"/>
      <c r="G61" s="503"/>
      <c r="H61" s="504">
        <f>E61*G61</f>
        <v>0</v>
      </c>
      <c r="I61" s="505"/>
      <c r="J61" s="506"/>
      <c r="K61" s="507"/>
      <c r="L61" s="507"/>
      <c r="M61" s="507"/>
      <c r="N61" s="507"/>
      <c r="O61" s="506"/>
      <c r="P61" s="505"/>
    </row>
    <row r="62" spans="2:16" s="426" customFormat="1" ht="14.45" customHeight="1" x14ac:dyDescent="0.2">
      <c r="B62" s="963"/>
      <c r="C62" s="1229"/>
      <c r="D62" s="500"/>
      <c r="E62" s="501">
        <v>1</v>
      </c>
      <c r="F62" s="502"/>
      <c r="G62" s="503"/>
      <c r="H62" s="504">
        <f>E62*G62</f>
        <v>0</v>
      </c>
      <c r="I62" s="505"/>
      <c r="J62" s="506"/>
      <c r="K62" s="507"/>
      <c r="L62" s="507"/>
      <c r="M62" s="507"/>
      <c r="N62" s="507"/>
      <c r="O62" s="506"/>
      <c r="P62" s="505"/>
    </row>
    <row r="63" spans="2:16" s="426" customFormat="1" ht="14.45" customHeight="1" x14ac:dyDescent="0.2">
      <c r="B63" s="963"/>
      <c r="C63" s="1229"/>
      <c r="D63" s="500"/>
      <c r="E63" s="501">
        <v>1</v>
      </c>
      <c r="F63" s="502"/>
      <c r="G63" s="503"/>
      <c r="H63" s="504">
        <f>E63*G63</f>
        <v>0</v>
      </c>
      <c r="I63" s="505"/>
      <c r="J63" s="506"/>
      <c r="K63" s="507"/>
      <c r="L63" s="507"/>
      <c r="M63" s="507"/>
      <c r="N63" s="507"/>
      <c r="O63" s="506"/>
      <c r="P63" s="505"/>
    </row>
    <row r="64" spans="2:16" s="426" customFormat="1" ht="14.45" customHeight="1" x14ac:dyDescent="0.2">
      <c r="B64" s="963"/>
      <c r="C64" s="1229"/>
      <c r="D64" s="500" t="s">
        <v>662</v>
      </c>
      <c r="E64" s="501">
        <v>1</v>
      </c>
      <c r="F64" s="502"/>
      <c r="G64" s="503"/>
      <c r="H64" s="504">
        <f t="shared" ref="H64" si="9">E64*G64</f>
        <v>0</v>
      </c>
      <c r="I64" s="505">
        <f>SUM(H58:H64)</f>
        <v>0</v>
      </c>
      <c r="J64" s="506">
        <f>I64*$J$5</f>
        <v>0</v>
      </c>
      <c r="K64" s="507">
        <f>SUM(I64:J64)*$K$5</f>
        <v>0</v>
      </c>
      <c r="L64" s="507">
        <f>SUM(I64:K64)*$L$5</f>
        <v>0</v>
      </c>
      <c r="M64" s="507">
        <f>SUM(I64:L64)*$M$5</f>
        <v>0</v>
      </c>
      <c r="N64" s="507">
        <f>SUM(I64:M64)*$N$5</f>
        <v>0</v>
      </c>
      <c r="O64" s="506">
        <f>SUM(I64:N64)</f>
        <v>0</v>
      </c>
      <c r="P64" s="505">
        <f>ROUND(O64,-3)</f>
        <v>0</v>
      </c>
    </row>
    <row r="65" spans="2:16" s="426" customFormat="1" ht="15" customHeight="1" thickBot="1" x14ac:dyDescent="0.25">
      <c r="B65" s="964"/>
      <c r="C65" s="1230"/>
      <c r="D65" s="516"/>
      <c r="E65" s="517"/>
      <c r="F65" s="518"/>
      <c r="G65" s="519"/>
      <c r="H65" s="520"/>
      <c r="I65" s="521"/>
      <c r="J65" s="522"/>
      <c r="K65" s="523"/>
      <c r="L65" s="523"/>
      <c r="M65" s="523"/>
      <c r="N65" s="523"/>
      <c r="O65" s="522"/>
      <c r="P65" s="521"/>
    </row>
  </sheetData>
  <mergeCells count="5">
    <mergeCell ref="B2:P3"/>
    <mergeCell ref="C6:C20"/>
    <mergeCell ref="C21:C35"/>
    <mergeCell ref="C36:C50"/>
    <mergeCell ref="C51:C6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0E1C0-E767-4AF0-87A8-007452263025}">
  <sheetPr>
    <tabColor theme="6" tint="0.79998168889431442"/>
  </sheetPr>
  <dimension ref="B2:Q27"/>
  <sheetViews>
    <sheetView topLeftCell="D9" zoomScale="160" zoomScaleNormal="160" workbookViewId="0">
      <selection activeCell="P10" sqref="P10"/>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Climate Change</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0.5" customHeight="1" x14ac:dyDescent="0.2">
      <c r="B6" s="936" t="str">
        <f>'Detailed Matrix'!E220</f>
        <v>Climate Change Report</v>
      </c>
      <c r="C6" s="1252" t="str">
        <f>'Detailed Matrix'!F220</f>
        <v>Stage 01 - review of best available data on climate hazard mapping and risk assessment is conducted.</v>
      </c>
      <c r="D6" s="427" t="s">
        <v>154</v>
      </c>
      <c r="E6" s="428"/>
      <c r="F6" s="429"/>
      <c r="G6" s="430"/>
      <c r="H6" s="431"/>
      <c r="I6" s="432"/>
      <c r="J6" s="433"/>
      <c r="K6" s="434"/>
      <c r="L6" s="434"/>
      <c r="M6" s="434"/>
      <c r="N6" s="434"/>
      <c r="O6" s="433"/>
      <c r="P6" s="432"/>
    </row>
    <row r="7" spans="2:17" s="420" customFormat="1" ht="14.45" customHeight="1" x14ac:dyDescent="0.2">
      <c r="B7" s="937"/>
      <c r="C7" s="1253"/>
      <c r="D7" s="490" t="s">
        <v>663</v>
      </c>
      <c r="E7" s="483">
        <v>1</v>
      </c>
      <c r="F7" s="484" t="s">
        <v>576</v>
      </c>
      <c r="G7" s="485">
        <v>2500</v>
      </c>
      <c r="H7" s="439">
        <f t="shared" ref="H7" si="0">E7*G7</f>
        <v>2500</v>
      </c>
      <c r="I7" s="440">
        <f>SUM(H6:H7)</f>
        <v>2500</v>
      </c>
      <c r="J7" s="441">
        <f>I7*$J$5</f>
        <v>325</v>
      </c>
      <c r="K7" s="442">
        <f>SUM(I7:J7)*$K$5</f>
        <v>127.125</v>
      </c>
      <c r="L7" s="442">
        <f>SUM(I7:K7)*$L$5</f>
        <v>162.36687499999999</v>
      </c>
      <c r="M7" s="442">
        <f>SUM(I7:L7)*$M$5</f>
        <v>186.86951250000001</v>
      </c>
      <c r="N7" s="442">
        <f>SUM(I7:M7)*$N$5</f>
        <v>330.13613875000004</v>
      </c>
      <c r="O7" s="443">
        <f>SUM(I7:N7)</f>
        <v>3631.4975262500002</v>
      </c>
      <c r="P7" s="440">
        <f>ROUND(O7,-3)</f>
        <v>4000</v>
      </c>
      <c r="Q7" s="420" t="s">
        <v>514</v>
      </c>
    </row>
    <row r="8" spans="2:17" s="420" customFormat="1" ht="14.45" customHeight="1" x14ac:dyDescent="0.2">
      <c r="B8" s="937"/>
      <c r="C8" s="1253"/>
      <c r="D8" s="490"/>
      <c r="E8" s="483"/>
      <c r="F8" s="484"/>
      <c r="G8" s="485"/>
      <c r="H8" s="596"/>
      <c r="I8" s="597"/>
      <c r="J8" s="598"/>
      <c r="K8" s="599"/>
      <c r="L8" s="599"/>
      <c r="M8" s="599"/>
      <c r="N8" s="599"/>
      <c r="O8" s="600"/>
      <c r="P8" s="597"/>
    </row>
    <row r="9" spans="2:17" s="420" customFormat="1" ht="14.45" customHeight="1" x14ac:dyDescent="0.2">
      <c r="B9" s="937"/>
      <c r="C9" s="1253"/>
      <c r="D9" s="482" t="s">
        <v>155</v>
      </c>
      <c r="E9" s="483"/>
      <c r="F9" s="484"/>
      <c r="G9" s="485"/>
      <c r="H9" s="596"/>
      <c r="I9" s="597"/>
      <c r="J9" s="598"/>
      <c r="K9" s="599"/>
      <c r="L9" s="599"/>
      <c r="M9" s="599"/>
      <c r="N9" s="599"/>
      <c r="O9" s="600"/>
      <c r="P9" s="597"/>
    </row>
    <row r="10" spans="2:17" s="420" customFormat="1" ht="14.45" customHeight="1" x14ac:dyDescent="0.2">
      <c r="B10" s="937"/>
      <c r="C10" s="1253"/>
      <c r="D10" s="490" t="s">
        <v>663</v>
      </c>
      <c r="E10" s="483">
        <v>1</v>
      </c>
      <c r="F10" s="484" t="s">
        <v>576</v>
      </c>
      <c r="G10" s="485">
        <v>5000</v>
      </c>
      <c r="H10" s="439">
        <f t="shared" ref="H10" si="1">E10*G10</f>
        <v>5000</v>
      </c>
      <c r="I10" s="440">
        <f>SUM(H9:H10)</f>
        <v>5000</v>
      </c>
      <c r="J10" s="441">
        <f>I10*$J$5</f>
        <v>650</v>
      </c>
      <c r="K10" s="442">
        <f>SUM(I10:J10)*$K$5</f>
        <v>254.25</v>
      </c>
      <c r="L10" s="442">
        <f>SUM(I10:K10)*$L$5</f>
        <v>324.73374999999999</v>
      </c>
      <c r="M10" s="442">
        <f>SUM(I10:L10)*$M$5</f>
        <v>373.73902500000003</v>
      </c>
      <c r="N10" s="442">
        <f>SUM(I10:M10)*$N$5</f>
        <v>660.27227750000009</v>
      </c>
      <c r="O10" s="443">
        <f>SUM(I10:N10)</f>
        <v>7262.9950525000004</v>
      </c>
      <c r="P10" s="440">
        <f>ROUND(O10,-3)</f>
        <v>7000</v>
      </c>
    </row>
    <row r="11" spans="2:17" s="420" customFormat="1" ht="15" customHeight="1" thickBot="1" x14ac:dyDescent="0.25">
      <c r="B11" s="938"/>
      <c r="C11" s="1254"/>
      <c r="D11" s="444"/>
      <c r="E11" s="445"/>
      <c r="F11" s="446"/>
      <c r="G11" s="447"/>
      <c r="H11" s="448"/>
      <c r="I11" s="449"/>
      <c r="J11" s="450"/>
      <c r="K11" s="451"/>
      <c r="L11" s="451"/>
      <c r="M11" s="451"/>
      <c r="N11" s="451"/>
      <c r="O11" s="450"/>
      <c r="P11" s="449"/>
    </row>
    <row r="12" spans="2:17" s="426" customFormat="1" ht="33.950000000000003" customHeight="1" x14ac:dyDescent="0.2">
      <c r="B12" s="936" t="str">
        <f>'Detailed Matrix'!E221</f>
        <v>Climate Change Report</v>
      </c>
      <c r="C12" s="1252" t="str">
        <f>'Detailed Matrix'!F221</f>
        <v>Stage 02 - Application of best available data to perform a high-level site-specific climate hazard mapping and risk assessment for current climate.</v>
      </c>
      <c r="D12" s="427" t="s">
        <v>154</v>
      </c>
      <c r="E12" s="428"/>
      <c r="F12" s="429"/>
      <c r="G12" s="430"/>
      <c r="H12" s="431"/>
      <c r="I12" s="432"/>
      <c r="J12" s="433"/>
      <c r="K12" s="434"/>
      <c r="L12" s="434"/>
      <c r="M12" s="434"/>
      <c r="N12" s="434"/>
      <c r="O12" s="433"/>
      <c r="P12" s="432"/>
    </row>
    <row r="13" spans="2:17" s="426" customFormat="1" ht="14.45" customHeight="1" x14ac:dyDescent="0.2">
      <c r="B13" s="937"/>
      <c r="C13" s="1253"/>
      <c r="D13" s="490" t="s">
        <v>663</v>
      </c>
      <c r="E13" s="483">
        <v>1</v>
      </c>
      <c r="F13" s="484" t="s">
        <v>576</v>
      </c>
      <c r="G13" s="485">
        <v>2500</v>
      </c>
      <c r="H13" s="439">
        <f t="shared" ref="H13:H14" si="2">E13*G13</f>
        <v>2500</v>
      </c>
      <c r="I13" s="487"/>
      <c r="J13" s="488"/>
      <c r="K13" s="489"/>
      <c r="L13" s="489"/>
      <c r="M13" s="489"/>
      <c r="N13" s="489"/>
      <c r="O13" s="488"/>
      <c r="P13" s="487"/>
    </row>
    <row r="14" spans="2:17" s="426" customFormat="1" ht="14.45" customHeight="1" x14ac:dyDescent="0.2">
      <c r="B14" s="937"/>
      <c r="C14" s="1253"/>
      <c r="D14" s="490" t="s">
        <v>664</v>
      </c>
      <c r="E14" s="483">
        <v>-1</v>
      </c>
      <c r="F14" s="484" t="s">
        <v>576</v>
      </c>
      <c r="G14" s="485">
        <f>I7</f>
        <v>2500</v>
      </c>
      <c r="H14" s="439">
        <f t="shared" si="2"/>
        <v>-2500</v>
      </c>
      <c r="I14" s="440">
        <f>SUM(H12:H14)</f>
        <v>0</v>
      </c>
      <c r="J14" s="441">
        <f>I14*$J$5</f>
        <v>0</v>
      </c>
      <c r="K14" s="442">
        <f>SUM(I14:J14)*$K$5</f>
        <v>0</v>
      </c>
      <c r="L14" s="442">
        <f>SUM(I14:K14)*$L$5</f>
        <v>0</v>
      </c>
      <c r="M14" s="442">
        <f>SUM(I14:L14)*$M$5</f>
        <v>0</v>
      </c>
      <c r="N14" s="442">
        <f>SUM(I14:M14)*$N$5</f>
        <v>0</v>
      </c>
      <c r="O14" s="443">
        <f>SUM(I14:N14)</f>
        <v>0</v>
      </c>
      <c r="P14" s="440">
        <f>ROUND(O14,-3)</f>
        <v>0</v>
      </c>
      <c r="Q14" s="426" t="s">
        <v>514</v>
      </c>
    </row>
    <row r="15" spans="2:17" s="426" customFormat="1" ht="14.45" customHeight="1" x14ac:dyDescent="0.2">
      <c r="B15" s="937"/>
      <c r="C15" s="1253"/>
      <c r="D15" s="490"/>
      <c r="E15" s="711"/>
      <c r="F15" s="594"/>
      <c r="G15" s="606"/>
      <c r="H15" s="596"/>
      <c r="I15" s="597"/>
      <c r="J15" s="598"/>
      <c r="K15" s="599"/>
      <c r="L15" s="599"/>
      <c r="M15" s="599"/>
      <c r="N15" s="599"/>
      <c r="O15" s="600"/>
      <c r="P15" s="597"/>
    </row>
    <row r="16" spans="2:17" s="426" customFormat="1" ht="14.45" customHeight="1" x14ac:dyDescent="0.2">
      <c r="B16" s="937"/>
      <c r="C16" s="1253"/>
      <c r="D16" s="482" t="s">
        <v>155</v>
      </c>
      <c r="E16" s="483"/>
      <c r="F16" s="484"/>
      <c r="G16" s="485"/>
      <c r="H16" s="596"/>
      <c r="I16" s="597"/>
      <c r="J16" s="598"/>
      <c r="K16" s="599"/>
      <c r="L16" s="599"/>
      <c r="M16" s="599"/>
      <c r="N16" s="599"/>
      <c r="O16" s="600"/>
      <c r="P16" s="597"/>
    </row>
    <row r="17" spans="2:17" s="426" customFormat="1" ht="14.45" customHeight="1" x14ac:dyDescent="0.2">
      <c r="B17" s="937"/>
      <c r="C17" s="1253"/>
      <c r="D17" s="490" t="s">
        <v>663</v>
      </c>
      <c r="E17" s="483">
        <v>1</v>
      </c>
      <c r="F17" s="484" t="s">
        <v>576</v>
      </c>
      <c r="G17" s="485">
        <v>5000</v>
      </c>
      <c r="H17" s="439">
        <f t="shared" ref="H17:H18" si="3">E17*G17</f>
        <v>5000</v>
      </c>
      <c r="I17" s="440"/>
      <c r="J17" s="441"/>
      <c r="K17" s="442"/>
      <c r="L17" s="442"/>
      <c r="M17" s="442"/>
      <c r="N17" s="442"/>
      <c r="O17" s="600"/>
      <c r="P17" s="597"/>
    </row>
    <row r="18" spans="2:17" s="426" customFormat="1" ht="14.45" customHeight="1" x14ac:dyDescent="0.2">
      <c r="B18" s="937"/>
      <c r="C18" s="1253"/>
      <c r="D18" s="490" t="s">
        <v>664</v>
      </c>
      <c r="E18" s="483">
        <v>-1</v>
      </c>
      <c r="F18" s="484" t="s">
        <v>576</v>
      </c>
      <c r="G18" s="485">
        <f>I10</f>
        <v>5000</v>
      </c>
      <c r="H18" s="439">
        <f t="shared" si="3"/>
        <v>-5000</v>
      </c>
      <c r="I18" s="440">
        <f>SUM(H16:H18)</f>
        <v>0</v>
      </c>
      <c r="J18" s="441">
        <f>I18*$J$5</f>
        <v>0</v>
      </c>
      <c r="K18" s="442">
        <f>SUM(I18:J18)*$K$5</f>
        <v>0</v>
      </c>
      <c r="L18" s="442">
        <f>SUM(I18:K18)*$L$5</f>
        <v>0</v>
      </c>
      <c r="M18" s="442">
        <f>SUM(I18:L18)*$M$5</f>
        <v>0</v>
      </c>
      <c r="N18" s="442">
        <f>SUM(I18:M18)*$N$5</f>
        <v>0</v>
      </c>
      <c r="O18" s="443">
        <f>SUM(I18:N18)</f>
        <v>0</v>
      </c>
      <c r="P18" s="440">
        <f>ROUND(O18,-3)</f>
        <v>0</v>
      </c>
    </row>
    <row r="19" spans="2:17" s="426" customFormat="1" ht="15" customHeight="1" thickBot="1" x14ac:dyDescent="0.25">
      <c r="B19" s="938"/>
      <c r="C19" s="1254"/>
      <c r="D19" s="444"/>
      <c r="E19" s="445"/>
      <c r="F19" s="446"/>
      <c r="G19" s="447"/>
      <c r="H19" s="448"/>
      <c r="I19" s="449"/>
      <c r="J19" s="450"/>
      <c r="K19" s="451"/>
      <c r="L19" s="451"/>
      <c r="M19" s="451"/>
      <c r="N19" s="451"/>
      <c r="O19" s="450"/>
      <c r="P19" s="449"/>
    </row>
    <row r="20" spans="2:17" s="420" customFormat="1" ht="35.450000000000003" customHeight="1" x14ac:dyDescent="0.2">
      <c r="B20" s="936" t="str">
        <f>'Detailed Matrix'!E222</f>
        <v>Climate Change Report</v>
      </c>
      <c r="C20" s="1252" t="str">
        <f>'Detailed Matrix'!F222</f>
        <v>Stage 03 - Application of best available data to perform a community-, city- or catchment-wide climate hazard mapping and risk assessment for current and future climate, including evaluation of the socio-economic components of risk beyond the site boundary or asset scale.</v>
      </c>
      <c r="D20" s="427" t="s">
        <v>154</v>
      </c>
      <c r="E20" s="428"/>
      <c r="F20" s="429"/>
      <c r="G20" s="430"/>
      <c r="H20" s="431"/>
      <c r="I20" s="432"/>
      <c r="J20" s="433"/>
      <c r="K20" s="434"/>
      <c r="L20" s="434"/>
      <c r="M20" s="434"/>
      <c r="N20" s="434"/>
      <c r="O20" s="433"/>
      <c r="P20" s="432"/>
    </row>
    <row r="21" spans="2:17" s="420" customFormat="1" ht="14.45" customHeight="1" x14ac:dyDescent="0.2">
      <c r="B21" s="937"/>
      <c r="C21" s="1253"/>
      <c r="D21" s="490" t="s">
        <v>663</v>
      </c>
      <c r="E21" s="483">
        <v>1</v>
      </c>
      <c r="F21" s="484" t="s">
        <v>576</v>
      </c>
      <c r="G21" s="485">
        <v>10000</v>
      </c>
      <c r="H21" s="439">
        <f t="shared" ref="H21:H22" si="4">E21*G21</f>
        <v>10000</v>
      </c>
      <c r="I21" s="487"/>
      <c r="J21" s="488"/>
      <c r="K21" s="489"/>
      <c r="L21" s="489"/>
      <c r="M21" s="489"/>
      <c r="N21" s="489"/>
      <c r="O21" s="488"/>
      <c r="P21" s="487"/>
    </row>
    <row r="22" spans="2:17" s="420" customFormat="1" ht="14.45" customHeight="1" x14ac:dyDescent="0.2">
      <c r="B22" s="937"/>
      <c r="C22" s="1253"/>
      <c r="D22" s="490" t="s">
        <v>665</v>
      </c>
      <c r="E22" s="483">
        <v>-1</v>
      </c>
      <c r="F22" s="484" t="s">
        <v>576</v>
      </c>
      <c r="G22" s="485">
        <f>I7+I14</f>
        <v>2500</v>
      </c>
      <c r="H22" s="439">
        <f t="shared" si="4"/>
        <v>-2500</v>
      </c>
      <c r="I22" s="440">
        <f>SUM(H20:H22)</f>
        <v>7500</v>
      </c>
      <c r="J22" s="441">
        <f>I22*$J$5</f>
        <v>975</v>
      </c>
      <c r="K22" s="442">
        <f>SUM(I22:J22)*$K$5</f>
        <v>381.375</v>
      </c>
      <c r="L22" s="442">
        <f>SUM(I22:K22)*$L$5</f>
        <v>487.10062499999998</v>
      </c>
      <c r="M22" s="442">
        <f>SUM(I22:L22)*$M$5</f>
        <v>560.6085374999999</v>
      </c>
      <c r="N22" s="442">
        <f>SUM(I22:M22)*$N$5</f>
        <v>990.40841624999996</v>
      </c>
      <c r="O22" s="443">
        <f>SUM(I22:N22)</f>
        <v>10894.49257875</v>
      </c>
      <c r="P22" s="440">
        <f>ROUND(O22,-3)</f>
        <v>11000</v>
      </c>
      <c r="Q22" s="420" t="s">
        <v>514</v>
      </c>
    </row>
    <row r="23" spans="2:17" s="420" customFormat="1" ht="14.45" customHeight="1" x14ac:dyDescent="0.2">
      <c r="B23" s="937"/>
      <c r="C23" s="1253"/>
      <c r="D23" s="490"/>
      <c r="E23" s="711"/>
      <c r="F23" s="594"/>
      <c r="G23" s="606"/>
      <c r="H23" s="596"/>
      <c r="I23" s="597"/>
      <c r="J23" s="598"/>
      <c r="K23" s="599"/>
      <c r="L23" s="599"/>
      <c r="M23" s="599"/>
      <c r="N23" s="599"/>
      <c r="O23" s="600"/>
      <c r="P23" s="597"/>
    </row>
    <row r="24" spans="2:17" s="420" customFormat="1" ht="14.45" customHeight="1" x14ac:dyDescent="0.2">
      <c r="B24" s="937"/>
      <c r="C24" s="1253"/>
      <c r="D24" s="482" t="s">
        <v>155</v>
      </c>
      <c r="E24" s="483"/>
      <c r="F24" s="484"/>
      <c r="G24" s="485"/>
      <c r="H24" s="596"/>
      <c r="I24" s="597"/>
      <c r="J24" s="598"/>
      <c r="K24" s="599"/>
      <c r="L24" s="599"/>
      <c r="M24" s="599"/>
      <c r="N24" s="599"/>
      <c r="O24" s="600"/>
      <c r="P24" s="597"/>
    </row>
    <row r="25" spans="2:17" s="420" customFormat="1" ht="14.45" customHeight="1" x14ac:dyDescent="0.2">
      <c r="B25" s="937"/>
      <c r="C25" s="1253"/>
      <c r="D25" s="490" t="s">
        <v>663</v>
      </c>
      <c r="E25" s="483">
        <v>1</v>
      </c>
      <c r="F25" s="484" t="s">
        <v>576</v>
      </c>
      <c r="G25" s="485">
        <v>15000</v>
      </c>
      <c r="H25" s="439">
        <f t="shared" ref="H25:H26" si="5">E25*G25</f>
        <v>15000</v>
      </c>
      <c r="I25" s="440"/>
      <c r="J25" s="441"/>
      <c r="K25" s="442"/>
      <c r="L25" s="442"/>
      <c r="M25" s="442"/>
      <c r="N25" s="442"/>
      <c r="O25" s="600"/>
      <c r="P25" s="597"/>
    </row>
    <row r="26" spans="2:17" s="420" customFormat="1" ht="14.45" customHeight="1" x14ac:dyDescent="0.2">
      <c r="B26" s="937"/>
      <c r="C26" s="1253"/>
      <c r="D26" s="490" t="s">
        <v>665</v>
      </c>
      <c r="E26" s="483">
        <v>-1</v>
      </c>
      <c r="F26" s="484" t="s">
        <v>576</v>
      </c>
      <c r="G26" s="485">
        <f>I18+I10</f>
        <v>5000</v>
      </c>
      <c r="H26" s="439">
        <f t="shared" si="5"/>
        <v>-5000</v>
      </c>
      <c r="I26" s="440">
        <f>SUM(H24:H26)</f>
        <v>10000</v>
      </c>
      <c r="J26" s="441">
        <f>I26*$J$5</f>
        <v>1300</v>
      </c>
      <c r="K26" s="442">
        <f>SUM(I26:J26)*$K$5</f>
        <v>508.5</v>
      </c>
      <c r="L26" s="442">
        <f>SUM(I26:K26)*$L$5</f>
        <v>649.46749999999997</v>
      </c>
      <c r="M26" s="442">
        <f>SUM(I26:L26)*$M$5</f>
        <v>747.47805000000005</v>
      </c>
      <c r="N26" s="442">
        <f>SUM(I26:M26)*$N$5</f>
        <v>1320.5445550000002</v>
      </c>
      <c r="O26" s="443">
        <f>SUM(I26:N26)</f>
        <v>14525.990105000001</v>
      </c>
      <c r="P26" s="440">
        <f>ROUND(O26,-3)</f>
        <v>15000</v>
      </c>
    </row>
    <row r="27" spans="2:17" s="420" customFormat="1" ht="15" customHeight="1" thickBot="1" x14ac:dyDescent="0.25">
      <c r="B27" s="938"/>
      <c r="C27" s="1254"/>
      <c r="D27" s="444"/>
      <c r="E27" s="445"/>
      <c r="F27" s="446"/>
      <c r="G27" s="447"/>
      <c r="H27" s="448"/>
      <c r="I27" s="449"/>
      <c r="J27" s="450"/>
      <c r="K27" s="451"/>
      <c r="L27" s="451"/>
      <c r="M27" s="451"/>
      <c r="N27" s="451"/>
      <c r="O27" s="450"/>
      <c r="P27" s="449"/>
    </row>
  </sheetData>
  <mergeCells count="4">
    <mergeCell ref="B2:P3"/>
    <mergeCell ref="C6:C11"/>
    <mergeCell ref="C12:C19"/>
    <mergeCell ref="C20:C27"/>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3C9AA-D0F5-47CF-AE6C-ACD368B9B3D0}">
  <sheetPr>
    <tabColor theme="6" tint="0.79998168889431442"/>
  </sheetPr>
  <dimension ref="B2:Q59"/>
  <sheetViews>
    <sheetView topLeftCell="D21" zoomScale="145" zoomScaleNormal="145" workbookViewId="0">
      <selection activeCell="P43" sqref="P43"/>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Physical Security</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0.5" customHeight="1" x14ac:dyDescent="0.2">
      <c r="B6" s="962" t="str">
        <f>'Detailed Matrix'!E224</f>
        <v>Secutrity Risk Assessment</v>
      </c>
      <c r="C6" s="1228" t="str">
        <f>'Detailed Matrix'!F224</f>
        <v>Stage 0 1- Security Consultant to undertake a site specific security risk assessment &amp; propose a security strategy</v>
      </c>
      <c r="D6" s="492" t="s">
        <v>154</v>
      </c>
      <c r="E6" s="493"/>
      <c r="F6" s="494"/>
      <c r="G6" s="495"/>
      <c r="H6" s="496"/>
      <c r="I6" s="497"/>
      <c r="J6" s="498"/>
      <c r="K6" s="499"/>
      <c r="L6" s="499"/>
      <c r="M6" s="499"/>
      <c r="N6" s="499"/>
      <c r="O6" s="498"/>
      <c r="P6" s="497"/>
    </row>
    <row r="7" spans="2:17" s="420" customFormat="1" ht="14.45" customHeight="1" x14ac:dyDescent="0.2">
      <c r="B7" s="963"/>
      <c r="C7" s="1229"/>
      <c r="D7" s="508" t="s">
        <v>666</v>
      </c>
      <c r="E7" s="501">
        <v>1</v>
      </c>
      <c r="F7" s="502" t="s">
        <v>576</v>
      </c>
      <c r="G7" s="503">
        <v>7500</v>
      </c>
      <c r="H7" s="509">
        <f t="shared" ref="H7" si="0">E7*G7</f>
        <v>7500</v>
      </c>
      <c r="I7" s="512">
        <f>SUM(H6:H7)</f>
        <v>7500</v>
      </c>
      <c r="J7" s="513">
        <f>I7*$J$5</f>
        <v>975</v>
      </c>
      <c r="K7" s="514">
        <f>SUM(I7:J7)*$K$5</f>
        <v>381.375</v>
      </c>
      <c r="L7" s="514">
        <f>SUM(I7:K7)*$L$5</f>
        <v>487.10062499999998</v>
      </c>
      <c r="M7" s="514">
        <f>SUM(I7:L7)*$M$5</f>
        <v>560.6085374999999</v>
      </c>
      <c r="N7" s="514">
        <f>SUM(I7:M7)*$N$5</f>
        <v>990.40841624999996</v>
      </c>
      <c r="O7" s="515">
        <f>SUM(I7:N7)</f>
        <v>10894.49257875</v>
      </c>
      <c r="P7" s="512">
        <f>ROUND(O7,-3)</f>
        <v>11000</v>
      </c>
      <c r="Q7" s="420" t="s">
        <v>514</v>
      </c>
    </row>
    <row r="8" spans="2:17" s="420" customFormat="1" ht="14.45" customHeight="1" x14ac:dyDescent="0.2">
      <c r="B8" s="963"/>
      <c r="C8" s="1229"/>
      <c r="D8" s="508"/>
      <c r="E8" s="501"/>
      <c r="F8" s="502"/>
      <c r="G8" s="503"/>
      <c r="H8" s="509"/>
      <c r="I8" s="512"/>
      <c r="J8" s="513"/>
      <c r="K8" s="514"/>
      <c r="L8" s="514"/>
      <c r="M8" s="514"/>
      <c r="N8" s="514"/>
      <c r="O8" s="579"/>
      <c r="P8" s="576"/>
    </row>
    <row r="9" spans="2:17" s="420" customFormat="1" ht="14.45" customHeight="1" x14ac:dyDescent="0.2">
      <c r="B9" s="963"/>
      <c r="C9" s="1229"/>
      <c r="D9" s="500" t="s">
        <v>155</v>
      </c>
      <c r="E9" s="501"/>
      <c r="F9" s="502"/>
      <c r="G9" s="503"/>
      <c r="H9" s="509"/>
      <c r="I9" s="512"/>
      <c r="J9" s="513"/>
      <c r="K9" s="514"/>
      <c r="L9" s="514"/>
      <c r="M9" s="514"/>
      <c r="N9" s="514"/>
      <c r="O9" s="579"/>
      <c r="P9" s="576"/>
    </row>
    <row r="10" spans="2:17" s="420" customFormat="1" ht="14.45" customHeight="1" x14ac:dyDescent="0.2">
      <c r="B10" s="963"/>
      <c r="C10" s="1229"/>
      <c r="D10" s="508" t="s">
        <v>666</v>
      </c>
      <c r="E10" s="501">
        <v>1</v>
      </c>
      <c r="F10" s="502" t="s">
        <v>576</v>
      </c>
      <c r="G10" s="503">
        <v>12500</v>
      </c>
      <c r="H10" s="509">
        <f t="shared" ref="H10" si="1">E10*G10</f>
        <v>12500</v>
      </c>
      <c r="I10" s="512">
        <f>SUM(H9:H10)</f>
        <v>12500</v>
      </c>
      <c r="J10" s="513">
        <f>I10*$J$5</f>
        <v>1625</v>
      </c>
      <c r="K10" s="514">
        <f>SUM(I10:J10)*$K$5</f>
        <v>635.625</v>
      </c>
      <c r="L10" s="514">
        <f>SUM(I10:K10)*$L$5</f>
        <v>811.83437500000002</v>
      </c>
      <c r="M10" s="514">
        <f>SUM(I10:L10)*$M$5</f>
        <v>934.34756249999998</v>
      </c>
      <c r="N10" s="514">
        <f>SUM(I10:M10)*$N$5</f>
        <v>1650.6806937500003</v>
      </c>
      <c r="O10" s="515">
        <f>SUM(I10:N10)</f>
        <v>18157.487631250002</v>
      </c>
      <c r="P10" s="512">
        <f>ROUND(O10,-3)</f>
        <v>18000</v>
      </c>
    </row>
    <row r="11" spans="2:17" s="420" customFormat="1" ht="14.45" customHeight="1" x14ac:dyDescent="0.2">
      <c r="B11" s="963"/>
      <c r="C11" s="1229"/>
      <c r="D11" s="508"/>
      <c r="E11" s="790"/>
      <c r="F11" s="791"/>
      <c r="G11" s="584"/>
      <c r="H11" s="575"/>
      <c r="I11" s="576"/>
      <c r="J11" s="577"/>
      <c r="K11" s="578"/>
      <c r="L11" s="578"/>
      <c r="M11" s="578"/>
      <c r="N11" s="578"/>
      <c r="O11" s="579"/>
      <c r="P11" s="576"/>
    </row>
    <row r="12" spans="2:17" s="420" customFormat="1" ht="15" customHeight="1" thickBot="1" x14ac:dyDescent="0.25">
      <c r="B12" s="964"/>
      <c r="C12" s="1230"/>
      <c r="D12" s="516"/>
      <c r="E12" s="517"/>
      <c r="F12" s="518"/>
      <c r="G12" s="519"/>
      <c r="H12" s="520"/>
      <c r="I12" s="521"/>
      <c r="J12" s="522"/>
      <c r="K12" s="523"/>
      <c r="L12" s="523"/>
      <c r="M12" s="523"/>
      <c r="N12" s="523"/>
      <c r="O12" s="522"/>
      <c r="P12" s="521"/>
    </row>
    <row r="13" spans="2:17" s="426" customFormat="1" ht="10.5" customHeight="1" x14ac:dyDescent="0.2">
      <c r="B13" s="962" t="str">
        <f>'Detailed Matrix'!E225</f>
        <v>Secutrity Risk Assessment</v>
      </c>
      <c r="C13" s="1228" t="str">
        <f>'Detailed Matrix'!F225</f>
        <v xml:space="preserve">Stage 02 - Risk assessment to identify all levels of risk, threat and systems redundancies. </v>
      </c>
      <c r="D13" s="492" t="s">
        <v>154</v>
      </c>
      <c r="E13" s="493"/>
      <c r="F13" s="494"/>
      <c r="G13" s="495"/>
      <c r="H13" s="496"/>
      <c r="I13" s="497"/>
      <c r="J13" s="498"/>
      <c r="K13" s="499"/>
      <c r="L13" s="499"/>
      <c r="M13" s="499"/>
      <c r="N13" s="499"/>
      <c r="O13" s="498"/>
      <c r="P13" s="497"/>
    </row>
    <row r="14" spans="2:17" s="426" customFormat="1" ht="14.45" customHeight="1" x14ac:dyDescent="0.2">
      <c r="B14" s="963"/>
      <c r="C14" s="1229"/>
      <c r="D14" s="508" t="s">
        <v>667</v>
      </c>
      <c r="E14" s="501">
        <v>1</v>
      </c>
      <c r="F14" s="502" t="s">
        <v>576</v>
      </c>
      <c r="G14" s="503">
        <v>5000</v>
      </c>
      <c r="H14" s="509">
        <f t="shared" ref="H14" si="2">E14*G14</f>
        <v>5000</v>
      </c>
      <c r="I14" s="505"/>
      <c r="J14" s="506"/>
      <c r="K14" s="507"/>
      <c r="L14" s="507"/>
      <c r="M14" s="507"/>
      <c r="N14" s="507"/>
      <c r="O14" s="506"/>
      <c r="P14" s="505"/>
    </row>
    <row r="15" spans="2:17" s="426" customFormat="1" ht="14.45" customHeight="1" x14ac:dyDescent="0.2">
      <c r="B15" s="963"/>
      <c r="C15" s="1229"/>
      <c r="D15" s="508" t="s">
        <v>664</v>
      </c>
      <c r="E15" s="501">
        <v>-1</v>
      </c>
      <c r="F15" s="502" t="s">
        <v>576</v>
      </c>
      <c r="G15" s="503">
        <f>I7</f>
        <v>7500</v>
      </c>
      <c r="H15" s="509">
        <f t="shared" ref="H15" si="3">E15*G15</f>
        <v>-7500</v>
      </c>
      <c r="I15" s="512">
        <f>SUM(H13:H15)</f>
        <v>-2500</v>
      </c>
      <c r="J15" s="513">
        <f>I15*$J$5</f>
        <v>-325</v>
      </c>
      <c r="K15" s="514">
        <f>SUM(I15:J15)*$K$5</f>
        <v>-127.125</v>
      </c>
      <c r="L15" s="514">
        <f>SUM(I15:K15)*$L$5</f>
        <v>-162.36687499999999</v>
      </c>
      <c r="M15" s="514">
        <f>SUM(I15:L15)*$M$5</f>
        <v>-186.86951250000001</v>
      </c>
      <c r="N15" s="514">
        <f>SUM(I15:M15)*$N$5</f>
        <v>-330.13613875000004</v>
      </c>
      <c r="O15" s="515">
        <f>SUM(I15:N15)</f>
        <v>-3631.4975262500002</v>
      </c>
      <c r="P15" s="512">
        <f>ROUND(O15,-3)</f>
        <v>-4000</v>
      </c>
      <c r="Q15" s="426" t="s">
        <v>514</v>
      </c>
    </row>
    <row r="16" spans="2:17" s="426" customFormat="1" ht="14.45" customHeight="1" x14ac:dyDescent="0.2">
      <c r="B16" s="963"/>
      <c r="C16" s="1229"/>
      <c r="D16" s="508"/>
      <c r="E16" s="501"/>
      <c r="F16" s="502"/>
      <c r="G16" s="503"/>
      <c r="H16" s="575"/>
      <c r="I16" s="576"/>
      <c r="J16" s="577"/>
      <c r="K16" s="578"/>
      <c r="L16" s="578"/>
      <c r="M16" s="578"/>
      <c r="N16" s="578"/>
      <c r="O16" s="579"/>
      <c r="P16" s="576"/>
    </row>
    <row r="17" spans="2:17" s="426" customFormat="1" ht="14.45" customHeight="1" x14ac:dyDescent="0.2">
      <c r="B17" s="963"/>
      <c r="C17" s="1229"/>
      <c r="D17" s="500" t="s">
        <v>155</v>
      </c>
      <c r="E17" s="501"/>
      <c r="F17" s="502"/>
      <c r="G17" s="503"/>
      <c r="H17" s="575"/>
      <c r="I17" s="576"/>
      <c r="J17" s="577"/>
      <c r="K17" s="578"/>
      <c r="L17" s="578"/>
      <c r="M17" s="578"/>
      <c r="N17" s="578"/>
      <c r="O17" s="579"/>
      <c r="P17" s="576"/>
    </row>
    <row r="18" spans="2:17" s="426" customFormat="1" ht="14.45" customHeight="1" x14ac:dyDescent="0.2">
      <c r="B18" s="963"/>
      <c r="C18" s="1229"/>
      <c r="D18" s="508" t="s">
        <v>667</v>
      </c>
      <c r="E18" s="501">
        <v>1</v>
      </c>
      <c r="F18" s="502" t="s">
        <v>576</v>
      </c>
      <c r="G18" s="503">
        <v>7500</v>
      </c>
      <c r="H18" s="509">
        <f t="shared" ref="H18:H19" si="4">E18*G18</f>
        <v>7500</v>
      </c>
      <c r="I18" s="576"/>
      <c r="J18" s="577"/>
      <c r="K18" s="578"/>
      <c r="L18" s="578"/>
      <c r="M18" s="578"/>
      <c r="N18" s="578"/>
      <c r="O18" s="579"/>
      <c r="P18" s="576"/>
    </row>
    <row r="19" spans="2:17" s="426" customFormat="1" ht="14.45" customHeight="1" x14ac:dyDescent="0.2">
      <c r="B19" s="963"/>
      <c r="C19" s="1229"/>
      <c r="D19" s="508" t="s">
        <v>664</v>
      </c>
      <c r="E19" s="501">
        <v>-1</v>
      </c>
      <c r="F19" s="502" t="s">
        <v>576</v>
      </c>
      <c r="G19" s="503">
        <f>I10</f>
        <v>12500</v>
      </c>
      <c r="H19" s="509">
        <f t="shared" si="4"/>
        <v>-12500</v>
      </c>
      <c r="I19" s="512">
        <f>SUM(H17:H19)</f>
        <v>-5000</v>
      </c>
      <c r="J19" s="513">
        <f>I19*$J$5</f>
        <v>-650</v>
      </c>
      <c r="K19" s="514">
        <f>SUM(I19:J19)*$K$5</f>
        <v>-254.25</v>
      </c>
      <c r="L19" s="514">
        <f>SUM(I19:K19)*$L$5</f>
        <v>-324.73374999999999</v>
      </c>
      <c r="M19" s="514">
        <f>SUM(I19:L19)*$M$5</f>
        <v>-373.73902500000003</v>
      </c>
      <c r="N19" s="514">
        <f>SUM(I19:M19)*$N$5</f>
        <v>-660.27227750000009</v>
      </c>
      <c r="O19" s="515">
        <f>SUM(I19:N19)</f>
        <v>-7262.9950525000004</v>
      </c>
      <c r="P19" s="512">
        <f>ROUND(O19,-3)</f>
        <v>-7000</v>
      </c>
    </row>
    <row r="20" spans="2:17" s="426" customFormat="1" ht="14.45" customHeight="1" x14ac:dyDescent="0.2">
      <c r="B20" s="963"/>
      <c r="C20" s="1229"/>
      <c r="D20" s="961"/>
      <c r="E20" s="790"/>
      <c r="F20" s="791"/>
      <c r="G20" s="584"/>
      <c r="H20" s="575"/>
      <c r="I20" s="576"/>
      <c r="J20" s="577"/>
      <c r="K20" s="578"/>
      <c r="L20" s="578"/>
      <c r="M20" s="578"/>
      <c r="N20" s="578"/>
      <c r="O20" s="579"/>
      <c r="P20" s="576"/>
    </row>
    <row r="21" spans="2:17" s="426" customFormat="1" ht="15" customHeight="1" thickBot="1" x14ac:dyDescent="0.25">
      <c r="B21" s="964"/>
      <c r="C21" s="1230"/>
      <c r="D21" s="516"/>
      <c r="E21" s="517"/>
      <c r="F21" s="518"/>
      <c r="G21" s="519"/>
      <c r="H21" s="520"/>
      <c r="I21" s="521"/>
      <c r="J21" s="522"/>
      <c r="K21" s="523"/>
      <c r="L21" s="523"/>
      <c r="M21" s="523"/>
      <c r="N21" s="523"/>
      <c r="O21" s="522"/>
      <c r="P21" s="521"/>
    </row>
    <row r="22" spans="2:17" s="420" customFormat="1" ht="10.5" customHeight="1" x14ac:dyDescent="0.2">
      <c r="B22" s="962" t="str">
        <f>'Detailed Matrix'!E226</f>
        <v>Secutrity Risk Assessment</v>
      </c>
      <c r="C22" s="1228" t="str">
        <f>'Detailed Matrix'!F226</f>
        <v>Stage 03 - Implementation of a security strategy which outlines a plan for varying security threat scenarios and system failures</v>
      </c>
      <c r="D22" s="492" t="s">
        <v>154</v>
      </c>
      <c r="E22" s="493"/>
      <c r="F22" s="494"/>
      <c r="G22" s="495"/>
      <c r="H22" s="496"/>
      <c r="I22" s="497"/>
      <c r="J22" s="498"/>
      <c r="K22" s="499"/>
      <c r="L22" s="499"/>
      <c r="M22" s="499"/>
      <c r="N22" s="499"/>
      <c r="O22" s="498"/>
      <c r="P22" s="497"/>
    </row>
    <row r="23" spans="2:17" s="420" customFormat="1" ht="14.45" customHeight="1" x14ac:dyDescent="0.2">
      <c r="B23" s="963"/>
      <c r="C23" s="1229"/>
      <c r="D23" s="508" t="s">
        <v>668</v>
      </c>
      <c r="E23" s="501">
        <v>1</v>
      </c>
      <c r="F23" s="502" t="s">
        <v>576</v>
      </c>
      <c r="G23" s="503">
        <v>5000</v>
      </c>
      <c r="H23" s="509">
        <f t="shared" ref="H23:H24" si="5">E23*G23</f>
        <v>5000</v>
      </c>
      <c r="I23" s="505"/>
      <c r="J23" s="506"/>
      <c r="K23" s="507"/>
      <c r="L23" s="507"/>
      <c r="M23" s="507"/>
      <c r="N23" s="507"/>
      <c r="O23" s="506"/>
      <c r="P23" s="505"/>
    </row>
    <row r="24" spans="2:17" s="420" customFormat="1" ht="14.45" customHeight="1" x14ac:dyDescent="0.2">
      <c r="B24" s="963"/>
      <c r="C24" s="1229"/>
      <c r="D24" s="508" t="s">
        <v>665</v>
      </c>
      <c r="E24" s="501">
        <v>-1</v>
      </c>
      <c r="F24" s="502" t="s">
        <v>576</v>
      </c>
      <c r="G24" s="503">
        <f>I15+I7</f>
        <v>5000</v>
      </c>
      <c r="H24" s="509">
        <f t="shared" si="5"/>
        <v>-5000</v>
      </c>
      <c r="I24" s="512">
        <f>SUM(H22:H24)</f>
        <v>0</v>
      </c>
      <c r="J24" s="513">
        <f>I24*$J$5</f>
        <v>0</v>
      </c>
      <c r="K24" s="514">
        <f>SUM(I24:J24)*$K$5</f>
        <v>0</v>
      </c>
      <c r="L24" s="514">
        <f>SUM(I24:K24)*$L$5</f>
        <v>0</v>
      </c>
      <c r="M24" s="514">
        <f>SUM(I24:L24)*$M$5</f>
        <v>0</v>
      </c>
      <c r="N24" s="514">
        <f>SUM(I24:M24)*$N$5</f>
        <v>0</v>
      </c>
      <c r="O24" s="515">
        <f>SUM(I24:N24)</f>
        <v>0</v>
      </c>
      <c r="P24" s="512">
        <f>ROUND(O24,-3)</f>
        <v>0</v>
      </c>
      <c r="Q24" s="420" t="s">
        <v>514</v>
      </c>
    </row>
    <row r="25" spans="2:17" s="420" customFormat="1" ht="14.45" customHeight="1" x14ac:dyDescent="0.2">
      <c r="B25" s="963"/>
      <c r="C25" s="1229"/>
      <c r="D25" s="508"/>
      <c r="E25" s="501"/>
      <c r="F25" s="502"/>
      <c r="G25" s="503"/>
      <c r="H25" s="575"/>
      <c r="I25" s="576"/>
      <c r="J25" s="577"/>
      <c r="K25" s="578"/>
      <c r="L25" s="578"/>
      <c r="M25" s="578"/>
      <c r="N25" s="578"/>
      <c r="O25" s="579"/>
      <c r="P25" s="576"/>
    </row>
    <row r="26" spans="2:17" s="420" customFormat="1" ht="14.45" customHeight="1" x14ac:dyDescent="0.2">
      <c r="B26" s="963"/>
      <c r="C26" s="1229"/>
      <c r="D26" s="500" t="s">
        <v>155</v>
      </c>
      <c r="E26" s="501"/>
      <c r="F26" s="502"/>
      <c r="G26" s="503"/>
      <c r="H26" s="575"/>
      <c r="I26" s="576"/>
      <c r="J26" s="577"/>
      <c r="K26" s="578"/>
      <c r="L26" s="578"/>
      <c r="M26" s="578"/>
      <c r="N26" s="578"/>
      <c r="O26" s="579"/>
      <c r="P26" s="576"/>
    </row>
    <row r="27" spans="2:17" s="420" customFormat="1" ht="14.45" customHeight="1" x14ac:dyDescent="0.2">
      <c r="B27" s="963"/>
      <c r="C27" s="1229"/>
      <c r="D27" s="508" t="s">
        <v>668</v>
      </c>
      <c r="E27" s="501">
        <v>1</v>
      </c>
      <c r="F27" s="502" t="s">
        <v>576</v>
      </c>
      <c r="G27" s="503">
        <v>7500</v>
      </c>
      <c r="H27" s="575">
        <f t="shared" ref="H27:H28" si="6">E27*G27</f>
        <v>7500</v>
      </c>
      <c r="I27" s="576"/>
      <c r="J27" s="577"/>
      <c r="K27" s="578"/>
      <c r="L27" s="578"/>
      <c r="M27" s="578"/>
      <c r="N27" s="578"/>
      <c r="O27" s="579"/>
      <c r="P27" s="576"/>
    </row>
    <row r="28" spans="2:17" s="420" customFormat="1" ht="14.45" customHeight="1" x14ac:dyDescent="0.2">
      <c r="B28" s="963"/>
      <c r="C28" s="1229"/>
      <c r="D28" s="508" t="s">
        <v>665</v>
      </c>
      <c r="E28" s="501">
        <v>-1</v>
      </c>
      <c r="F28" s="502" t="s">
        <v>576</v>
      </c>
      <c r="G28" s="503">
        <f>I19+I10</f>
        <v>7500</v>
      </c>
      <c r="H28" s="575">
        <f t="shared" si="6"/>
        <v>-7500</v>
      </c>
      <c r="I28" s="576">
        <f>SUM(H26:H28)</f>
        <v>0</v>
      </c>
      <c r="J28" s="577">
        <f>I28*$J$5</f>
        <v>0</v>
      </c>
      <c r="K28" s="578">
        <f>SUM(I28:J28)*$K$5</f>
        <v>0</v>
      </c>
      <c r="L28" s="578">
        <f>SUM(I28:K28)*$L$5</f>
        <v>0</v>
      </c>
      <c r="M28" s="578">
        <f>SUM(I28:L28)*$M$5</f>
        <v>0</v>
      </c>
      <c r="N28" s="578">
        <f>SUM(I28:M28)*$N$5</f>
        <v>0</v>
      </c>
      <c r="O28" s="579">
        <f>SUM(I28:N28)</f>
        <v>0</v>
      </c>
      <c r="P28" s="576">
        <f>ROUND(O28,-3)</f>
        <v>0</v>
      </c>
    </row>
    <row r="29" spans="2:17" s="420" customFormat="1" ht="15" customHeight="1" thickBot="1" x14ac:dyDescent="0.25">
      <c r="B29" s="964"/>
      <c r="C29" s="1230"/>
      <c r="D29" s="516"/>
      <c r="E29" s="517"/>
      <c r="F29" s="518"/>
      <c r="G29" s="519"/>
      <c r="H29" s="520"/>
      <c r="I29" s="521"/>
      <c r="J29" s="522"/>
      <c r="K29" s="523"/>
      <c r="L29" s="523"/>
      <c r="M29" s="523"/>
      <c r="N29" s="523"/>
      <c r="O29" s="522"/>
      <c r="P29" s="521"/>
    </row>
    <row r="30" spans="2:17" s="426" customFormat="1" ht="10.5" customHeight="1" x14ac:dyDescent="0.2">
      <c r="B30" s="962" t="str">
        <f>'Detailed Matrix'!E227</f>
        <v>Implementation of physical security measures</v>
      </c>
      <c r="C30" s="1228" t="str">
        <f>'Detailed Matrix'!F227</f>
        <v>Stage 0 1 - Internal secure zones for different building user types</v>
      </c>
      <c r="D30" s="492" t="s">
        <v>154</v>
      </c>
      <c r="E30" s="493"/>
      <c r="F30" s="494"/>
      <c r="G30" s="495"/>
      <c r="H30" s="496"/>
      <c r="I30" s="497"/>
      <c r="J30" s="498"/>
      <c r="K30" s="499"/>
      <c r="L30" s="499"/>
      <c r="M30" s="499"/>
      <c r="N30" s="499"/>
      <c r="O30" s="498"/>
      <c r="P30" s="497"/>
    </row>
    <row r="31" spans="2:17" s="426" customFormat="1" ht="14.45" customHeight="1" x14ac:dyDescent="0.2">
      <c r="B31" s="963"/>
      <c r="C31" s="1229"/>
      <c r="D31" s="500" t="s">
        <v>581</v>
      </c>
      <c r="E31" s="501">
        <v>1</v>
      </c>
      <c r="F31" s="502" t="s">
        <v>576</v>
      </c>
      <c r="G31" s="503"/>
      <c r="H31" s="504">
        <f t="shared" ref="H31" si="7">E31*G31</f>
        <v>0</v>
      </c>
      <c r="I31" s="505">
        <f>SUM(H30:H31)</f>
        <v>0</v>
      </c>
      <c r="J31" s="506">
        <f>I31*$J$5</f>
        <v>0</v>
      </c>
      <c r="K31" s="507">
        <f>SUM(I31:J31)*$K$5</f>
        <v>0</v>
      </c>
      <c r="L31" s="507">
        <f>SUM(I31:K31)*$L$5</f>
        <v>0</v>
      </c>
      <c r="M31" s="507">
        <f>SUM(I31:L31)*$M$5</f>
        <v>0</v>
      </c>
      <c r="N31" s="507">
        <f>SUM(I31:M31)*$N$5</f>
        <v>0</v>
      </c>
      <c r="O31" s="506">
        <f>SUM(I31:N31)</f>
        <v>0</v>
      </c>
      <c r="P31" s="505" t="s">
        <v>524</v>
      </c>
    </row>
    <row r="32" spans="2:17" s="426" customFormat="1" ht="14.45" customHeight="1" x14ac:dyDescent="0.2">
      <c r="B32" s="963"/>
      <c r="C32" s="1229"/>
      <c r="D32" s="500"/>
      <c r="E32" s="501"/>
      <c r="F32" s="502"/>
      <c r="G32" s="503"/>
      <c r="H32" s="504"/>
      <c r="I32" s="505"/>
      <c r="J32" s="506"/>
      <c r="K32" s="507"/>
      <c r="L32" s="507"/>
      <c r="M32" s="507"/>
      <c r="N32" s="507"/>
      <c r="O32" s="506"/>
      <c r="P32" s="505"/>
    </row>
    <row r="33" spans="2:17" s="426" customFormat="1" ht="14.45" customHeight="1" x14ac:dyDescent="0.2">
      <c r="B33" s="963"/>
      <c r="C33" s="1229"/>
      <c r="D33" s="500" t="s">
        <v>155</v>
      </c>
      <c r="E33" s="501"/>
      <c r="F33" s="502"/>
      <c r="G33" s="503"/>
      <c r="H33" s="504"/>
      <c r="I33" s="505"/>
      <c r="J33" s="506"/>
      <c r="K33" s="507"/>
      <c r="L33" s="507"/>
      <c r="M33" s="507"/>
      <c r="N33" s="507"/>
      <c r="O33" s="506"/>
      <c r="P33" s="505"/>
    </row>
    <row r="34" spans="2:17" s="426" customFormat="1" ht="14.45" customHeight="1" x14ac:dyDescent="0.2">
      <c r="B34" s="963"/>
      <c r="C34" s="1229"/>
      <c r="D34" s="500" t="s">
        <v>581</v>
      </c>
      <c r="E34" s="501">
        <v>1</v>
      </c>
      <c r="F34" s="502" t="s">
        <v>576</v>
      </c>
      <c r="G34" s="503"/>
      <c r="H34" s="504">
        <f t="shared" ref="H34" si="8">E34*G34</f>
        <v>0</v>
      </c>
      <c r="I34" s="505">
        <f>SUM(H33:H34)</f>
        <v>0</v>
      </c>
      <c r="J34" s="506">
        <f>I34*$J$5</f>
        <v>0</v>
      </c>
      <c r="K34" s="507">
        <f>SUM(I34:J34)*$K$5</f>
        <v>0</v>
      </c>
      <c r="L34" s="507">
        <f>SUM(I34:K34)*$L$5</f>
        <v>0</v>
      </c>
      <c r="M34" s="507">
        <f>SUM(I34:L34)*$M$5</f>
        <v>0</v>
      </c>
      <c r="N34" s="507">
        <f>SUM(I34:M34)*$N$5</f>
        <v>0</v>
      </c>
      <c r="O34" s="506">
        <f>SUM(I34:N34)</f>
        <v>0</v>
      </c>
      <c r="P34" s="505" t="s">
        <v>524</v>
      </c>
    </row>
    <row r="35" spans="2:17" s="426" customFormat="1" ht="15" customHeight="1" thickBot="1" x14ac:dyDescent="0.25">
      <c r="B35" s="964"/>
      <c r="C35" s="1230"/>
      <c r="D35" s="516"/>
      <c r="E35" s="517"/>
      <c r="F35" s="518"/>
      <c r="G35" s="519"/>
      <c r="H35" s="520"/>
      <c r="I35" s="521"/>
      <c r="J35" s="522"/>
      <c r="K35" s="523"/>
      <c r="L35" s="523"/>
      <c r="M35" s="523"/>
      <c r="N35" s="523"/>
      <c r="O35" s="522"/>
      <c r="P35" s="521"/>
    </row>
    <row r="36" spans="2:17" s="420" customFormat="1" ht="10.5" customHeight="1" x14ac:dyDescent="0.2">
      <c r="B36" s="936" t="str">
        <f>'Detailed Matrix'!E228</f>
        <v>Implementation of physical security measures</v>
      </c>
      <c r="C36" s="1252" t="str">
        <f>'Detailed Matrix'!F228</f>
        <v>Stage 02 - Measures to prevent tailgating i.e security personnel, secure/biometric access</v>
      </c>
      <c r="D36" s="427" t="s">
        <v>154</v>
      </c>
      <c r="E36" s="428"/>
      <c r="F36" s="429"/>
      <c r="G36" s="430"/>
      <c r="H36" s="431"/>
      <c r="I36" s="432"/>
      <c r="J36" s="433"/>
      <c r="K36" s="434"/>
      <c r="L36" s="434"/>
      <c r="M36" s="434"/>
      <c r="N36" s="434"/>
      <c r="O36" s="433"/>
      <c r="P36" s="432"/>
    </row>
    <row r="37" spans="2:17" s="420" customFormat="1" ht="14.45" customHeight="1" x14ac:dyDescent="0.2">
      <c r="B37" s="937"/>
      <c r="C37" s="1253"/>
      <c r="D37" s="490" t="s">
        <v>669</v>
      </c>
      <c r="E37" s="483"/>
      <c r="F37" s="484"/>
      <c r="G37" s="485"/>
      <c r="H37" s="486"/>
      <c r="I37" s="487"/>
      <c r="J37" s="488"/>
      <c r="K37" s="489"/>
      <c r="L37" s="489"/>
      <c r="M37" s="489"/>
      <c r="N37" s="489"/>
      <c r="O37" s="488"/>
      <c r="P37" s="487"/>
    </row>
    <row r="38" spans="2:17" s="420" customFormat="1" ht="14.45" customHeight="1" x14ac:dyDescent="0.2">
      <c r="B38" s="937"/>
      <c r="C38" s="1253"/>
      <c r="D38" s="490" t="s">
        <v>664</v>
      </c>
      <c r="E38" s="483">
        <v>-1</v>
      </c>
      <c r="F38" s="484" t="s">
        <v>576</v>
      </c>
      <c r="G38" s="485">
        <f>I31</f>
        <v>0</v>
      </c>
      <c r="H38" s="439">
        <f t="shared" ref="H38" si="9">E38*G38</f>
        <v>0</v>
      </c>
      <c r="I38" s="440">
        <f>SUM(H36:H38)</f>
        <v>0</v>
      </c>
      <c r="J38" s="441">
        <f>I38*$J$5</f>
        <v>0</v>
      </c>
      <c r="K38" s="442">
        <f>SUM(I38:J38)*$K$5</f>
        <v>0</v>
      </c>
      <c r="L38" s="442">
        <f>SUM(I38:K38)*$L$5</f>
        <v>0</v>
      </c>
      <c r="M38" s="442">
        <f>SUM(I38:L38)*$M$5</f>
        <v>0</v>
      </c>
      <c r="N38" s="442">
        <f>SUM(I38:M38)*$N$5</f>
        <v>0</v>
      </c>
      <c r="O38" s="443">
        <f>SUM(I38:N38)</f>
        <v>0</v>
      </c>
      <c r="P38" s="440" t="s">
        <v>524</v>
      </c>
      <c r="Q38" s="420" t="s">
        <v>600</v>
      </c>
    </row>
    <row r="39" spans="2:17" s="420" customFormat="1" ht="14.45" customHeight="1" x14ac:dyDescent="0.2">
      <c r="B39" s="937"/>
      <c r="C39" s="1253"/>
      <c r="D39" s="490"/>
      <c r="E39" s="483"/>
      <c r="F39" s="484"/>
      <c r="G39" s="485"/>
      <c r="H39" s="596"/>
      <c r="I39" s="597"/>
      <c r="J39" s="598"/>
      <c r="K39" s="599"/>
      <c r="L39" s="599"/>
      <c r="M39" s="599"/>
      <c r="N39" s="599"/>
      <c r="O39" s="600"/>
      <c r="P39" s="597"/>
    </row>
    <row r="40" spans="2:17" s="420" customFormat="1" ht="14.45" customHeight="1" x14ac:dyDescent="0.2">
      <c r="B40" s="937"/>
      <c r="C40" s="1253"/>
      <c r="D40" s="490" t="s">
        <v>155</v>
      </c>
      <c r="E40" s="483"/>
      <c r="F40" s="484"/>
      <c r="G40" s="485"/>
      <c r="H40" s="596"/>
      <c r="I40" s="597"/>
      <c r="J40" s="598"/>
      <c r="K40" s="599"/>
      <c r="L40" s="599"/>
      <c r="M40" s="599"/>
      <c r="N40" s="599"/>
      <c r="O40" s="600"/>
      <c r="P40" s="597"/>
    </row>
    <row r="41" spans="2:17" s="420" customFormat="1" ht="14.45" customHeight="1" x14ac:dyDescent="0.2">
      <c r="B41" s="937"/>
      <c r="C41" s="1253"/>
      <c r="D41" s="490" t="s">
        <v>669</v>
      </c>
      <c r="E41" s="483"/>
      <c r="F41" s="484"/>
      <c r="G41" s="485"/>
      <c r="H41" s="596"/>
      <c r="I41" s="597"/>
      <c r="J41" s="598"/>
      <c r="K41" s="599"/>
      <c r="L41" s="599"/>
      <c r="M41" s="599"/>
      <c r="N41" s="599"/>
      <c r="O41" s="600"/>
      <c r="P41" s="597"/>
    </row>
    <row r="42" spans="2:17" s="420" customFormat="1" ht="14.45" customHeight="1" x14ac:dyDescent="0.2">
      <c r="B42" s="937"/>
      <c r="C42" s="1253"/>
      <c r="D42" s="490" t="s">
        <v>664</v>
      </c>
      <c r="E42" s="483">
        <v>-1</v>
      </c>
      <c r="F42" s="484" t="s">
        <v>576</v>
      </c>
      <c r="G42" s="485">
        <f>I34</f>
        <v>0</v>
      </c>
      <c r="H42" s="439">
        <f t="shared" ref="H42" si="10">E42*G42</f>
        <v>0</v>
      </c>
      <c r="I42" s="440">
        <f>SUM(H40:H42)</f>
        <v>0</v>
      </c>
      <c r="J42" s="441">
        <f>I42*$J$5</f>
        <v>0</v>
      </c>
      <c r="K42" s="442">
        <f>SUM(I42:J42)*$K$5</f>
        <v>0</v>
      </c>
      <c r="L42" s="442">
        <f>SUM(I42:K42)*$L$5</f>
        <v>0</v>
      </c>
      <c r="M42" s="442">
        <f>SUM(I42:L42)*$M$5</f>
        <v>0</v>
      </c>
      <c r="N42" s="442">
        <f>SUM(I42:M42)*$N$5</f>
        <v>0</v>
      </c>
      <c r="O42" s="443">
        <f>SUM(I42:N42)</f>
        <v>0</v>
      </c>
      <c r="P42" s="440" t="s">
        <v>524</v>
      </c>
    </row>
    <row r="43" spans="2:17" s="420" customFormat="1" ht="15" customHeight="1" thickBot="1" x14ac:dyDescent="0.25">
      <c r="B43" s="938"/>
      <c r="C43" s="1254"/>
      <c r="D43" s="444"/>
      <c r="E43" s="445"/>
      <c r="F43" s="446"/>
      <c r="G43" s="447"/>
      <c r="H43" s="448"/>
      <c r="I43" s="449"/>
      <c r="J43" s="450"/>
      <c r="K43" s="451"/>
      <c r="L43" s="451"/>
      <c r="M43" s="451"/>
      <c r="N43" s="451"/>
      <c r="O43" s="450"/>
      <c r="P43" s="449"/>
    </row>
    <row r="44" spans="2:17" s="426" customFormat="1" ht="22.5" x14ac:dyDescent="0.2">
      <c r="B44" s="962" t="str">
        <f>'Detailed Matrix'!E229</f>
        <v>Implementation of physical security measures - CCTV</v>
      </c>
      <c r="C44" s="1228" t="str">
        <f>'Detailed Matrix'!F229</f>
        <v>Stage 0 1- Additional CCTV in public spaces</v>
      </c>
      <c r="D44" s="492" t="s">
        <v>154</v>
      </c>
      <c r="E44" s="493"/>
      <c r="F44" s="494"/>
      <c r="G44" s="495"/>
      <c r="H44" s="496"/>
      <c r="I44" s="497"/>
      <c r="J44" s="498"/>
      <c r="K44" s="499"/>
      <c r="L44" s="499"/>
      <c r="M44" s="499"/>
      <c r="N44" s="499"/>
      <c r="O44" s="498"/>
      <c r="P44" s="497"/>
    </row>
    <row r="45" spans="2:17" s="426" customFormat="1" ht="14.45" customHeight="1" x14ac:dyDescent="0.2">
      <c r="B45" s="963"/>
      <c r="C45" s="1229"/>
      <c r="D45" s="508" t="s">
        <v>670</v>
      </c>
      <c r="E45" s="501">
        <v>1</v>
      </c>
      <c r="F45" s="502" t="s">
        <v>576</v>
      </c>
      <c r="G45" s="503">
        <v>15000</v>
      </c>
      <c r="H45" s="509">
        <f t="shared" ref="H45" si="11">E45*G45</f>
        <v>15000</v>
      </c>
      <c r="I45" s="512">
        <f>SUM(H44:H45)</f>
        <v>15000</v>
      </c>
      <c r="J45" s="513">
        <f>I45*$J$5</f>
        <v>1950</v>
      </c>
      <c r="K45" s="514">
        <f>SUM(I45:J45)*$K$5</f>
        <v>762.75</v>
      </c>
      <c r="L45" s="514">
        <f>SUM(I45:K45)*$L$5</f>
        <v>974.20124999999996</v>
      </c>
      <c r="M45" s="514">
        <f>SUM(I45:L45)*$M$5</f>
        <v>1121.2170749999998</v>
      </c>
      <c r="N45" s="514">
        <f>SUM(I45:M45)*$N$5</f>
        <v>1980.8168324999999</v>
      </c>
      <c r="O45" s="515">
        <f>SUM(I45:N45)</f>
        <v>21788.985157499999</v>
      </c>
      <c r="P45" s="512">
        <f>ROUND(O45,-3)</f>
        <v>22000</v>
      </c>
      <c r="Q45" s="426" t="s">
        <v>514</v>
      </c>
    </row>
    <row r="46" spans="2:17" s="426" customFormat="1" ht="14.45" customHeight="1" x14ac:dyDescent="0.2">
      <c r="B46" s="963"/>
      <c r="C46" s="1229"/>
      <c r="D46" s="508"/>
      <c r="E46" s="501"/>
      <c r="F46" s="502"/>
      <c r="G46" s="503"/>
      <c r="H46" s="575"/>
      <c r="I46" s="576"/>
      <c r="J46" s="577"/>
      <c r="K46" s="578"/>
      <c r="L46" s="578"/>
      <c r="M46" s="578"/>
      <c r="N46" s="578"/>
      <c r="O46" s="579"/>
      <c r="P46" s="576"/>
    </row>
    <row r="47" spans="2:17" s="426" customFormat="1" ht="14.45" customHeight="1" x14ac:dyDescent="0.2">
      <c r="B47" s="963"/>
      <c r="C47" s="1229"/>
      <c r="D47" s="500" t="s">
        <v>154</v>
      </c>
      <c r="E47" s="501"/>
      <c r="F47" s="502"/>
      <c r="G47" s="503"/>
      <c r="H47" s="575"/>
      <c r="I47" s="576"/>
      <c r="J47" s="577"/>
      <c r="K47" s="578"/>
      <c r="L47" s="578"/>
      <c r="M47" s="578"/>
      <c r="N47" s="578"/>
      <c r="O47" s="579"/>
      <c r="P47" s="576"/>
    </row>
    <row r="48" spans="2:17" s="426" customFormat="1" ht="14.45" customHeight="1" x14ac:dyDescent="0.2">
      <c r="B48" s="963"/>
      <c r="C48" s="1229"/>
      <c r="D48" s="508" t="s">
        <v>670</v>
      </c>
      <c r="E48" s="501">
        <v>1</v>
      </c>
      <c r="F48" s="502" t="s">
        <v>576</v>
      </c>
      <c r="G48" s="503">
        <v>30000</v>
      </c>
      <c r="H48" s="575">
        <f t="shared" ref="H48" si="12">E48*G48</f>
        <v>30000</v>
      </c>
      <c r="I48" s="576">
        <f>SUM(H47:H48)</f>
        <v>30000</v>
      </c>
      <c r="J48" s="577">
        <f>I48*$J$5</f>
        <v>3900</v>
      </c>
      <c r="K48" s="578">
        <f>SUM(I48:J48)*$K$5</f>
        <v>1525.5</v>
      </c>
      <c r="L48" s="578">
        <f>SUM(I48:K48)*$L$5</f>
        <v>1948.4024999999999</v>
      </c>
      <c r="M48" s="578">
        <f>SUM(I48:L48)*$M$5</f>
        <v>2242.4341499999996</v>
      </c>
      <c r="N48" s="578">
        <f>SUM(I48:M48)*$N$5</f>
        <v>3961.6336649999998</v>
      </c>
      <c r="O48" s="579">
        <f>SUM(I48:N48)</f>
        <v>43577.970314999999</v>
      </c>
      <c r="P48" s="576">
        <f>ROUND(O48,-3)</f>
        <v>44000</v>
      </c>
    </row>
    <row r="49" spans="2:17" s="426" customFormat="1" ht="14.45" customHeight="1" x14ac:dyDescent="0.2">
      <c r="B49" s="963"/>
      <c r="C49" s="1229"/>
      <c r="D49" s="508"/>
      <c r="E49" s="501"/>
      <c r="F49" s="502"/>
      <c r="G49" s="503"/>
      <c r="H49" s="575"/>
      <c r="I49" s="576"/>
      <c r="J49" s="577"/>
      <c r="K49" s="578"/>
      <c r="L49" s="578"/>
      <c r="M49" s="578"/>
      <c r="N49" s="578"/>
      <c r="O49" s="579"/>
      <c r="P49" s="576"/>
    </row>
    <row r="50" spans="2:17" s="426" customFormat="1" ht="15" customHeight="1" thickBot="1" x14ac:dyDescent="0.25">
      <c r="B50" s="964"/>
      <c r="C50" s="1230"/>
      <c r="D50" s="516"/>
      <c r="E50" s="517"/>
      <c r="F50" s="518"/>
      <c r="G50" s="519"/>
      <c r="H50" s="520"/>
      <c r="I50" s="521"/>
      <c r="J50" s="522"/>
      <c r="K50" s="523"/>
      <c r="L50" s="523"/>
      <c r="M50" s="523"/>
      <c r="N50" s="523"/>
      <c r="O50" s="522"/>
      <c r="P50" s="521"/>
    </row>
    <row r="51" spans="2:17" s="420" customFormat="1" ht="10.5" customHeight="1" x14ac:dyDescent="0.2">
      <c r="B51" s="962" t="str">
        <f>'Detailed Matrix'!E230</f>
        <v>Implementation of physical security measures - CCTV</v>
      </c>
      <c r="C51" s="1228" t="str">
        <f>'Detailed Matrix'!F230</f>
        <v>Stage 02 - Comprehensive CCTV strategy with CCTV analytics to identify suspicious behaviour</v>
      </c>
      <c r="D51" s="500" t="s">
        <v>154</v>
      </c>
      <c r="E51" s="493"/>
      <c r="F51" s="494"/>
      <c r="G51" s="495"/>
      <c r="H51" s="496"/>
      <c r="I51" s="497"/>
      <c r="J51" s="498"/>
      <c r="K51" s="499"/>
      <c r="L51" s="499"/>
      <c r="M51" s="499"/>
      <c r="N51" s="499"/>
      <c r="O51" s="498"/>
      <c r="P51" s="497"/>
    </row>
    <row r="52" spans="2:17" s="420" customFormat="1" ht="14.45" customHeight="1" x14ac:dyDescent="0.2">
      <c r="B52" s="963"/>
      <c r="C52" s="1229"/>
      <c r="D52" s="508" t="s">
        <v>670</v>
      </c>
      <c r="E52" s="501">
        <v>1</v>
      </c>
      <c r="F52" s="502" t="s">
        <v>576</v>
      </c>
      <c r="G52" s="503">
        <v>35000</v>
      </c>
      <c r="H52" s="509">
        <f>E52*G52</f>
        <v>35000</v>
      </c>
      <c r="I52" s="505"/>
      <c r="J52" s="506"/>
      <c r="K52" s="507"/>
      <c r="L52" s="507"/>
      <c r="M52" s="507"/>
      <c r="N52" s="507"/>
      <c r="O52" s="506"/>
      <c r="P52" s="505"/>
    </row>
    <row r="53" spans="2:17" s="420" customFormat="1" ht="14.45" customHeight="1" x14ac:dyDescent="0.2">
      <c r="B53" s="963"/>
      <c r="C53" s="1229"/>
      <c r="D53" s="508" t="s">
        <v>664</v>
      </c>
      <c r="E53" s="501">
        <v>-1</v>
      </c>
      <c r="F53" s="502" t="s">
        <v>576</v>
      </c>
      <c r="G53" s="503">
        <f>I45</f>
        <v>15000</v>
      </c>
      <c r="H53" s="509">
        <f t="shared" ref="H53" si="13">E53*G53</f>
        <v>-15000</v>
      </c>
      <c r="I53" s="512">
        <f>SUM(H51:H53)</f>
        <v>20000</v>
      </c>
      <c r="J53" s="513">
        <f>I53*$J$5</f>
        <v>2600</v>
      </c>
      <c r="K53" s="514">
        <f>SUM(I53:J53)*$K$5</f>
        <v>1017</v>
      </c>
      <c r="L53" s="514">
        <f>SUM(I53:K53)*$L$5</f>
        <v>1298.9349999999999</v>
      </c>
      <c r="M53" s="514">
        <f>SUM(I53:L53)*$M$5</f>
        <v>1494.9561000000001</v>
      </c>
      <c r="N53" s="514">
        <f>SUM(I53:M53)*$N$5</f>
        <v>2641.0891100000003</v>
      </c>
      <c r="O53" s="515">
        <f>SUM(I53:N53)</f>
        <v>29051.980210000002</v>
      </c>
      <c r="P53" s="512">
        <f>ROUND(O53,-3)</f>
        <v>29000</v>
      </c>
      <c r="Q53" s="420" t="s">
        <v>514</v>
      </c>
    </row>
    <row r="54" spans="2:17" s="420" customFormat="1" ht="14.45" customHeight="1" x14ac:dyDescent="0.2">
      <c r="B54" s="963"/>
      <c r="C54" s="1229"/>
      <c r="D54" s="508"/>
      <c r="E54" s="501"/>
      <c r="F54" s="502"/>
      <c r="G54" s="503"/>
      <c r="H54" s="575"/>
      <c r="I54" s="576"/>
      <c r="J54" s="577"/>
      <c r="K54" s="578"/>
      <c r="L54" s="578"/>
      <c r="M54" s="578"/>
      <c r="N54" s="578"/>
      <c r="O54" s="579"/>
      <c r="P54" s="576"/>
    </row>
    <row r="55" spans="2:17" s="420" customFormat="1" ht="14.45" customHeight="1" x14ac:dyDescent="0.2">
      <c r="B55" s="963"/>
      <c r="C55" s="1229"/>
      <c r="D55" s="500" t="s">
        <v>154</v>
      </c>
      <c r="E55" s="501"/>
      <c r="F55" s="502"/>
      <c r="G55" s="503"/>
      <c r="H55" s="575"/>
      <c r="I55" s="576"/>
      <c r="J55" s="577"/>
      <c r="K55" s="578"/>
      <c r="L55" s="578"/>
      <c r="M55" s="578"/>
      <c r="N55" s="578"/>
      <c r="O55" s="579"/>
      <c r="P55" s="576"/>
    </row>
    <row r="56" spans="2:17" s="420" customFormat="1" ht="14.45" customHeight="1" x14ac:dyDescent="0.2">
      <c r="B56" s="963"/>
      <c r="C56" s="1229"/>
      <c r="D56" s="508" t="s">
        <v>670</v>
      </c>
      <c r="E56" s="501">
        <v>1</v>
      </c>
      <c r="F56" s="502" t="s">
        <v>576</v>
      </c>
      <c r="G56" s="503">
        <v>45000</v>
      </c>
      <c r="H56" s="509">
        <f>E56*G56</f>
        <v>45000</v>
      </c>
      <c r="I56" s="505"/>
      <c r="J56" s="506"/>
      <c r="K56" s="507"/>
      <c r="L56" s="507"/>
      <c r="M56" s="507"/>
      <c r="N56" s="507"/>
      <c r="O56" s="506"/>
      <c r="P56" s="505"/>
    </row>
    <row r="57" spans="2:17" s="420" customFormat="1" ht="14.45" customHeight="1" x14ac:dyDescent="0.2">
      <c r="B57" s="963"/>
      <c r="C57" s="1229"/>
      <c r="D57" s="508" t="s">
        <v>664</v>
      </c>
      <c r="E57" s="501">
        <v>-1</v>
      </c>
      <c r="F57" s="502" t="s">
        <v>576</v>
      </c>
      <c r="G57" s="503">
        <f>I48</f>
        <v>30000</v>
      </c>
      <c r="H57" s="509">
        <f t="shared" ref="H57" si="14">E57*G57</f>
        <v>-30000</v>
      </c>
      <c r="I57" s="512">
        <f>SUM(H55:H57)</f>
        <v>15000</v>
      </c>
      <c r="J57" s="513">
        <f>I57*$J$5</f>
        <v>1950</v>
      </c>
      <c r="K57" s="514">
        <f>SUM(I57:J57)*$K$5</f>
        <v>762.75</v>
      </c>
      <c r="L57" s="514">
        <f>SUM(I57:K57)*$L$5</f>
        <v>974.20124999999996</v>
      </c>
      <c r="M57" s="514">
        <f>SUM(I57:L57)*$M$5</f>
        <v>1121.2170749999998</v>
      </c>
      <c r="N57" s="514">
        <f>SUM(I57:M57)*$N$5</f>
        <v>1980.8168324999999</v>
      </c>
      <c r="O57" s="515">
        <f>SUM(I57:N57)</f>
        <v>21788.985157499999</v>
      </c>
      <c r="P57" s="512">
        <f>ROUND(O57,-3)</f>
        <v>22000</v>
      </c>
    </row>
    <row r="58" spans="2:17" s="420" customFormat="1" ht="14.45" customHeight="1" x14ac:dyDescent="0.2">
      <c r="B58" s="963"/>
      <c r="C58" s="1229"/>
      <c r="D58" s="961"/>
      <c r="E58" s="790"/>
      <c r="F58" s="791"/>
      <c r="G58" s="584"/>
      <c r="H58" s="575"/>
      <c r="I58" s="576"/>
      <c r="J58" s="577"/>
      <c r="K58" s="578"/>
      <c r="L58" s="578"/>
      <c r="M58" s="578"/>
      <c r="N58" s="578"/>
      <c r="O58" s="579"/>
      <c r="P58" s="576"/>
    </row>
    <row r="59" spans="2:17" s="420" customFormat="1" ht="15" customHeight="1" thickBot="1" x14ac:dyDescent="0.25">
      <c r="B59" s="964"/>
      <c r="C59" s="1230"/>
      <c r="D59" s="516"/>
      <c r="E59" s="517"/>
      <c r="F59" s="518"/>
      <c r="G59" s="519"/>
      <c r="H59" s="520"/>
      <c r="I59" s="521"/>
      <c r="J59" s="522"/>
      <c r="K59" s="523"/>
      <c r="L59" s="523"/>
      <c r="M59" s="523"/>
      <c r="N59" s="523"/>
      <c r="O59" s="522"/>
      <c r="P59" s="521"/>
    </row>
  </sheetData>
  <mergeCells count="8">
    <mergeCell ref="C36:C43"/>
    <mergeCell ref="C44:C50"/>
    <mergeCell ref="C51:C59"/>
    <mergeCell ref="B2:P3"/>
    <mergeCell ref="C6:C12"/>
    <mergeCell ref="C13:C21"/>
    <mergeCell ref="C22:C29"/>
    <mergeCell ref="C30:C3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27BB7-F042-4588-B5B1-0B902679729E}">
  <sheetPr>
    <tabColor theme="4" tint="0.79998168889431442"/>
  </sheetPr>
  <dimension ref="B2:Q52"/>
  <sheetViews>
    <sheetView topLeftCell="A28" zoomScale="130" zoomScaleNormal="130" workbookViewId="0">
      <selection activeCell="G50" sqref="G50"/>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6" ht="15.6" customHeight="1" x14ac:dyDescent="0.25">
      <c r="B2" s="1243" t="str" cm="1">
        <f t="array" aca="1" ref="B2" ca="1">MID(CELL("filename",A1),FIND("]",CELL("filename",A1))+1,256)</f>
        <v>Value &amp; Cost</v>
      </c>
      <c r="C2" s="1244"/>
      <c r="D2" s="1244"/>
      <c r="E2" s="1244"/>
      <c r="F2" s="1244"/>
      <c r="G2" s="1244"/>
      <c r="H2" s="1244"/>
      <c r="I2" s="1244"/>
      <c r="J2" s="1244"/>
      <c r="K2" s="1244"/>
      <c r="L2" s="1244"/>
      <c r="M2" s="1244"/>
      <c r="N2" s="1244"/>
      <c r="O2" s="1244"/>
      <c r="P2" s="1284"/>
    </row>
    <row r="3" spans="2:16" ht="15" customHeight="1" thickBot="1" x14ac:dyDescent="0.3">
      <c r="B3" s="1246"/>
      <c r="C3" s="1247"/>
      <c r="D3" s="1247"/>
      <c r="E3" s="1247"/>
      <c r="F3" s="1247"/>
      <c r="G3" s="1247"/>
      <c r="H3" s="1247"/>
      <c r="I3" s="1247"/>
      <c r="J3" s="1247"/>
      <c r="K3" s="1247"/>
      <c r="L3" s="1247"/>
      <c r="M3" s="1247"/>
      <c r="N3" s="1247"/>
      <c r="O3" s="1247"/>
      <c r="P3" s="1285"/>
    </row>
    <row r="4" spans="2:16"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6"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6" s="420" customFormat="1" ht="12.6" customHeight="1" x14ac:dyDescent="0.2">
      <c r="B6" s="933" t="str">
        <f>'Detailed Matrix'!E232</f>
        <v xml:space="preserve">Identification of relevant functionalities </v>
      </c>
      <c r="C6" s="1228" t="str">
        <f>'Detailed Matrix'!F232</f>
        <v>Undertake appropriate consultation with each stakeholder group to get opinion and feedback from all stakeholders with the aim of incorporating feedback into the design.</v>
      </c>
      <c r="D6" s="492" t="s">
        <v>556</v>
      </c>
      <c r="E6" s="493">
        <v>1</v>
      </c>
      <c r="F6" s="494"/>
      <c r="G6" s="495"/>
      <c r="H6" s="496">
        <f t="shared" ref="H6:H12" si="0">E6*G6</f>
        <v>0</v>
      </c>
      <c r="I6" s="497"/>
      <c r="J6" s="498"/>
      <c r="K6" s="499"/>
      <c r="L6" s="499"/>
      <c r="M6" s="499"/>
      <c r="N6" s="499"/>
      <c r="O6" s="498"/>
      <c r="P6" s="497"/>
    </row>
    <row r="7" spans="2:16" s="420" customFormat="1" ht="14.45" customHeight="1" x14ac:dyDescent="0.2">
      <c r="B7" s="934"/>
      <c r="C7" s="1229"/>
      <c r="D7" s="500"/>
      <c r="E7" s="501">
        <v>1</v>
      </c>
      <c r="F7" s="502"/>
      <c r="G7" s="503"/>
      <c r="H7" s="504">
        <f t="shared" si="0"/>
        <v>0</v>
      </c>
      <c r="I7" s="505"/>
      <c r="J7" s="506"/>
      <c r="K7" s="507"/>
      <c r="L7" s="507"/>
      <c r="M7" s="507"/>
      <c r="N7" s="507"/>
      <c r="O7" s="506"/>
      <c r="P7" s="505"/>
    </row>
    <row r="8" spans="2:16" s="420" customFormat="1" ht="14.45" customHeight="1" x14ac:dyDescent="0.2">
      <c r="B8" s="934"/>
      <c r="C8" s="1229"/>
      <c r="D8" s="500"/>
      <c r="E8" s="501">
        <v>1</v>
      </c>
      <c r="F8" s="502"/>
      <c r="G8" s="503"/>
      <c r="H8" s="504">
        <f t="shared" si="0"/>
        <v>0</v>
      </c>
      <c r="I8" s="505"/>
      <c r="J8" s="506"/>
      <c r="K8" s="507"/>
      <c r="L8" s="507"/>
      <c r="M8" s="507"/>
      <c r="N8" s="507"/>
      <c r="O8" s="506"/>
      <c r="P8" s="505"/>
    </row>
    <row r="9" spans="2:16" s="420" customFormat="1" ht="14.45" customHeight="1" x14ac:dyDescent="0.2">
      <c r="B9" s="934"/>
      <c r="C9" s="1229"/>
      <c r="D9" s="500"/>
      <c r="E9" s="501">
        <v>1</v>
      </c>
      <c r="F9" s="502"/>
      <c r="G9" s="503"/>
      <c r="H9" s="504">
        <f t="shared" si="0"/>
        <v>0</v>
      </c>
      <c r="I9" s="505"/>
      <c r="J9" s="506"/>
      <c r="K9" s="507"/>
      <c r="L9" s="507"/>
      <c r="M9" s="507"/>
      <c r="N9" s="507"/>
      <c r="O9" s="506"/>
      <c r="P9" s="505"/>
    </row>
    <row r="10" spans="2:16" s="420" customFormat="1" ht="14.45" customHeight="1" x14ac:dyDescent="0.2">
      <c r="B10" s="934"/>
      <c r="C10" s="1229"/>
      <c r="D10" s="500"/>
      <c r="E10" s="501">
        <v>1</v>
      </c>
      <c r="F10" s="502"/>
      <c r="G10" s="503"/>
      <c r="H10" s="504">
        <f t="shared" si="0"/>
        <v>0</v>
      </c>
      <c r="I10" s="505"/>
      <c r="J10" s="506"/>
      <c r="K10" s="507"/>
      <c r="L10" s="507"/>
      <c r="M10" s="507"/>
      <c r="N10" s="507"/>
      <c r="O10" s="506"/>
      <c r="P10" s="505"/>
    </row>
    <row r="11" spans="2:16" s="420" customFormat="1" ht="14.45" customHeight="1" x14ac:dyDescent="0.2">
      <c r="B11" s="934"/>
      <c r="C11" s="1229"/>
      <c r="D11" s="500"/>
      <c r="E11" s="501">
        <v>1</v>
      </c>
      <c r="F11" s="502"/>
      <c r="G11" s="503"/>
      <c r="H11" s="504">
        <f t="shared" si="0"/>
        <v>0</v>
      </c>
      <c r="I11" s="505"/>
      <c r="J11" s="506"/>
      <c r="K11" s="507"/>
      <c r="L11" s="507"/>
      <c r="M11" s="507"/>
      <c r="N11" s="507"/>
      <c r="O11" s="506"/>
      <c r="P11" s="505"/>
    </row>
    <row r="12" spans="2:16" s="420" customFormat="1" ht="14.45" customHeight="1" x14ac:dyDescent="0.2">
      <c r="B12" s="934"/>
      <c r="C12" s="1229"/>
      <c r="D12" s="500" t="s">
        <v>581</v>
      </c>
      <c r="E12" s="501"/>
      <c r="F12" s="502"/>
      <c r="G12" s="503"/>
      <c r="H12" s="504">
        <f t="shared" si="0"/>
        <v>0</v>
      </c>
      <c r="I12" s="505">
        <f>SUM(H6:H12)</f>
        <v>0</v>
      </c>
      <c r="J12" s="506">
        <f>I12*$J$5</f>
        <v>0</v>
      </c>
      <c r="K12" s="507">
        <f>SUM(I12:J12)*$K$5</f>
        <v>0</v>
      </c>
      <c r="L12" s="507">
        <f>SUM(I12:K12)*$L$5</f>
        <v>0</v>
      </c>
      <c r="M12" s="507">
        <f>SUM(I12:L12)*$M$5</f>
        <v>0</v>
      </c>
      <c r="N12" s="507">
        <f>SUM(I12:M12)*$N$5</f>
        <v>0</v>
      </c>
      <c r="O12" s="506">
        <f>SUM(I12:N12)</f>
        <v>0</v>
      </c>
      <c r="P12" s="505">
        <f>ROUND(O12,-3)</f>
        <v>0</v>
      </c>
    </row>
    <row r="13" spans="2:16" s="420" customFormat="1" ht="14.45" customHeight="1" x14ac:dyDescent="0.2">
      <c r="B13" s="934"/>
      <c r="C13" s="1229"/>
      <c r="D13" s="500"/>
      <c r="E13" s="501"/>
      <c r="F13" s="502"/>
      <c r="G13" s="503"/>
      <c r="H13" s="504"/>
      <c r="I13" s="505"/>
      <c r="J13" s="506"/>
      <c r="K13" s="507"/>
      <c r="L13" s="507"/>
      <c r="M13" s="507"/>
      <c r="N13" s="507"/>
      <c r="O13" s="506"/>
      <c r="P13" s="505"/>
    </row>
    <row r="14" spans="2:16" s="420" customFormat="1" ht="14.45" customHeight="1" x14ac:dyDescent="0.2">
      <c r="B14" s="934"/>
      <c r="C14" s="1229"/>
      <c r="D14" s="500" t="s">
        <v>557</v>
      </c>
      <c r="E14" s="501">
        <v>1</v>
      </c>
      <c r="F14" s="502"/>
      <c r="G14" s="503"/>
      <c r="H14" s="504">
        <f>E14*G14</f>
        <v>0</v>
      </c>
      <c r="I14" s="505"/>
      <c r="J14" s="506"/>
      <c r="K14" s="507"/>
      <c r="L14" s="507"/>
      <c r="M14" s="507"/>
      <c r="N14" s="507"/>
      <c r="O14" s="506"/>
      <c r="P14" s="505"/>
    </row>
    <row r="15" spans="2:16" s="420" customFormat="1" ht="14.45" customHeight="1" x14ac:dyDescent="0.2">
      <c r="B15" s="934"/>
      <c r="C15" s="1229"/>
      <c r="D15" s="500"/>
      <c r="E15" s="501">
        <v>1</v>
      </c>
      <c r="F15" s="502"/>
      <c r="G15" s="503"/>
      <c r="H15" s="504">
        <f>E15*G15</f>
        <v>0</v>
      </c>
      <c r="I15" s="505"/>
      <c r="J15" s="506"/>
      <c r="K15" s="507"/>
      <c r="L15" s="507"/>
      <c r="M15" s="507"/>
      <c r="N15" s="507"/>
      <c r="O15" s="506"/>
      <c r="P15" s="505"/>
    </row>
    <row r="16" spans="2:16" s="420" customFormat="1" ht="14.45" customHeight="1" x14ac:dyDescent="0.2">
      <c r="B16" s="934"/>
      <c r="C16" s="1229"/>
      <c r="D16" s="500"/>
      <c r="E16" s="501">
        <v>1</v>
      </c>
      <c r="F16" s="502"/>
      <c r="G16" s="503"/>
      <c r="H16" s="504">
        <f>E16*G16</f>
        <v>0</v>
      </c>
      <c r="I16" s="505"/>
      <c r="J16" s="506"/>
      <c r="K16" s="507"/>
      <c r="L16" s="507"/>
      <c r="M16" s="507"/>
      <c r="N16" s="507"/>
      <c r="O16" s="506"/>
      <c r="P16" s="505"/>
    </row>
    <row r="17" spans="2:16" s="420" customFormat="1" ht="14.45" customHeight="1" x14ac:dyDescent="0.2">
      <c r="B17" s="934"/>
      <c r="C17" s="1229"/>
      <c r="D17" s="500"/>
      <c r="E17" s="501">
        <v>1</v>
      </c>
      <c r="F17" s="502"/>
      <c r="G17" s="503"/>
      <c r="H17" s="504">
        <f>E17*G17</f>
        <v>0</v>
      </c>
      <c r="I17" s="505"/>
      <c r="J17" s="506"/>
      <c r="K17" s="507"/>
      <c r="L17" s="507"/>
      <c r="M17" s="507"/>
      <c r="N17" s="507"/>
      <c r="O17" s="506"/>
      <c r="P17" s="505"/>
    </row>
    <row r="18" spans="2:16" s="420" customFormat="1" ht="14.45" customHeight="1" x14ac:dyDescent="0.2">
      <c r="B18" s="934"/>
      <c r="C18" s="1229"/>
      <c r="D18" s="500"/>
      <c r="E18" s="501">
        <v>1</v>
      </c>
      <c r="F18" s="502"/>
      <c r="G18" s="503"/>
      <c r="H18" s="504">
        <f>E18*G18</f>
        <v>0</v>
      </c>
      <c r="I18" s="505"/>
      <c r="J18" s="506"/>
      <c r="K18" s="507"/>
      <c r="L18" s="507"/>
      <c r="M18" s="507"/>
      <c r="N18" s="507"/>
      <c r="O18" s="506"/>
      <c r="P18" s="505"/>
    </row>
    <row r="19" spans="2:16" s="420" customFormat="1" ht="14.45" customHeight="1" x14ac:dyDescent="0.2">
      <c r="B19" s="934"/>
      <c r="C19" s="1229"/>
      <c r="D19" s="500" t="s">
        <v>581</v>
      </c>
      <c r="E19" s="501">
        <v>1</v>
      </c>
      <c r="F19" s="502"/>
      <c r="G19" s="503"/>
      <c r="H19" s="504">
        <f t="shared" ref="H19" si="1">E19*G19</f>
        <v>0</v>
      </c>
      <c r="I19" s="505">
        <f>SUM(H13:H19)</f>
        <v>0</v>
      </c>
      <c r="J19" s="506">
        <f>I19*$J$5</f>
        <v>0</v>
      </c>
      <c r="K19" s="507">
        <f>SUM(I19:J19)*$K$5</f>
        <v>0</v>
      </c>
      <c r="L19" s="507">
        <f>SUM(I19:K19)*$L$5</f>
        <v>0</v>
      </c>
      <c r="M19" s="507">
        <f>SUM(I19:L19)*$M$5</f>
        <v>0</v>
      </c>
      <c r="N19" s="507">
        <f>SUM(I19:M19)*$N$5</f>
        <v>0</v>
      </c>
      <c r="O19" s="506">
        <f>SUM(I19:N19)</f>
        <v>0</v>
      </c>
      <c r="P19" s="505">
        <f>ROUND(O19,-3)</f>
        <v>0</v>
      </c>
    </row>
    <row r="20" spans="2:16" s="420" customFormat="1" ht="15" customHeight="1" thickBot="1" x14ac:dyDescent="0.25">
      <c r="B20" s="935"/>
      <c r="C20" s="1230"/>
      <c r="D20" s="516"/>
      <c r="E20" s="517"/>
      <c r="F20" s="518"/>
      <c r="G20" s="519"/>
      <c r="H20" s="520"/>
      <c r="I20" s="521"/>
      <c r="J20" s="522"/>
      <c r="K20" s="523"/>
      <c r="L20" s="523"/>
      <c r="M20" s="523"/>
      <c r="N20" s="523"/>
      <c r="O20" s="522"/>
      <c r="P20" s="521"/>
    </row>
    <row r="21" spans="2:16" s="426" customFormat="1" ht="14.45" customHeight="1" x14ac:dyDescent="0.2">
      <c r="B21" s="962" t="str">
        <f>'Detailed Matrix'!E233</f>
        <v>Identify Stakeholders</v>
      </c>
      <c r="C21" s="1228" t="str">
        <f>'Detailed Matrix'!F233</f>
        <v>Identify multiple functionalities and facilities e.g. community use of rooms, public spaces to be used for events to maximise the space utilisation of appropriate areas within the building.</v>
      </c>
      <c r="D21" s="492" t="s">
        <v>556</v>
      </c>
      <c r="E21" s="493">
        <v>1</v>
      </c>
      <c r="F21" s="494"/>
      <c r="G21" s="495"/>
      <c r="H21" s="496">
        <f t="shared" ref="H21:H27" si="2">E21*G21</f>
        <v>0</v>
      </c>
      <c r="I21" s="497"/>
      <c r="J21" s="498"/>
      <c r="K21" s="499"/>
      <c r="L21" s="499"/>
      <c r="M21" s="499"/>
      <c r="N21" s="499"/>
      <c r="O21" s="498"/>
      <c r="P21" s="497"/>
    </row>
    <row r="22" spans="2:16" s="426" customFormat="1" ht="14.45" customHeight="1" x14ac:dyDescent="0.2">
      <c r="B22" s="963"/>
      <c r="C22" s="1229"/>
      <c r="D22" s="500"/>
      <c r="E22" s="501">
        <v>1</v>
      </c>
      <c r="F22" s="502"/>
      <c r="G22" s="503"/>
      <c r="H22" s="504">
        <f t="shared" si="2"/>
        <v>0</v>
      </c>
      <c r="I22" s="505"/>
      <c r="J22" s="506"/>
      <c r="K22" s="507"/>
      <c r="L22" s="507"/>
      <c r="M22" s="507"/>
      <c r="N22" s="507"/>
      <c r="O22" s="506"/>
      <c r="P22" s="505"/>
    </row>
    <row r="23" spans="2:16" s="426" customFormat="1" ht="14.45" customHeight="1" x14ac:dyDescent="0.2">
      <c r="B23" s="963"/>
      <c r="C23" s="1229"/>
      <c r="D23" s="500"/>
      <c r="E23" s="501">
        <v>1</v>
      </c>
      <c r="F23" s="502"/>
      <c r="G23" s="503"/>
      <c r="H23" s="504">
        <f t="shared" si="2"/>
        <v>0</v>
      </c>
      <c r="I23" s="505"/>
      <c r="J23" s="506"/>
      <c r="K23" s="507"/>
      <c r="L23" s="507"/>
      <c r="M23" s="507"/>
      <c r="N23" s="507"/>
      <c r="O23" s="506"/>
      <c r="P23" s="505"/>
    </row>
    <row r="24" spans="2:16" s="426" customFormat="1" ht="14.45" customHeight="1" x14ac:dyDescent="0.2">
      <c r="B24" s="963"/>
      <c r="C24" s="1229"/>
      <c r="D24" s="500"/>
      <c r="E24" s="501">
        <v>1</v>
      </c>
      <c r="F24" s="502"/>
      <c r="G24" s="503"/>
      <c r="H24" s="504">
        <f t="shared" si="2"/>
        <v>0</v>
      </c>
      <c r="I24" s="505"/>
      <c r="J24" s="506"/>
      <c r="K24" s="507"/>
      <c r="L24" s="507"/>
      <c r="M24" s="507"/>
      <c r="N24" s="507"/>
      <c r="O24" s="506"/>
      <c r="P24" s="505"/>
    </row>
    <row r="25" spans="2:16" s="426" customFormat="1" ht="14.45" customHeight="1" x14ac:dyDescent="0.2">
      <c r="B25" s="963"/>
      <c r="C25" s="1229"/>
      <c r="D25" s="500"/>
      <c r="E25" s="501">
        <v>1</v>
      </c>
      <c r="F25" s="502"/>
      <c r="G25" s="503"/>
      <c r="H25" s="504">
        <f t="shared" si="2"/>
        <v>0</v>
      </c>
      <c r="I25" s="505"/>
      <c r="J25" s="506"/>
      <c r="K25" s="507"/>
      <c r="L25" s="507"/>
      <c r="M25" s="507"/>
      <c r="N25" s="507"/>
      <c r="O25" s="506"/>
      <c r="P25" s="505"/>
    </row>
    <row r="26" spans="2:16" s="426" customFormat="1" ht="14.45" customHeight="1" x14ac:dyDescent="0.2">
      <c r="B26" s="963"/>
      <c r="C26" s="1229"/>
      <c r="D26" s="500"/>
      <c r="E26" s="501">
        <v>1</v>
      </c>
      <c r="F26" s="502"/>
      <c r="G26" s="503"/>
      <c r="H26" s="504">
        <f t="shared" si="2"/>
        <v>0</v>
      </c>
      <c r="I26" s="505"/>
      <c r="J26" s="506"/>
      <c r="K26" s="507"/>
      <c r="L26" s="507"/>
      <c r="M26" s="507"/>
      <c r="N26" s="507"/>
      <c r="O26" s="506"/>
      <c r="P26" s="505"/>
    </row>
    <row r="27" spans="2:16" s="426" customFormat="1" ht="14.45" customHeight="1" x14ac:dyDescent="0.2">
      <c r="B27" s="963"/>
      <c r="C27" s="1229"/>
      <c r="D27" s="500" t="s">
        <v>581</v>
      </c>
      <c r="E27" s="501"/>
      <c r="F27" s="502"/>
      <c r="G27" s="503"/>
      <c r="H27" s="504">
        <f t="shared" si="2"/>
        <v>0</v>
      </c>
      <c r="I27" s="505">
        <f>SUM(H21:H27)</f>
        <v>0</v>
      </c>
      <c r="J27" s="506">
        <f>I27*$J$5</f>
        <v>0</v>
      </c>
      <c r="K27" s="507">
        <f>SUM(I27:J27)*$K$5</f>
        <v>0</v>
      </c>
      <c r="L27" s="507">
        <f>SUM(I27:K27)*$L$5</f>
        <v>0</v>
      </c>
      <c r="M27" s="507">
        <f>SUM(I27:L27)*$M$5</f>
        <v>0</v>
      </c>
      <c r="N27" s="507">
        <f>SUM(I27:M27)*$N$5</f>
        <v>0</v>
      </c>
      <c r="O27" s="506">
        <f>SUM(I27:N27)</f>
        <v>0</v>
      </c>
      <c r="P27" s="505">
        <f>ROUND(O27,-3)</f>
        <v>0</v>
      </c>
    </row>
    <row r="28" spans="2:16" s="426" customFormat="1" ht="14.45" customHeight="1" x14ac:dyDescent="0.2">
      <c r="B28" s="963"/>
      <c r="C28" s="1229"/>
      <c r="D28" s="500"/>
      <c r="E28" s="501"/>
      <c r="F28" s="502"/>
      <c r="G28" s="503"/>
      <c r="H28" s="504"/>
      <c r="I28" s="505"/>
      <c r="J28" s="506"/>
      <c r="K28" s="507"/>
      <c r="L28" s="507"/>
      <c r="M28" s="507"/>
      <c r="N28" s="507"/>
      <c r="O28" s="506"/>
      <c r="P28" s="505"/>
    </row>
    <row r="29" spans="2:16" s="426" customFormat="1" ht="14.45" customHeight="1" x14ac:dyDescent="0.2">
      <c r="B29" s="963"/>
      <c r="C29" s="1229"/>
      <c r="D29" s="500" t="s">
        <v>557</v>
      </c>
      <c r="E29" s="501">
        <v>1</v>
      </c>
      <c r="F29" s="502"/>
      <c r="G29" s="503">
        <v>1000000</v>
      </c>
      <c r="H29" s="504">
        <f>E29*G29</f>
        <v>1000000</v>
      </c>
      <c r="I29" s="505"/>
      <c r="J29" s="506"/>
      <c r="K29" s="507"/>
      <c r="L29" s="507"/>
      <c r="M29" s="507"/>
      <c r="N29" s="507"/>
      <c r="O29" s="506"/>
      <c r="P29" s="505"/>
    </row>
    <row r="30" spans="2:16" s="426" customFormat="1" ht="14.45" customHeight="1" x14ac:dyDescent="0.2">
      <c r="B30" s="963"/>
      <c r="C30" s="1229"/>
      <c r="D30" s="500"/>
      <c r="E30" s="501">
        <v>1</v>
      </c>
      <c r="F30" s="502"/>
      <c r="G30" s="503"/>
      <c r="H30" s="504">
        <f>E30*G30</f>
        <v>0</v>
      </c>
      <c r="I30" s="505"/>
      <c r="J30" s="506"/>
      <c r="K30" s="507"/>
      <c r="L30" s="507"/>
      <c r="M30" s="507"/>
      <c r="N30" s="507"/>
      <c r="O30" s="506"/>
      <c r="P30" s="505"/>
    </row>
    <row r="31" spans="2:16" s="426" customFormat="1" ht="14.45" customHeight="1" x14ac:dyDescent="0.2">
      <c r="B31" s="963"/>
      <c r="C31" s="1229"/>
      <c r="D31" s="500"/>
      <c r="E31" s="501">
        <v>1</v>
      </c>
      <c r="F31" s="502"/>
      <c r="G31" s="503"/>
      <c r="H31" s="504">
        <f>E31*G31</f>
        <v>0</v>
      </c>
      <c r="I31" s="505"/>
      <c r="J31" s="506"/>
      <c r="K31" s="507"/>
      <c r="L31" s="507"/>
      <c r="M31" s="507"/>
      <c r="N31" s="507"/>
      <c r="O31" s="506"/>
      <c r="P31" s="505"/>
    </row>
    <row r="32" spans="2:16" s="426" customFormat="1" ht="14.45" customHeight="1" x14ac:dyDescent="0.2">
      <c r="B32" s="963"/>
      <c r="C32" s="1229"/>
      <c r="D32" s="500"/>
      <c r="E32" s="501">
        <v>1</v>
      </c>
      <c r="F32" s="502"/>
      <c r="G32" s="503"/>
      <c r="H32" s="504">
        <f>E32*G32</f>
        <v>0</v>
      </c>
      <c r="I32" s="505"/>
      <c r="J32" s="506"/>
      <c r="K32" s="507"/>
      <c r="L32" s="507"/>
      <c r="M32" s="507"/>
      <c r="N32" s="507"/>
      <c r="O32" s="506"/>
      <c r="P32" s="505"/>
    </row>
    <row r="33" spans="2:17" s="426" customFormat="1" ht="14.45" customHeight="1" x14ac:dyDescent="0.2">
      <c r="B33" s="963"/>
      <c r="C33" s="1229"/>
      <c r="D33" s="500"/>
      <c r="E33" s="501">
        <v>1</v>
      </c>
      <c r="F33" s="502"/>
      <c r="G33" s="503"/>
      <c r="H33" s="504">
        <f>E33*G33</f>
        <v>0</v>
      </c>
      <c r="I33" s="505"/>
      <c r="J33" s="506"/>
      <c r="K33" s="507"/>
      <c r="L33" s="507"/>
      <c r="M33" s="507"/>
      <c r="N33" s="507"/>
      <c r="O33" s="506"/>
      <c r="P33" s="505"/>
    </row>
    <row r="34" spans="2:17" s="426" customFormat="1" ht="14.45" customHeight="1" x14ac:dyDescent="0.2">
      <c r="B34" s="963"/>
      <c r="C34" s="1229"/>
      <c r="D34" s="500" t="s">
        <v>581</v>
      </c>
      <c r="E34" s="501">
        <v>1</v>
      </c>
      <c r="F34" s="502"/>
      <c r="G34" s="503"/>
      <c r="H34" s="504">
        <f t="shared" ref="H34" si="3">E34*G34</f>
        <v>0</v>
      </c>
      <c r="I34" s="505">
        <f>SUM(H28:H34)</f>
        <v>1000000</v>
      </c>
      <c r="J34" s="506">
        <f>I34*$J$5</f>
        <v>130000</v>
      </c>
      <c r="K34" s="507">
        <f>SUM(I34:J34)*$K$5</f>
        <v>50850</v>
      </c>
      <c r="L34" s="507">
        <f>SUM(I34:K34)*$L$5</f>
        <v>64946.75</v>
      </c>
      <c r="M34" s="507">
        <f>SUM(I34:L34)*$M$5</f>
        <v>74747.804999999993</v>
      </c>
      <c r="N34" s="507">
        <f>SUM(I34:M34)*$N$5</f>
        <v>132054.45550000001</v>
      </c>
      <c r="O34" s="506">
        <f>SUM(I34:N34)</f>
        <v>1452599.0104999999</v>
      </c>
      <c r="P34" s="505">
        <f>ROUND(O34,-3)</f>
        <v>1453000</v>
      </c>
    </row>
    <row r="35" spans="2:17" s="426" customFormat="1" ht="15" customHeight="1" thickBot="1" x14ac:dyDescent="0.25">
      <c r="B35" s="964"/>
      <c r="C35" s="1230"/>
      <c r="D35" s="516"/>
      <c r="E35" s="517"/>
      <c r="F35" s="518"/>
      <c r="G35" s="519"/>
      <c r="H35" s="520"/>
      <c r="I35" s="521"/>
      <c r="J35" s="522"/>
      <c r="K35" s="523"/>
      <c r="L35" s="523"/>
      <c r="M35" s="523"/>
      <c r="N35" s="523"/>
      <c r="O35" s="522"/>
      <c r="P35" s="521"/>
    </row>
    <row r="36" spans="2:17" s="420" customFormat="1" ht="10.5" customHeight="1" x14ac:dyDescent="0.2">
      <c r="B36" s="962" t="str">
        <f>'Detailed Matrix'!E234</f>
        <v>Post occupancy evaluation</v>
      </c>
      <c r="C36" s="1228" t="str">
        <f>'Detailed Matrix'!F234</f>
        <v>stage 01 - Post Occupancy Evaluation after the first 12 months to gain occupant feedback.
Life Cycle Cost analysis into value added for the client and the local community.</v>
      </c>
      <c r="D36" s="492" t="s">
        <v>556</v>
      </c>
      <c r="E36" s="493"/>
      <c r="F36" s="494"/>
      <c r="G36" s="495"/>
      <c r="H36" s="496"/>
      <c r="I36" s="497"/>
      <c r="J36" s="498"/>
      <c r="K36" s="499"/>
      <c r="L36" s="499"/>
      <c r="M36" s="499"/>
      <c r="N36" s="499"/>
      <c r="O36" s="498"/>
      <c r="P36" s="497"/>
    </row>
    <row r="37" spans="2:17" s="420" customFormat="1" ht="14.45" customHeight="1" x14ac:dyDescent="0.2">
      <c r="B37" s="963"/>
      <c r="C37" s="1229"/>
      <c r="D37" s="508" t="s">
        <v>671</v>
      </c>
      <c r="E37" s="501">
        <v>1</v>
      </c>
      <c r="F37" s="502" t="s">
        <v>576</v>
      </c>
      <c r="G37" s="503">
        <v>10000</v>
      </c>
      <c r="H37" s="509">
        <f t="shared" ref="H37" si="4">E37*G37</f>
        <v>10000</v>
      </c>
      <c r="I37" s="512">
        <f>SUM(H36:H37)</f>
        <v>10000</v>
      </c>
      <c r="J37" s="513">
        <f>I37*$J$5</f>
        <v>1300</v>
      </c>
      <c r="K37" s="514">
        <f>SUM(I37:J37)*$K$5</f>
        <v>508.5</v>
      </c>
      <c r="L37" s="514">
        <f>SUM(I37:K37)*$L$5</f>
        <v>649.46749999999997</v>
      </c>
      <c r="M37" s="514">
        <f>SUM(I37:L37)*$M$5</f>
        <v>747.47805000000005</v>
      </c>
      <c r="N37" s="514">
        <f>SUM(I37:M37)*$N$5</f>
        <v>1320.5445550000002</v>
      </c>
      <c r="O37" s="515">
        <f>SUM(I37:N37)</f>
        <v>14525.990105000001</v>
      </c>
      <c r="P37" s="512">
        <f>ROUND(O37,-3)</f>
        <v>15000</v>
      </c>
      <c r="Q37" s="420" t="s">
        <v>514</v>
      </c>
    </row>
    <row r="38" spans="2:17" s="420" customFormat="1" ht="14.45" customHeight="1" x14ac:dyDescent="0.2">
      <c r="B38" s="963"/>
      <c r="C38" s="1229"/>
      <c r="D38" s="508"/>
      <c r="E38" s="501"/>
      <c r="F38" s="502"/>
      <c r="G38" s="503"/>
      <c r="H38" s="575"/>
      <c r="I38" s="576"/>
      <c r="J38" s="577"/>
      <c r="K38" s="578"/>
      <c r="L38" s="578"/>
      <c r="M38" s="578"/>
      <c r="N38" s="578"/>
      <c r="O38" s="579"/>
      <c r="P38" s="576"/>
    </row>
    <row r="39" spans="2:17" s="420" customFormat="1" ht="14.45" customHeight="1" x14ac:dyDescent="0.2">
      <c r="B39" s="963"/>
      <c r="C39" s="1229"/>
      <c r="D39" s="500" t="s">
        <v>557</v>
      </c>
      <c r="E39" s="501"/>
      <c r="F39" s="502"/>
      <c r="G39" s="503"/>
      <c r="H39" s="575"/>
      <c r="I39" s="576"/>
      <c r="J39" s="577"/>
      <c r="K39" s="578"/>
      <c r="L39" s="578"/>
      <c r="M39" s="578"/>
      <c r="N39" s="578"/>
      <c r="O39" s="579"/>
      <c r="P39" s="576"/>
    </row>
    <row r="40" spans="2:17" s="420" customFormat="1" ht="14.45" customHeight="1" x14ac:dyDescent="0.2">
      <c r="B40" s="963"/>
      <c r="C40" s="1229"/>
      <c r="D40" s="508" t="s">
        <v>671</v>
      </c>
      <c r="E40" s="501">
        <v>1</v>
      </c>
      <c r="F40" s="502" t="s">
        <v>576</v>
      </c>
      <c r="G40" s="503">
        <v>25000</v>
      </c>
      <c r="H40" s="509">
        <f t="shared" ref="H40" si="5">E40*G40</f>
        <v>25000</v>
      </c>
      <c r="I40" s="512">
        <f>SUM(H39:H40)</f>
        <v>25000</v>
      </c>
      <c r="J40" s="513">
        <f>I40*$J$5</f>
        <v>3250</v>
      </c>
      <c r="K40" s="514">
        <f>SUM(I40:J40)*$K$5</f>
        <v>1271.25</v>
      </c>
      <c r="L40" s="514">
        <f>SUM(I40:K40)*$L$5</f>
        <v>1623.66875</v>
      </c>
      <c r="M40" s="514">
        <f>SUM(I40:L40)*$M$5</f>
        <v>1868.695125</v>
      </c>
      <c r="N40" s="514">
        <f>SUM(I40:M40)*$N$5</f>
        <v>3301.3613875000005</v>
      </c>
      <c r="O40" s="515">
        <f>SUM(I40:N40)</f>
        <v>36314.975262500004</v>
      </c>
      <c r="P40" s="512">
        <f>ROUND(O40,-3)</f>
        <v>36000</v>
      </c>
    </row>
    <row r="41" spans="2:17" s="420" customFormat="1" ht="14.45" customHeight="1" x14ac:dyDescent="0.2">
      <c r="B41" s="963"/>
      <c r="C41" s="1229"/>
      <c r="D41" s="508"/>
      <c r="E41" s="790"/>
      <c r="F41" s="791"/>
      <c r="G41" s="584"/>
      <c r="H41" s="575"/>
      <c r="I41" s="576"/>
      <c r="J41" s="577"/>
      <c r="K41" s="578"/>
      <c r="L41" s="578"/>
      <c r="M41" s="578"/>
      <c r="N41" s="578"/>
      <c r="O41" s="579"/>
      <c r="P41" s="576"/>
    </row>
    <row r="42" spans="2:17" s="420" customFormat="1" ht="15" customHeight="1" thickBot="1" x14ac:dyDescent="0.25">
      <c r="B42" s="964"/>
      <c r="C42" s="1230"/>
      <c r="D42" s="516"/>
      <c r="E42" s="517"/>
      <c r="F42" s="518"/>
      <c r="G42" s="519"/>
      <c r="H42" s="520"/>
      <c r="I42" s="521"/>
      <c r="J42" s="522"/>
      <c r="K42" s="523"/>
      <c r="L42" s="523"/>
      <c r="M42" s="523"/>
      <c r="N42" s="523"/>
      <c r="O42" s="522"/>
      <c r="P42" s="521"/>
    </row>
    <row r="43" spans="2:17" s="426" customFormat="1" ht="10.5" customHeight="1" x14ac:dyDescent="0.2">
      <c r="B43" s="936" t="str">
        <f>'Detailed Matrix'!E235</f>
        <v>Post occupancy evaluation</v>
      </c>
      <c r="C43" s="1252" t="str">
        <f>'Detailed Matrix'!F235</f>
        <v xml:space="preserve">Stage 02 - Coordination of Post Occupancy Evaluation data and building performance data and lessons learned feedback – make changes to the design.
Continuous evolution of the brief.  </v>
      </c>
      <c r="D43" s="427" t="s">
        <v>556</v>
      </c>
      <c r="E43" s="428"/>
      <c r="F43" s="429"/>
      <c r="G43" s="430"/>
      <c r="H43" s="431"/>
      <c r="I43" s="432"/>
      <c r="J43" s="433"/>
      <c r="K43" s="434"/>
      <c r="L43" s="434"/>
      <c r="M43" s="434"/>
      <c r="N43" s="434"/>
      <c r="O43" s="433"/>
      <c r="P43" s="432"/>
    </row>
    <row r="44" spans="2:17" s="426" customFormat="1" ht="14.45" customHeight="1" x14ac:dyDescent="0.2">
      <c r="B44" s="937"/>
      <c r="C44" s="1253"/>
      <c r="D44" s="490" t="s">
        <v>672</v>
      </c>
      <c r="E44" s="483">
        <v>1</v>
      </c>
      <c r="F44" s="484" t="s">
        <v>576</v>
      </c>
      <c r="G44" s="485">
        <v>40000</v>
      </c>
      <c r="H44" s="439">
        <f t="shared" ref="H44:H46" si="6">E44*G44</f>
        <v>40000</v>
      </c>
      <c r="I44" s="487"/>
      <c r="J44" s="488"/>
      <c r="K44" s="489"/>
      <c r="L44" s="489"/>
      <c r="M44" s="489"/>
      <c r="N44" s="489"/>
      <c r="O44" s="488"/>
      <c r="P44" s="487"/>
    </row>
    <row r="45" spans="2:17" s="426" customFormat="1" ht="14.45" customHeight="1" x14ac:dyDescent="0.2">
      <c r="B45" s="937"/>
      <c r="C45" s="1253"/>
      <c r="D45" s="490" t="s">
        <v>673</v>
      </c>
      <c r="E45" s="483">
        <v>1</v>
      </c>
      <c r="F45" s="484" t="s">
        <v>576</v>
      </c>
      <c r="G45" s="485"/>
      <c r="H45" s="486" t="s">
        <v>674</v>
      </c>
      <c r="I45" s="487"/>
      <c r="J45" s="488"/>
      <c r="K45" s="489"/>
      <c r="L45" s="489"/>
      <c r="M45" s="489"/>
      <c r="N45" s="489"/>
      <c r="O45" s="488"/>
      <c r="P45" s="487"/>
    </row>
    <row r="46" spans="2:17" s="426" customFormat="1" ht="14.45" customHeight="1" x14ac:dyDescent="0.2">
      <c r="B46" s="937"/>
      <c r="C46" s="1253"/>
      <c r="D46" s="490" t="s">
        <v>548</v>
      </c>
      <c r="E46" s="483">
        <v>-1</v>
      </c>
      <c r="F46" s="484" t="s">
        <v>576</v>
      </c>
      <c r="G46" s="485">
        <f>I37</f>
        <v>10000</v>
      </c>
      <c r="H46" s="439">
        <f t="shared" si="6"/>
        <v>-10000</v>
      </c>
      <c r="I46" s="440">
        <f>SUM(H43:H46)</f>
        <v>30000</v>
      </c>
      <c r="J46" s="441">
        <f>I46*$J$5</f>
        <v>3900</v>
      </c>
      <c r="K46" s="442">
        <f>SUM(I46:J46)*$K$5</f>
        <v>1525.5</v>
      </c>
      <c r="L46" s="442">
        <f>SUM(I46:K46)*$L$5</f>
        <v>1948.4024999999999</v>
      </c>
      <c r="M46" s="442">
        <f>SUM(I46:L46)*$M$5</f>
        <v>2242.4341499999996</v>
      </c>
      <c r="N46" s="442">
        <f>SUM(I46:M46)*$N$5</f>
        <v>3961.6336649999998</v>
      </c>
      <c r="O46" s="443">
        <f>SUM(I46:N46)</f>
        <v>43577.970314999999</v>
      </c>
      <c r="P46" s="440">
        <f>ROUND(O46,-3)</f>
        <v>44000</v>
      </c>
      <c r="Q46" s="426" t="s">
        <v>223</v>
      </c>
    </row>
    <row r="47" spans="2:17" s="426" customFormat="1" ht="14.45" customHeight="1" x14ac:dyDescent="0.2">
      <c r="B47" s="937"/>
      <c r="C47" s="1253"/>
      <c r="D47" s="490"/>
      <c r="E47" s="483"/>
      <c r="F47" s="484"/>
      <c r="G47" s="485"/>
      <c r="H47" s="596"/>
      <c r="I47" s="597"/>
      <c r="J47" s="598"/>
      <c r="K47" s="599"/>
      <c r="L47" s="599"/>
      <c r="M47" s="599"/>
      <c r="N47" s="599"/>
      <c r="O47" s="600"/>
      <c r="P47" s="597"/>
    </row>
    <row r="48" spans="2:17" s="426" customFormat="1" ht="14.45" customHeight="1" x14ac:dyDescent="0.2">
      <c r="B48" s="937"/>
      <c r="C48" s="1253"/>
      <c r="D48" s="482" t="s">
        <v>557</v>
      </c>
      <c r="E48" s="483"/>
      <c r="F48" s="484"/>
      <c r="G48" s="485"/>
      <c r="H48" s="439"/>
      <c r="I48" s="440"/>
      <c r="J48" s="441"/>
      <c r="K48" s="442"/>
      <c r="L48" s="442"/>
      <c r="M48" s="442"/>
      <c r="N48" s="442"/>
      <c r="O48" s="443"/>
      <c r="P48" s="440"/>
    </row>
    <row r="49" spans="2:17" s="426" customFormat="1" ht="14.45" customHeight="1" x14ac:dyDescent="0.2">
      <c r="B49" s="937"/>
      <c r="C49" s="1253"/>
      <c r="D49" s="490" t="s">
        <v>672</v>
      </c>
      <c r="E49" s="483">
        <v>1</v>
      </c>
      <c r="F49" s="484" t="s">
        <v>576</v>
      </c>
      <c r="G49" s="485">
        <v>70000</v>
      </c>
      <c r="H49" s="439">
        <f t="shared" ref="H49" si="7">E49*G49</f>
        <v>70000</v>
      </c>
      <c r="I49" s="440"/>
      <c r="J49" s="441"/>
      <c r="K49" s="442"/>
      <c r="L49" s="442"/>
      <c r="M49" s="442"/>
      <c r="N49" s="442"/>
      <c r="O49" s="443"/>
      <c r="P49" s="440"/>
    </row>
    <row r="50" spans="2:17" s="426" customFormat="1" ht="14.45" customHeight="1" x14ac:dyDescent="0.2">
      <c r="B50" s="937"/>
      <c r="C50" s="1253"/>
      <c r="D50" s="490" t="s">
        <v>673</v>
      </c>
      <c r="E50" s="483">
        <v>1</v>
      </c>
      <c r="F50" s="484" t="s">
        <v>576</v>
      </c>
      <c r="G50" s="485"/>
      <c r="H50" s="486" t="s">
        <v>674</v>
      </c>
      <c r="I50" s="487"/>
      <c r="J50" s="488"/>
      <c r="K50" s="489"/>
      <c r="L50" s="489"/>
      <c r="M50" s="489"/>
      <c r="N50" s="489"/>
      <c r="O50" s="488"/>
      <c r="P50" s="487"/>
    </row>
    <row r="51" spans="2:17" s="426" customFormat="1" ht="14.45" customHeight="1" x14ac:dyDescent="0.2">
      <c r="B51" s="937"/>
      <c r="C51" s="1253"/>
      <c r="D51" s="490" t="s">
        <v>548</v>
      </c>
      <c r="E51" s="483">
        <v>-1</v>
      </c>
      <c r="F51" s="484" t="s">
        <v>576</v>
      </c>
      <c r="G51" s="485">
        <f>I40</f>
        <v>25000</v>
      </c>
      <c r="H51" s="439">
        <f t="shared" ref="H51" si="8">E51*G51</f>
        <v>-25000</v>
      </c>
      <c r="I51" s="440">
        <f>SUM(H48:H51)</f>
        <v>45000</v>
      </c>
      <c r="J51" s="441">
        <f>I51*$J$5</f>
        <v>5850</v>
      </c>
      <c r="K51" s="442">
        <f>SUM(I51:J51)*$K$5</f>
        <v>2288.25</v>
      </c>
      <c r="L51" s="442">
        <f>SUM(I51:K51)*$L$5</f>
        <v>2922.6037500000002</v>
      </c>
      <c r="M51" s="442">
        <f>SUM(I51:L51)*$M$5</f>
        <v>3363.6512250000001</v>
      </c>
      <c r="N51" s="442">
        <f>SUM(I51:M51)*$N$5</f>
        <v>5942.4504975000009</v>
      </c>
      <c r="O51" s="443">
        <f>SUM(I51:N51)</f>
        <v>65366.955472500005</v>
      </c>
      <c r="P51" s="440">
        <f>ROUND(O51,-3)</f>
        <v>65000</v>
      </c>
      <c r="Q51" s="426" t="s">
        <v>223</v>
      </c>
    </row>
    <row r="52" spans="2:17" s="426" customFormat="1" ht="15" customHeight="1" thickBot="1" x14ac:dyDescent="0.25">
      <c r="B52" s="938"/>
      <c r="C52" s="1254"/>
      <c r="D52" s="444"/>
      <c r="E52" s="445"/>
      <c r="F52" s="446"/>
      <c r="G52" s="447"/>
      <c r="H52" s="448"/>
      <c r="I52" s="449"/>
      <c r="J52" s="450"/>
      <c r="K52" s="451"/>
      <c r="L52" s="451"/>
      <c r="M52" s="451"/>
      <c r="N52" s="451"/>
      <c r="O52" s="450"/>
      <c r="P52" s="449"/>
    </row>
  </sheetData>
  <mergeCells count="5">
    <mergeCell ref="B2:P3"/>
    <mergeCell ref="C6:C20"/>
    <mergeCell ref="C21:C35"/>
    <mergeCell ref="C36:C42"/>
    <mergeCell ref="C43:C5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9D54D-AAFB-4EB2-9DCB-6F8EFA473587}">
  <sheetPr>
    <tabColor theme="2" tint="-9.9978637043366805E-2"/>
  </sheetPr>
  <dimension ref="B2:Q41"/>
  <sheetViews>
    <sheetView zoomScale="145" zoomScaleNormal="145" workbookViewId="0">
      <selection activeCell="G26" sqref="G26"/>
    </sheetView>
  </sheetViews>
  <sheetFormatPr defaultRowHeight="15" x14ac:dyDescent="0.25"/>
  <cols>
    <col min="1" max="1" width="3" customWidth="1"/>
    <col min="2" max="3" width="33.140625" style="14" customWidth="1"/>
    <col min="4" max="4" width="47.85546875" customWidth="1"/>
    <col min="5" max="5" width="10.5703125" style="1" customWidth="1"/>
    <col min="6" max="6" width="7.5703125" style="1" bestFit="1" customWidth="1"/>
    <col min="7" max="7" width="10.5703125" style="1" customWidth="1"/>
    <col min="8" max="8" width="13.5703125" style="1" customWidth="1"/>
    <col min="9" max="9" width="13.42578125" style="19" bestFit="1" customWidth="1"/>
    <col min="10" max="10" width="11.5703125" style="1" bestFit="1" customWidth="1"/>
    <col min="11" max="13" width="10.5703125" style="1" bestFit="1" customWidth="1"/>
    <col min="14" max="14" width="11.5703125" style="1" bestFit="1" customWidth="1"/>
    <col min="15" max="15" width="13.42578125" style="19" bestFit="1" customWidth="1"/>
    <col min="16" max="16" width="15.5703125" style="19" customWidth="1"/>
  </cols>
  <sheetData>
    <row r="2" spans="2:17" ht="15.6" customHeight="1" x14ac:dyDescent="0.25">
      <c r="B2" s="1243" t="str" cm="1">
        <f t="array" aca="1" ref="B2" ca="1">MID(CELL("filename",A1),FIND("]",CELL("filename",A1))+1,256)</f>
        <v>Biodiversity</v>
      </c>
      <c r="C2" s="1244"/>
      <c r="D2" s="1244"/>
      <c r="E2" s="1244"/>
      <c r="F2" s="1244"/>
      <c r="G2" s="1244"/>
      <c r="H2" s="1244"/>
      <c r="I2" s="1244"/>
      <c r="J2" s="1244"/>
      <c r="K2" s="1244"/>
      <c r="L2" s="1244"/>
      <c r="M2" s="1244"/>
      <c r="N2" s="1244"/>
      <c r="O2" s="1244"/>
      <c r="P2" s="1284"/>
    </row>
    <row r="3" spans="2:17" ht="15" customHeight="1" thickBot="1" x14ac:dyDescent="0.3">
      <c r="B3" s="1246"/>
      <c r="C3" s="1247"/>
      <c r="D3" s="1247"/>
      <c r="E3" s="1247"/>
      <c r="F3" s="1247"/>
      <c r="G3" s="1247"/>
      <c r="H3" s="1247"/>
      <c r="I3" s="1247"/>
      <c r="J3" s="1247"/>
      <c r="K3" s="1247"/>
      <c r="L3" s="1247"/>
      <c r="M3" s="1247"/>
      <c r="N3" s="1247"/>
      <c r="O3" s="1247"/>
      <c r="P3" s="1285"/>
    </row>
    <row r="4" spans="2:17" s="18" customFormat="1" x14ac:dyDescent="0.25">
      <c r="B4" s="26" t="s">
        <v>51</v>
      </c>
      <c r="C4" s="35"/>
      <c r="D4" s="27" t="s">
        <v>505</v>
      </c>
      <c r="E4" s="30" t="s">
        <v>506</v>
      </c>
      <c r="F4" s="30" t="s">
        <v>507</v>
      </c>
      <c r="G4" s="30" t="s">
        <v>508</v>
      </c>
      <c r="H4" s="31" t="s">
        <v>509</v>
      </c>
      <c r="I4" s="24" t="s">
        <v>510</v>
      </c>
      <c r="J4" s="21" t="s">
        <v>3</v>
      </c>
      <c r="K4" s="30" t="s">
        <v>4</v>
      </c>
      <c r="L4" s="30" t="s">
        <v>5</v>
      </c>
      <c r="M4" s="30" t="s">
        <v>6</v>
      </c>
      <c r="N4" s="30" t="s">
        <v>7</v>
      </c>
      <c r="O4" s="21" t="s">
        <v>509</v>
      </c>
      <c r="P4" s="24" t="s">
        <v>511</v>
      </c>
    </row>
    <row r="5" spans="2:17" s="18" customFormat="1" ht="15.75" thickBot="1" x14ac:dyDescent="0.3">
      <c r="B5" s="28"/>
      <c r="C5" s="36"/>
      <c r="D5" s="29"/>
      <c r="E5" s="32"/>
      <c r="F5" s="32"/>
      <c r="G5" s="32"/>
      <c r="H5" s="33"/>
      <c r="I5" s="25"/>
      <c r="J5" s="23">
        <f>'Key Data'!$B$6</f>
        <v>0.13</v>
      </c>
      <c r="K5" s="34">
        <f>'Key Data'!$B$7</f>
        <v>4.4999999999999998E-2</v>
      </c>
      <c r="L5" s="34">
        <f>'Key Data'!$B$8</f>
        <v>5.5E-2</v>
      </c>
      <c r="M5" s="34">
        <f>'Key Data'!$B$9</f>
        <v>0.06</v>
      </c>
      <c r="N5" s="34">
        <f>'Key Data'!$B$10</f>
        <v>0.1</v>
      </c>
      <c r="O5" s="22"/>
      <c r="P5" s="25"/>
    </row>
    <row r="6" spans="2:17" s="420" customFormat="1" ht="11.25" x14ac:dyDescent="0.2">
      <c r="B6" s="962" t="str">
        <f>'Detailed Matrix'!E237</f>
        <v>Ecologist Review</v>
      </c>
      <c r="C6" s="1228" t="str">
        <f>'Detailed Matrix'!F237</f>
        <v>Appointment of ecologist to provide advice</v>
      </c>
      <c r="D6" s="492" t="s">
        <v>556</v>
      </c>
      <c r="E6" s="493"/>
      <c r="F6" s="494"/>
      <c r="G6" s="495"/>
      <c r="H6" s="496"/>
      <c r="I6" s="497"/>
      <c r="J6" s="498"/>
      <c r="K6" s="499"/>
      <c r="L6" s="499"/>
      <c r="M6" s="499"/>
      <c r="N6" s="499"/>
      <c r="O6" s="498"/>
      <c r="P6" s="497"/>
    </row>
    <row r="7" spans="2:17" s="420" customFormat="1" ht="14.45" customHeight="1" x14ac:dyDescent="0.2">
      <c r="B7" s="963"/>
      <c r="C7" s="1229"/>
      <c r="D7" s="508" t="s">
        <v>675</v>
      </c>
      <c r="E7" s="501">
        <v>1</v>
      </c>
      <c r="F7" s="502" t="s">
        <v>576</v>
      </c>
      <c r="G7" s="503">
        <v>5000</v>
      </c>
      <c r="H7" s="509">
        <f t="shared" ref="H7" si="0">E7*G7</f>
        <v>5000</v>
      </c>
      <c r="I7" s="512">
        <f>SUM(H6:H7)</f>
        <v>5000</v>
      </c>
      <c r="J7" s="513">
        <f>I7*$J$5</f>
        <v>650</v>
      </c>
      <c r="K7" s="514">
        <f>SUM(I7:J7)*$K$5</f>
        <v>254.25</v>
      </c>
      <c r="L7" s="514">
        <f>SUM(I7:K7)*$L$5</f>
        <v>324.73374999999999</v>
      </c>
      <c r="M7" s="514">
        <f>SUM(I7:L7)*$M$5</f>
        <v>373.73902500000003</v>
      </c>
      <c r="N7" s="514">
        <f>SUM(I7:M7)*$N$5</f>
        <v>660.27227750000009</v>
      </c>
      <c r="O7" s="515">
        <f>SUM(I7:N7)</f>
        <v>7262.9950525000004</v>
      </c>
      <c r="P7" s="512">
        <f>ROUND(O7,-3)</f>
        <v>7000</v>
      </c>
      <c r="Q7" s="420" t="s">
        <v>514</v>
      </c>
    </row>
    <row r="8" spans="2:17" s="420" customFormat="1" ht="14.45" customHeight="1" x14ac:dyDescent="0.2">
      <c r="B8" s="963"/>
      <c r="C8" s="1229"/>
      <c r="D8" s="508"/>
      <c r="E8" s="501"/>
      <c r="F8" s="502"/>
      <c r="G8" s="503"/>
      <c r="H8" s="575"/>
      <c r="I8" s="576"/>
      <c r="J8" s="577"/>
      <c r="K8" s="578"/>
      <c r="L8" s="578"/>
      <c r="M8" s="578"/>
      <c r="N8" s="578"/>
      <c r="O8" s="579"/>
      <c r="P8" s="576"/>
    </row>
    <row r="9" spans="2:17" s="420" customFormat="1" ht="14.45" customHeight="1" x14ac:dyDescent="0.2">
      <c r="B9" s="963"/>
      <c r="C9" s="1229"/>
      <c r="D9" s="508" t="s">
        <v>557</v>
      </c>
      <c r="E9" s="501"/>
      <c r="F9" s="502"/>
      <c r="G9" s="503"/>
      <c r="H9" s="575"/>
      <c r="I9" s="576"/>
      <c r="J9" s="577"/>
      <c r="K9" s="578"/>
      <c r="L9" s="578"/>
      <c r="M9" s="578"/>
      <c r="N9" s="578"/>
      <c r="O9" s="579"/>
      <c r="P9" s="576"/>
    </row>
    <row r="10" spans="2:17" s="420" customFormat="1" ht="14.45" customHeight="1" x14ac:dyDescent="0.2">
      <c r="B10" s="963"/>
      <c r="C10" s="1229"/>
      <c r="D10" s="508" t="s">
        <v>675</v>
      </c>
      <c r="E10" s="501">
        <v>1</v>
      </c>
      <c r="F10" s="502" t="s">
        <v>576</v>
      </c>
      <c r="G10" s="503">
        <v>25000</v>
      </c>
      <c r="H10" s="575">
        <f t="shared" ref="H10" si="1">E10*G10</f>
        <v>25000</v>
      </c>
      <c r="I10" s="576">
        <f>SUM(H9:H10)</f>
        <v>25000</v>
      </c>
      <c r="J10" s="577">
        <f>I10*$J$5</f>
        <v>3250</v>
      </c>
      <c r="K10" s="578">
        <f>SUM(I10:J10)*$K$5</f>
        <v>1271.25</v>
      </c>
      <c r="L10" s="578">
        <f>SUM(I10:K10)*$L$5</f>
        <v>1623.66875</v>
      </c>
      <c r="M10" s="578">
        <f>SUM(I10:L10)*$M$5</f>
        <v>1868.695125</v>
      </c>
      <c r="N10" s="578">
        <f>SUM(I10:M10)*$N$5</f>
        <v>3301.3613875000005</v>
      </c>
      <c r="O10" s="579">
        <f>SUM(I10:N10)</f>
        <v>36314.975262500004</v>
      </c>
      <c r="P10" s="576">
        <f>ROUND(O10,-3)</f>
        <v>36000</v>
      </c>
    </row>
    <row r="11" spans="2:17" s="420" customFormat="1" ht="15" customHeight="1" thickBot="1" x14ac:dyDescent="0.25">
      <c r="B11" s="964"/>
      <c r="C11" s="1230"/>
      <c r="D11" s="516"/>
      <c r="E11" s="517"/>
      <c r="F11" s="518"/>
      <c r="G11" s="519"/>
      <c r="H11" s="520"/>
      <c r="I11" s="521"/>
      <c r="J11" s="522"/>
      <c r="K11" s="523"/>
      <c r="L11" s="523"/>
      <c r="M11" s="523"/>
      <c r="N11" s="523"/>
      <c r="O11" s="522"/>
      <c r="P11" s="521"/>
    </row>
    <row r="12" spans="2:17" s="426" customFormat="1" ht="10.5" customHeight="1" x14ac:dyDescent="0.2">
      <c r="B12" s="962" t="str">
        <f>'Detailed Matrix'!E238</f>
        <v>Biodiversity Action Plan</v>
      </c>
      <c r="C12" s="1228" t="str">
        <f>'Detailed Matrix'!F238</f>
        <v>Stage 01 - Create a specific biodiversity action plan for the site/area.</v>
      </c>
      <c r="D12" s="492" t="s">
        <v>556</v>
      </c>
      <c r="E12" s="493"/>
      <c r="F12" s="494"/>
      <c r="G12" s="495"/>
      <c r="H12" s="496"/>
      <c r="I12" s="497"/>
      <c r="J12" s="498"/>
      <c r="K12" s="499"/>
      <c r="L12" s="499"/>
      <c r="M12" s="499"/>
      <c r="N12" s="499"/>
      <c r="O12" s="498"/>
      <c r="P12" s="497"/>
    </row>
    <row r="13" spans="2:17" s="426" customFormat="1" ht="14.45" customHeight="1" x14ac:dyDescent="0.2">
      <c r="B13" s="963"/>
      <c r="C13" s="1229"/>
      <c r="D13" s="508" t="s">
        <v>676</v>
      </c>
      <c r="E13" s="501">
        <v>1</v>
      </c>
      <c r="F13" s="502" t="s">
        <v>576</v>
      </c>
      <c r="G13" s="503">
        <v>2500</v>
      </c>
      <c r="H13" s="509">
        <f t="shared" ref="H13" si="2">E13*G13</f>
        <v>2500</v>
      </c>
      <c r="I13" s="512">
        <f>SUM(H12:H13)</f>
        <v>2500</v>
      </c>
      <c r="J13" s="513">
        <f>I13*$J$5</f>
        <v>325</v>
      </c>
      <c r="K13" s="514">
        <f>SUM(I13:J13)*$K$5</f>
        <v>127.125</v>
      </c>
      <c r="L13" s="514">
        <f>SUM(I13:K13)*$L$5</f>
        <v>162.36687499999999</v>
      </c>
      <c r="M13" s="514">
        <f>SUM(I13:L13)*$M$5</f>
        <v>186.86951250000001</v>
      </c>
      <c r="N13" s="514">
        <f>SUM(I13:M13)*$N$5</f>
        <v>330.13613875000004</v>
      </c>
      <c r="O13" s="515">
        <f>SUM(I13:N13)</f>
        <v>3631.4975262500002</v>
      </c>
      <c r="P13" s="512">
        <f>ROUND(O13,-3)</f>
        <v>4000</v>
      </c>
      <c r="Q13" s="426" t="s">
        <v>514</v>
      </c>
    </row>
    <row r="14" spans="2:17" s="426" customFormat="1" ht="14.45" customHeight="1" x14ac:dyDescent="0.2">
      <c r="B14" s="963"/>
      <c r="C14" s="1229"/>
      <c r="D14" s="508"/>
      <c r="E14" s="501"/>
      <c r="F14" s="502"/>
      <c r="G14" s="503"/>
      <c r="H14" s="575"/>
      <c r="I14" s="576"/>
      <c r="J14" s="577"/>
      <c r="K14" s="578"/>
      <c r="L14" s="578"/>
      <c r="M14" s="578"/>
      <c r="N14" s="578"/>
      <c r="O14" s="579"/>
      <c r="P14" s="576"/>
    </row>
    <row r="15" spans="2:17" s="426" customFormat="1" ht="14.45" customHeight="1" x14ac:dyDescent="0.2">
      <c r="B15" s="963"/>
      <c r="C15" s="1229"/>
      <c r="D15" s="508"/>
      <c r="E15" s="501"/>
      <c r="F15" s="502"/>
      <c r="G15" s="503"/>
      <c r="H15" s="575"/>
      <c r="I15" s="576"/>
      <c r="J15" s="577"/>
      <c r="K15" s="578"/>
      <c r="L15" s="578"/>
      <c r="M15" s="578"/>
      <c r="N15" s="578"/>
      <c r="O15" s="579"/>
      <c r="P15" s="576"/>
    </row>
    <row r="16" spans="2:17" s="426" customFormat="1" ht="14.45" customHeight="1" x14ac:dyDescent="0.2">
      <c r="B16" s="963"/>
      <c r="C16" s="1229"/>
      <c r="D16" s="500" t="s">
        <v>557</v>
      </c>
      <c r="E16" s="501"/>
      <c r="F16" s="502"/>
      <c r="G16" s="503"/>
      <c r="H16" s="575"/>
      <c r="I16" s="576"/>
      <c r="J16" s="577"/>
      <c r="K16" s="578"/>
      <c r="L16" s="578"/>
      <c r="M16" s="578"/>
      <c r="N16" s="578"/>
      <c r="O16" s="579"/>
      <c r="P16" s="576"/>
    </row>
    <row r="17" spans="2:17" s="426" customFormat="1" ht="14.45" customHeight="1" x14ac:dyDescent="0.2">
      <c r="B17" s="963"/>
      <c r="C17" s="1229"/>
      <c r="D17" s="508" t="s">
        <v>676</v>
      </c>
      <c r="E17" s="501">
        <v>1</v>
      </c>
      <c r="F17" s="502" t="s">
        <v>576</v>
      </c>
      <c r="G17" s="503">
        <v>5000</v>
      </c>
      <c r="H17" s="575">
        <f t="shared" ref="H17" si="3">E17*G17</f>
        <v>5000</v>
      </c>
      <c r="I17" s="576">
        <f>SUM(H16:H17)</f>
        <v>5000</v>
      </c>
      <c r="J17" s="577">
        <f>I17*$J$5</f>
        <v>650</v>
      </c>
      <c r="K17" s="578">
        <f>SUM(I17:J17)*$K$5</f>
        <v>254.25</v>
      </c>
      <c r="L17" s="578">
        <f>SUM(I17:K17)*$L$5</f>
        <v>324.73374999999999</v>
      </c>
      <c r="M17" s="578">
        <f>SUM(I17:L17)*$M$5</f>
        <v>373.73902500000003</v>
      </c>
      <c r="N17" s="578">
        <f>SUM(I17:M17)*$N$5</f>
        <v>660.27227750000009</v>
      </c>
      <c r="O17" s="579">
        <f>SUM(I17:N17)</f>
        <v>7262.9950525000004</v>
      </c>
      <c r="P17" s="576">
        <f>ROUND(O17,-3)</f>
        <v>7000</v>
      </c>
    </row>
    <row r="18" spans="2:17" s="426" customFormat="1" ht="15" customHeight="1" thickBot="1" x14ac:dyDescent="0.25">
      <c r="B18" s="964"/>
      <c r="C18" s="1230"/>
      <c r="D18" s="516"/>
      <c r="E18" s="517"/>
      <c r="F18" s="518"/>
      <c r="G18" s="519"/>
      <c r="H18" s="520"/>
      <c r="I18" s="521"/>
      <c r="J18" s="522"/>
      <c r="K18" s="523"/>
      <c r="L18" s="523"/>
      <c r="M18" s="523"/>
      <c r="N18" s="523"/>
      <c r="O18" s="522"/>
      <c r="P18" s="521"/>
    </row>
    <row r="19" spans="2:17" s="420" customFormat="1" ht="10.5" customHeight="1" x14ac:dyDescent="0.2">
      <c r="B19" s="962" t="str">
        <f>'Detailed Matrix'!E239</f>
        <v>Biodiversity Action Plan</v>
      </c>
      <c r="C19" s="1228" t="str">
        <f>'Detailed Matrix'!F239</f>
        <v>Stage 02 - Create a specific biodiversity action plan for the site/area, using only indigenous species.</v>
      </c>
      <c r="D19" s="492" t="s">
        <v>556</v>
      </c>
      <c r="E19" s="493"/>
      <c r="F19" s="494"/>
      <c r="G19" s="495"/>
      <c r="H19" s="496"/>
      <c r="I19" s="497"/>
      <c r="J19" s="498"/>
      <c r="K19" s="499"/>
      <c r="L19" s="499"/>
      <c r="M19" s="499"/>
      <c r="N19" s="499"/>
      <c r="O19" s="498"/>
      <c r="P19" s="497"/>
    </row>
    <row r="20" spans="2:17" s="420" customFormat="1" ht="14.45" customHeight="1" x14ac:dyDescent="0.2">
      <c r="B20" s="963"/>
      <c r="C20" s="1229"/>
      <c r="D20" s="508" t="s">
        <v>676</v>
      </c>
      <c r="E20" s="501">
        <v>1</v>
      </c>
      <c r="F20" s="502" t="s">
        <v>576</v>
      </c>
      <c r="G20" s="503">
        <v>4000</v>
      </c>
      <c r="H20" s="509">
        <f>E20*G20</f>
        <v>4000</v>
      </c>
      <c r="I20" s="505"/>
      <c r="J20" s="506"/>
      <c r="K20" s="507"/>
      <c r="L20" s="507"/>
      <c r="M20" s="507"/>
      <c r="N20" s="507"/>
      <c r="O20" s="506"/>
      <c r="P20" s="505"/>
    </row>
    <row r="21" spans="2:17" s="420" customFormat="1" ht="14.45" customHeight="1" x14ac:dyDescent="0.2">
      <c r="B21" s="963"/>
      <c r="C21" s="1229"/>
      <c r="D21" s="508" t="s">
        <v>677</v>
      </c>
      <c r="E21" s="501">
        <v>-1</v>
      </c>
      <c r="F21" s="502" t="s">
        <v>576</v>
      </c>
      <c r="G21" s="503">
        <f>I13</f>
        <v>2500</v>
      </c>
      <c r="H21" s="509">
        <f>E21*G21</f>
        <v>-2500</v>
      </c>
      <c r="I21" s="512">
        <f>SUM(H19:H21)</f>
        <v>1500</v>
      </c>
      <c r="J21" s="513">
        <f>I21*$J$5</f>
        <v>195</v>
      </c>
      <c r="K21" s="514">
        <f>SUM(I21:J21)*$K$5</f>
        <v>76.274999999999991</v>
      </c>
      <c r="L21" s="514">
        <f>SUM(I21:K21)*$L$5</f>
        <v>97.420124999999999</v>
      </c>
      <c r="M21" s="514">
        <f>SUM(I21:L21)*$M$5</f>
        <v>112.12170750000001</v>
      </c>
      <c r="N21" s="514">
        <f>SUM(I21:M21)*$N$5</f>
        <v>198.08168325000003</v>
      </c>
      <c r="O21" s="515">
        <f>SUM(I21:N21)</f>
        <v>2178.8985157500001</v>
      </c>
      <c r="P21" s="512">
        <f>ROUND(O21,-3)</f>
        <v>2000</v>
      </c>
    </row>
    <row r="22" spans="2:17" s="420" customFormat="1" ht="14.45" customHeight="1" x14ac:dyDescent="0.2">
      <c r="B22" s="963"/>
      <c r="C22" s="1229"/>
      <c r="D22" s="508"/>
      <c r="E22" s="501"/>
      <c r="F22" s="502"/>
      <c r="G22" s="503"/>
      <c r="H22" s="509"/>
      <c r="I22" s="576"/>
      <c r="J22" s="577"/>
      <c r="K22" s="578"/>
      <c r="L22" s="578"/>
      <c r="M22" s="578"/>
      <c r="N22" s="578"/>
      <c r="O22" s="579"/>
      <c r="P22" s="576"/>
    </row>
    <row r="23" spans="2:17" s="420" customFormat="1" ht="14.45" customHeight="1" x14ac:dyDescent="0.2">
      <c r="B23" s="963"/>
      <c r="C23" s="1229"/>
      <c r="D23" s="500" t="s">
        <v>557</v>
      </c>
      <c r="E23" s="501"/>
      <c r="F23" s="502"/>
      <c r="G23" s="503"/>
      <c r="H23" s="509"/>
      <c r="I23" s="576"/>
      <c r="J23" s="577"/>
      <c r="K23" s="578"/>
      <c r="L23" s="578"/>
      <c r="M23" s="578"/>
      <c r="N23" s="578"/>
      <c r="O23" s="579"/>
      <c r="P23" s="576"/>
    </row>
    <row r="24" spans="2:17" s="420" customFormat="1" ht="14.45" customHeight="1" x14ac:dyDescent="0.2">
      <c r="B24" s="963"/>
      <c r="C24" s="1229"/>
      <c r="D24" s="508" t="s">
        <v>676</v>
      </c>
      <c r="E24" s="501">
        <v>1</v>
      </c>
      <c r="F24" s="502" t="s">
        <v>576</v>
      </c>
      <c r="G24" s="503">
        <v>7500</v>
      </c>
      <c r="H24" s="509">
        <f>E24*G24</f>
        <v>7500</v>
      </c>
      <c r="I24" s="576"/>
      <c r="J24" s="577"/>
      <c r="K24" s="578"/>
      <c r="L24" s="578"/>
      <c r="M24" s="578"/>
      <c r="N24" s="578"/>
      <c r="O24" s="579"/>
      <c r="P24" s="576"/>
    </row>
    <row r="25" spans="2:17" s="420" customFormat="1" ht="14.45" customHeight="1" x14ac:dyDescent="0.2">
      <c r="B25" s="963"/>
      <c r="C25" s="1229"/>
      <c r="D25" s="508" t="s">
        <v>677</v>
      </c>
      <c r="E25" s="501">
        <v>-1</v>
      </c>
      <c r="F25" s="502" t="s">
        <v>576</v>
      </c>
      <c r="G25" s="503">
        <f>I17</f>
        <v>5000</v>
      </c>
      <c r="H25" s="509">
        <f>E25*G25</f>
        <v>-5000</v>
      </c>
      <c r="I25" s="576">
        <f>SUM(H23:H25)</f>
        <v>2500</v>
      </c>
      <c r="J25" s="577">
        <f>I25*$J$5</f>
        <v>325</v>
      </c>
      <c r="K25" s="578">
        <f>SUM(I25:J25)*$K$5</f>
        <v>127.125</v>
      </c>
      <c r="L25" s="578">
        <f>SUM(I25:K25)*$L$5</f>
        <v>162.36687499999999</v>
      </c>
      <c r="M25" s="578">
        <f>SUM(I25:L25)*$M$5</f>
        <v>186.86951250000001</v>
      </c>
      <c r="N25" s="578">
        <f>SUM(I25:M25)*$N$5</f>
        <v>330.13613875000004</v>
      </c>
      <c r="O25" s="579">
        <f>SUM(I25:N25)</f>
        <v>3631.4975262500002</v>
      </c>
      <c r="P25" s="576">
        <f>ROUND(O25,-3)</f>
        <v>4000</v>
      </c>
    </row>
    <row r="26" spans="2:17" s="420" customFormat="1" ht="15" customHeight="1" thickBot="1" x14ac:dyDescent="0.25">
      <c r="B26" s="964"/>
      <c r="C26" s="1230"/>
      <c r="D26" s="516"/>
      <c r="E26" s="517"/>
      <c r="F26" s="518"/>
      <c r="G26" s="519"/>
      <c r="H26" s="520"/>
      <c r="I26" s="521"/>
      <c r="J26" s="522"/>
      <c r="K26" s="523"/>
      <c r="L26" s="523"/>
      <c r="M26" s="523"/>
      <c r="N26" s="523"/>
      <c r="O26" s="522"/>
      <c r="P26" s="521"/>
    </row>
    <row r="27" spans="2:17" s="426" customFormat="1" ht="22.5" customHeight="1" x14ac:dyDescent="0.2">
      <c r="B27" s="962" t="str">
        <f>'Detailed Matrix'!E240</f>
        <v>Creation of natural habitats (ponds etc)</v>
      </c>
      <c r="C27" s="1228" t="str">
        <f>'Detailed Matrix'!F240</f>
        <v>Create natural habitats like ponds and breeding/resting habitat for valuable or threatened species.</v>
      </c>
      <c r="D27" s="492" t="s">
        <v>556</v>
      </c>
      <c r="E27" s="493"/>
      <c r="F27" s="494"/>
      <c r="G27" s="495"/>
      <c r="H27" s="496"/>
      <c r="I27" s="497"/>
      <c r="J27" s="498"/>
      <c r="K27" s="499"/>
      <c r="L27" s="499"/>
      <c r="M27" s="499"/>
      <c r="N27" s="499"/>
      <c r="O27" s="498"/>
      <c r="P27" s="497"/>
    </row>
    <row r="28" spans="2:17" s="426" customFormat="1" ht="14.45" customHeight="1" x14ac:dyDescent="0.2">
      <c r="B28" s="963"/>
      <c r="C28" s="1229"/>
      <c r="D28" s="508" t="s">
        <v>678</v>
      </c>
      <c r="E28" s="501">
        <v>1</v>
      </c>
      <c r="F28" s="502" t="s">
        <v>576</v>
      </c>
      <c r="G28" s="503">
        <v>10000</v>
      </c>
      <c r="H28" s="509">
        <f t="shared" ref="H28" si="4">E28*G28</f>
        <v>10000</v>
      </c>
      <c r="I28" s="512">
        <f>SUM(H27:H28)</f>
        <v>10000</v>
      </c>
      <c r="J28" s="513">
        <f>I28*$J$5</f>
        <v>1300</v>
      </c>
      <c r="K28" s="514">
        <f>SUM(I28:J28)*$K$5</f>
        <v>508.5</v>
      </c>
      <c r="L28" s="514">
        <f>SUM(I28:K28)*$L$5</f>
        <v>649.46749999999997</v>
      </c>
      <c r="M28" s="514">
        <f>SUM(I28:L28)*$M$5</f>
        <v>747.47805000000005</v>
      </c>
      <c r="N28" s="514">
        <f>SUM(I28:M28)*$N$5</f>
        <v>1320.5445550000002</v>
      </c>
      <c r="O28" s="515">
        <f>SUM(I28:N28)</f>
        <v>14525.990105000001</v>
      </c>
      <c r="P28" s="512">
        <f>ROUND(O28,-3)</f>
        <v>15000</v>
      </c>
      <c r="Q28" s="426" t="s">
        <v>514</v>
      </c>
    </row>
    <row r="29" spans="2:17" s="426" customFormat="1" ht="14.45" customHeight="1" x14ac:dyDescent="0.2">
      <c r="B29" s="963"/>
      <c r="C29" s="1229"/>
      <c r="D29" s="508"/>
      <c r="E29" s="501"/>
      <c r="F29" s="502"/>
      <c r="G29" s="503"/>
      <c r="H29" s="575"/>
      <c r="I29" s="576"/>
      <c r="J29" s="577"/>
      <c r="K29" s="578"/>
      <c r="L29" s="578"/>
      <c r="M29" s="578"/>
      <c r="N29" s="578"/>
      <c r="O29" s="579"/>
      <c r="P29" s="576"/>
    </row>
    <row r="30" spans="2:17" s="426" customFormat="1" ht="14.45" customHeight="1" x14ac:dyDescent="0.2">
      <c r="B30" s="963"/>
      <c r="C30" s="1229"/>
      <c r="D30" s="508"/>
      <c r="E30" s="501"/>
      <c r="F30" s="502"/>
      <c r="G30" s="503"/>
      <c r="H30" s="575"/>
      <c r="I30" s="576"/>
      <c r="J30" s="577"/>
      <c r="K30" s="578"/>
      <c r="L30" s="578"/>
      <c r="M30" s="578"/>
      <c r="N30" s="578"/>
      <c r="O30" s="579"/>
      <c r="P30" s="576"/>
    </row>
    <row r="31" spans="2:17" s="426" customFormat="1" ht="14.45" customHeight="1" x14ac:dyDescent="0.2">
      <c r="B31" s="963"/>
      <c r="C31" s="1229"/>
      <c r="D31" s="500" t="s">
        <v>557</v>
      </c>
      <c r="E31" s="501"/>
      <c r="F31" s="502"/>
      <c r="G31" s="503"/>
      <c r="H31" s="575"/>
      <c r="I31" s="576"/>
      <c r="J31" s="577"/>
      <c r="K31" s="578"/>
      <c r="L31" s="578"/>
      <c r="M31" s="578"/>
      <c r="N31" s="578"/>
      <c r="O31" s="579"/>
      <c r="P31" s="576"/>
    </row>
    <row r="32" spans="2:17" s="426" customFormat="1" ht="14.45" customHeight="1" x14ac:dyDescent="0.2">
      <c r="B32" s="963"/>
      <c r="C32" s="1229"/>
      <c r="D32" s="961" t="s">
        <v>678</v>
      </c>
      <c r="E32" s="790">
        <v>1</v>
      </c>
      <c r="F32" s="791" t="s">
        <v>576</v>
      </c>
      <c r="G32" s="584">
        <v>500000</v>
      </c>
      <c r="H32" s="575">
        <f t="shared" ref="H32" si="5">E32*G32</f>
        <v>500000</v>
      </c>
      <c r="I32" s="576">
        <f>SUM(H31:H32)</f>
        <v>500000</v>
      </c>
      <c r="J32" s="577">
        <f>I32*$J$5</f>
        <v>65000</v>
      </c>
      <c r="K32" s="578">
        <f>SUM(I32:J32)*$K$5</f>
        <v>25425</v>
      </c>
      <c r="L32" s="578">
        <f>SUM(I32:K32)*$L$5</f>
        <v>32473.375</v>
      </c>
      <c r="M32" s="578">
        <f>SUM(I32:L32)*$M$5</f>
        <v>37373.902499999997</v>
      </c>
      <c r="N32" s="578">
        <f>SUM(I32:M32)*$N$5</f>
        <v>66027.227750000005</v>
      </c>
      <c r="O32" s="579">
        <f>SUM(I32:N32)</f>
        <v>726299.50524999993</v>
      </c>
      <c r="P32" s="576">
        <f>ROUND(O32,-3)</f>
        <v>726000</v>
      </c>
    </row>
    <row r="33" spans="2:17" s="426" customFormat="1" ht="15" customHeight="1" thickBot="1" x14ac:dyDescent="0.25">
      <c r="B33" s="964"/>
      <c r="C33" s="1230"/>
      <c r="D33" s="516"/>
      <c r="E33" s="517"/>
      <c r="F33" s="518"/>
      <c r="G33" s="519"/>
      <c r="H33" s="520"/>
      <c r="I33" s="521"/>
      <c r="J33" s="522"/>
      <c r="K33" s="523"/>
      <c r="L33" s="523"/>
      <c r="M33" s="523"/>
      <c r="N33" s="523"/>
      <c r="O33" s="522"/>
      <c r="P33" s="521"/>
    </row>
    <row r="34" spans="2:17" s="420" customFormat="1" ht="42.6" customHeight="1" x14ac:dyDescent="0.2">
      <c r="B34" s="936" t="str">
        <f>'Detailed Matrix'!E241</f>
        <v>Combined external works systems</v>
      </c>
      <c r="C34" s="1252" t="str">
        <f>'Detailed Matrix'!F241</f>
        <v>Combine systems for local management of open stormwater and green areas (blue and green infrastructure) and ensure an active nature management plan in operational phase.</v>
      </c>
      <c r="D34" s="427" t="s">
        <v>556</v>
      </c>
      <c r="E34" s="428"/>
      <c r="F34" s="429"/>
      <c r="G34" s="430"/>
      <c r="H34" s="431"/>
      <c r="I34" s="432"/>
      <c r="J34" s="433"/>
      <c r="K34" s="434"/>
      <c r="L34" s="434"/>
      <c r="M34" s="434"/>
      <c r="N34" s="434"/>
      <c r="O34" s="433"/>
      <c r="P34" s="432"/>
    </row>
    <row r="35" spans="2:17" s="420" customFormat="1" ht="14.45" customHeight="1" x14ac:dyDescent="0.2">
      <c r="B35" s="937"/>
      <c r="C35" s="1253"/>
      <c r="D35" s="490" t="s">
        <v>598</v>
      </c>
      <c r="E35" s="483">
        <v>1</v>
      </c>
      <c r="F35" s="484" t="s">
        <v>576</v>
      </c>
      <c r="G35" s="485">
        <v>5000</v>
      </c>
      <c r="H35" s="439">
        <f t="shared" ref="H35" si="6">E35*G35</f>
        <v>5000</v>
      </c>
      <c r="I35" s="440">
        <f>SUM(H34:H35)</f>
        <v>5000</v>
      </c>
      <c r="J35" s="441">
        <f>I35*$J$5</f>
        <v>650</v>
      </c>
      <c r="K35" s="442">
        <f>SUM(I35:J35)*$K$5</f>
        <v>254.25</v>
      </c>
      <c r="L35" s="442">
        <f>SUM(I35:K35)*$L$5</f>
        <v>324.73374999999999</v>
      </c>
      <c r="M35" s="442">
        <f>SUM(I35:L35)*$M$5</f>
        <v>373.73902500000003</v>
      </c>
      <c r="N35" s="442">
        <f>SUM(I35:M35)*$N$5</f>
        <v>660.27227750000009</v>
      </c>
      <c r="O35" s="443">
        <f>SUM(I35:N35)</f>
        <v>7262.9950525000004</v>
      </c>
      <c r="P35" s="440">
        <f>ROUND(O35,-3)</f>
        <v>7000</v>
      </c>
      <c r="Q35" s="420" t="s">
        <v>600</v>
      </c>
    </row>
    <row r="36" spans="2:17" s="420" customFormat="1" ht="14.45" customHeight="1" x14ac:dyDescent="0.2">
      <c r="B36" s="937"/>
      <c r="C36" s="1253"/>
      <c r="D36" s="490"/>
      <c r="E36" s="483"/>
      <c r="F36" s="484"/>
      <c r="G36" s="485"/>
      <c r="H36" s="596"/>
      <c r="I36" s="597"/>
      <c r="J36" s="598"/>
      <c r="K36" s="599"/>
      <c r="L36" s="599"/>
      <c r="M36" s="599"/>
      <c r="N36" s="599"/>
      <c r="O36" s="600"/>
      <c r="P36" s="597"/>
    </row>
    <row r="37" spans="2:17" s="420" customFormat="1" ht="14.45" customHeight="1" x14ac:dyDescent="0.2">
      <c r="B37" s="937"/>
      <c r="C37" s="1253"/>
      <c r="D37" s="490"/>
      <c r="E37" s="483"/>
      <c r="F37" s="484"/>
      <c r="G37" s="485"/>
      <c r="H37" s="596"/>
      <c r="I37" s="597"/>
      <c r="J37" s="598"/>
      <c r="K37" s="599"/>
      <c r="L37" s="599"/>
      <c r="M37" s="599"/>
      <c r="N37" s="599"/>
      <c r="O37" s="600"/>
      <c r="P37" s="597"/>
    </row>
    <row r="38" spans="2:17" s="420" customFormat="1" ht="14.45" customHeight="1" x14ac:dyDescent="0.2">
      <c r="B38" s="937"/>
      <c r="C38" s="1253"/>
      <c r="D38" s="482" t="s">
        <v>557</v>
      </c>
      <c r="E38" s="483"/>
      <c r="F38" s="484"/>
      <c r="G38" s="485"/>
      <c r="H38" s="596"/>
      <c r="I38" s="597"/>
      <c r="J38" s="598"/>
      <c r="K38" s="599"/>
      <c r="L38" s="599"/>
      <c r="M38" s="599"/>
      <c r="N38" s="599"/>
      <c r="O38" s="600"/>
      <c r="P38" s="597"/>
    </row>
    <row r="39" spans="2:17" s="420" customFormat="1" ht="14.45" customHeight="1" x14ac:dyDescent="0.2">
      <c r="B39" s="937"/>
      <c r="C39" s="1253"/>
      <c r="D39" s="490" t="s">
        <v>598</v>
      </c>
      <c r="E39" s="483">
        <v>1</v>
      </c>
      <c r="F39" s="484" t="s">
        <v>576</v>
      </c>
      <c r="G39" s="485">
        <v>1000000</v>
      </c>
      <c r="H39" s="596">
        <f t="shared" ref="H39" si="7">E39*G39</f>
        <v>1000000</v>
      </c>
      <c r="I39" s="597">
        <f>SUM(H38:H39)</f>
        <v>1000000</v>
      </c>
      <c r="J39" s="598">
        <f>I39*$J$5</f>
        <v>130000</v>
      </c>
      <c r="K39" s="599">
        <f>SUM(I39:J39)*$K$5</f>
        <v>50850</v>
      </c>
      <c r="L39" s="599">
        <f>SUM(I39:K39)*$L$5</f>
        <v>64946.75</v>
      </c>
      <c r="M39" s="599">
        <f>SUM(I39:L39)*$M$5</f>
        <v>74747.804999999993</v>
      </c>
      <c r="N39" s="599">
        <f>SUM(I39:M39)*$N$5</f>
        <v>132054.45550000001</v>
      </c>
      <c r="O39" s="600">
        <f>SUM(I39:N39)</f>
        <v>1452599.0104999999</v>
      </c>
      <c r="P39" s="597">
        <f>ROUND(O39,-3)</f>
        <v>1453000</v>
      </c>
    </row>
    <row r="40" spans="2:17" s="420" customFormat="1" ht="14.45" customHeight="1" x14ac:dyDescent="0.2">
      <c r="B40" s="937"/>
      <c r="C40" s="1253"/>
      <c r="D40" s="490"/>
      <c r="E40" s="483"/>
      <c r="F40" s="484"/>
      <c r="G40" s="485"/>
      <c r="H40" s="596"/>
      <c r="I40" s="597"/>
      <c r="J40" s="598"/>
      <c r="K40" s="599"/>
      <c r="L40" s="599"/>
      <c r="M40" s="599"/>
      <c r="N40" s="599"/>
      <c r="O40" s="600"/>
      <c r="P40" s="597"/>
    </row>
    <row r="41" spans="2:17" s="420" customFormat="1" ht="15" customHeight="1" thickBot="1" x14ac:dyDescent="0.25">
      <c r="B41" s="938"/>
      <c r="C41" s="1254"/>
      <c r="D41" s="444"/>
      <c r="E41" s="445"/>
      <c r="F41" s="446"/>
      <c r="G41" s="447"/>
      <c r="H41" s="448"/>
      <c r="I41" s="449"/>
      <c r="J41" s="450"/>
      <c r="K41" s="451"/>
      <c r="L41" s="451"/>
      <c r="M41" s="451"/>
      <c r="N41" s="451"/>
      <c r="O41" s="450"/>
      <c r="P41" s="449"/>
    </row>
  </sheetData>
  <mergeCells count="6">
    <mergeCell ref="C34:C41"/>
    <mergeCell ref="B2:P3"/>
    <mergeCell ref="C6:C11"/>
    <mergeCell ref="C12:C18"/>
    <mergeCell ref="C19:C26"/>
    <mergeCell ref="C27:C3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0B7D-3D4D-4AB6-8FD6-6BA6643C1985}">
  <sheetPr>
    <tabColor rgb="FFFF0000"/>
    <pageSetUpPr fitToPage="1"/>
  </sheetPr>
  <dimension ref="A2:G232"/>
  <sheetViews>
    <sheetView view="pageBreakPreview" zoomScale="85" zoomScaleNormal="85" zoomScaleSheetLayoutView="85" workbookViewId="0">
      <pane xSplit="4" ySplit="3" topLeftCell="E134" activePane="bottomRight" state="frozen"/>
      <selection pane="topRight" activeCell="F8" sqref="F8"/>
      <selection pane="bottomLeft" activeCell="F8" sqref="F8"/>
      <selection pane="bottomRight" activeCell="F8" sqref="F8"/>
    </sheetView>
  </sheetViews>
  <sheetFormatPr defaultRowHeight="15" x14ac:dyDescent="0.25"/>
  <cols>
    <col min="1" max="1" width="3.85546875" customWidth="1"/>
    <col min="2" max="2" width="28.42578125" style="18" bestFit="1" customWidth="1"/>
    <col min="3" max="3" width="46.5703125" style="14" customWidth="1"/>
    <col min="4" max="4" width="45.5703125" style="14" customWidth="1"/>
    <col min="5" max="5" width="12.5703125" style="1" customWidth="1"/>
    <col min="6" max="6" width="45.5703125" style="14" customWidth="1"/>
    <col min="7" max="7" width="10.5703125" bestFit="1" customWidth="1"/>
  </cols>
  <sheetData>
    <row r="2" spans="1:7" ht="15.75" thickBot="1" x14ac:dyDescent="0.3"/>
    <row r="3" spans="1:7" s="46" customFormat="1" ht="27.75" thickBot="1" x14ac:dyDescent="0.3">
      <c r="A3"/>
      <c r="B3" s="49" t="s">
        <v>143</v>
      </c>
      <c r="C3" s="45" t="s">
        <v>145</v>
      </c>
      <c r="D3" s="45" t="s">
        <v>146</v>
      </c>
      <c r="E3" s="44" t="s">
        <v>150</v>
      </c>
      <c r="F3" s="47" t="s">
        <v>679</v>
      </c>
    </row>
    <row r="4" spans="1:7" ht="15.75" thickTop="1" x14ac:dyDescent="0.25">
      <c r="B4" s="1192" t="s">
        <v>116</v>
      </c>
      <c r="C4" s="96" t="s">
        <v>164</v>
      </c>
      <c r="D4" s="96" t="s">
        <v>165</v>
      </c>
      <c r="E4" s="97">
        <v>3</v>
      </c>
      <c r="F4" s="98"/>
      <c r="G4" s="79"/>
    </row>
    <row r="5" spans="1:7" x14ac:dyDescent="0.25">
      <c r="B5" s="1098"/>
      <c r="C5" s="99" t="s">
        <v>172</v>
      </c>
      <c r="D5" s="99" t="s">
        <v>173</v>
      </c>
      <c r="E5" s="100">
        <v>4</v>
      </c>
      <c r="F5" s="102"/>
      <c r="G5" s="79"/>
    </row>
    <row r="6" spans="1:7" ht="24" x14ac:dyDescent="0.25">
      <c r="B6" s="1098"/>
      <c r="C6" s="99" t="s">
        <v>176</v>
      </c>
      <c r="D6" s="103" t="s">
        <v>177</v>
      </c>
      <c r="E6" s="100">
        <v>2</v>
      </c>
      <c r="F6" s="102" t="s">
        <v>680</v>
      </c>
      <c r="G6" s="79"/>
    </row>
    <row r="7" spans="1:7" ht="24" x14ac:dyDescent="0.25">
      <c r="B7" s="1098"/>
      <c r="C7" s="99" t="s">
        <v>180</v>
      </c>
      <c r="D7" s="99" t="s">
        <v>681</v>
      </c>
      <c r="E7" s="100">
        <v>2</v>
      </c>
      <c r="F7" s="102" t="s">
        <v>682</v>
      </c>
      <c r="G7" s="79"/>
    </row>
    <row r="8" spans="1:7" ht="24" x14ac:dyDescent="0.25">
      <c r="B8" s="1098"/>
      <c r="C8" s="99" t="s">
        <v>183</v>
      </c>
      <c r="D8" s="99" t="s">
        <v>184</v>
      </c>
      <c r="E8" s="100">
        <v>2</v>
      </c>
      <c r="F8" s="102" t="s">
        <v>680</v>
      </c>
      <c r="G8" s="79"/>
    </row>
    <row r="9" spans="1:7" x14ac:dyDescent="0.25">
      <c r="B9" s="1098"/>
      <c r="C9" s="99" t="s">
        <v>183</v>
      </c>
      <c r="D9" s="99" t="s">
        <v>185</v>
      </c>
      <c r="E9" s="100">
        <v>2</v>
      </c>
      <c r="F9" s="102" t="s">
        <v>683</v>
      </c>
      <c r="G9" s="79"/>
    </row>
    <row r="10" spans="1:7" ht="36" x14ac:dyDescent="0.25">
      <c r="B10" s="1098"/>
      <c r="C10" s="99" t="s">
        <v>684</v>
      </c>
      <c r="D10" s="103" t="s">
        <v>685</v>
      </c>
      <c r="E10" s="100">
        <v>3</v>
      </c>
      <c r="F10" s="102" t="s">
        <v>686</v>
      </c>
      <c r="G10" s="79"/>
    </row>
    <row r="11" spans="1:7" ht="24" x14ac:dyDescent="0.25">
      <c r="B11" s="1098"/>
      <c r="C11" s="99" t="s">
        <v>687</v>
      </c>
      <c r="D11" s="103" t="s">
        <v>688</v>
      </c>
      <c r="E11" s="100">
        <v>3</v>
      </c>
      <c r="F11" s="102" t="s">
        <v>689</v>
      </c>
      <c r="G11" s="79"/>
    </row>
    <row r="12" spans="1:7" ht="24" x14ac:dyDescent="0.25">
      <c r="B12" s="1098"/>
      <c r="C12" s="99" t="s">
        <v>690</v>
      </c>
      <c r="D12" s="103" t="s">
        <v>690</v>
      </c>
      <c r="E12" s="100">
        <v>3</v>
      </c>
      <c r="F12" s="102" t="s">
        <v>689</v>
      </c>
      <c r="G12" s="79"/>
    </row>
    <row r="13" spans="1:7" ht="24" x14ac:dyDescent="0.25">
      <c r="B13" s="1098"/>
      <c r="C13" s="99" t="s">
        <v>691</v>
      </c>
      <c r="D13" s="103" t="s">
        <v>691</v>
      </c>
      <c r="E13" s="100">
        <v>3</v>
      </c>
      <c r="F13" s="102" t="s">
        <v>689</v>
      </c>
      <c r="G13" s="79"/>
    </row>
    <row r="14" spans="1:7" ht="24" x14ac:dyDescent="0.25">
      <c r="B14" s="1098"/>
      <c r="C14" s="99" t="s">
        <v>692</v>
      </c>
      <c r="D14" s="103" t="s">
        <v>692</v>
      </c>
      <c r="E14" s="100">
        <v>2</v>
      </c>
      <c r="F14" s="102" t="s">
        <v>689</v>
      </c>
      <c r="G14" s="79"/>
    </row>
    <row r="15" spans="1:7" x14ac:dyDescent="0.25">
      <c r="B15" s="1098"/>
      <c r="C15" s="99" t="s">
        <v>191</v>
      </c>
      <c r="D15" s="103" t="s">
        <v>192</v>
      </c>
      <c r="E15" s="100">
        <v>4</v>
      </c>
      <c r="F15" s="102" t="s">
        <v>193</v>
      </c>
      <c r="G15" s="79"/>
    </row>
    <row r="16" spans="1:7" ht="24" x14ac:dyDescent="0.25">
      <c r="B16" s="1098"/>
      <c r="C16" s="99" t="s">
        <v>693</v>
      </c>
      <c r="D16" s="103" t="s">
        <v>693</v>
      </c>
      <c r="E16" s="100">
        <v>4</v>
      </c>
      <c r="F16" s="102" t="s">
        <v>689</v>
      </c>
      <c r="G16" s="79"/>
    </row>
    <row r="17" spans="2:6" ht="24" x14ac:dyDescent="0.25">
      <c r="B17" s="1098"/>
      <c r="C17" s="99" t="s">
        <v>694</v>
      </c>
      <c r="D17" s="103" t="s">
        <v>694</v>
      </c>
      <c r="E17" s="100">
        <v>4</v>
      </c>
      <c r="F17" s="102" t="s">
        <v>695</v>
      </c>
    </row>
    <row r="18" spans="2:6" x14ac:dyDescent="0.25">
      <c r="B18" s="1098"/>
      <c r="C18" s="99" t="s">
        <v>696</v>
      </c>
      <c r="D18" s="99" t="s">
        <v>696</v>
      </c>
      <c r="E18" s="100">
        <v>4</v>
      </c>
      <c r="F18" s="102" t="s">
        <v>697</v>
      </c>
    </row>
    <row r="19" spans="2:6" x14ac:dyDescent="0.25">
      <c r="B19" s="1098"/>
      <c r="C19" s="99"/>
      <c r="D19" s="99"/>
      <c r="E19" s="100"/>
      <c r="F19" s="102"/>
    </row>
    <row r="20" spans="2:6" ht="24" customHeight="1" x14ac:dyDescent="0.25">
      <c r="B20" s="1098"/>
      <c r="C20" s="104" t="s">
        <v>217</v>
      </c>
      <c r="D20" s="104" t="s">
        <v>218</v>
      </c>
      <c r="E20" s="100">
        <v>-3</v>
      </c>
      <c r="F20" s="1322" t="s">
        <v>698</v>
      </c>
    </row>
    <row r="21" spans="2:6" x14ac:dyDescent="0.25">
      <c r="B21" s="1098"/>
      <c r="C21" s="104" t="s">
        <v>217</v>
      </c>
      <c r="D21" s="104" t="s">
        <v>699</v>
      </c>
      <c r="E21" s="100">
        <v>-2</v>
      </c>
      <c r="F21" s="1323"/>
    </row>
    <row r="22" spans="2:6" x14ac:dyDescent="0.25">
      <c r="B22" s="1098"/>
      <c r="C22" s="104" t="s">
        <v>217</v>
      </c>
      <c r="D22" s="105" t="s">
        <v>700</v>
      </c>
      <c r="E22" s="100"/>
      <c r="F22" s="1324"/>
    </row>
    <row r="23" spans="2:6" ht="6" customHeight="1" thickBot="1" x14ac:dyDescent="0.3">
      <c r="B23" s="1193"/>
      <c r="C23" s="151"/>
      <c r="D23" s="151"/>
      <c r="E23" s="152"/>
      <c r="F23" s="154"/>
    </row>
    <row r="24" spans="2:6" x14ac:dyDescent="0.25">
      <c r="B24" s="1097" t="s">
        <v>117</v>
      </c>
      <c r="C24" s="160" t="s">
        <v>197</v>
      </c>
      <c r="D24" s="160" t="s">
        <v>701</v>
      </c>
      <c r="E24" s="162">
        <v>2</v>
      </c>
      <c r="F24" s="164"/>
    </row>
    <row r="25" spans="2:6" x14ac:dyDescent="0.25">
      <c r="B25" s="1098"/>
      <c r="C25" s="99" t="s">
        <v>197</v>
      </c>
      <c r="D25" s="99" t="s">
        <v>702</v>
      </c>
      <c r="E25" s="106">
        <v>3</v>
      </c>
      <c r="F25" s="165"/>
    </row>
    <row r="26" spans="2:6" x14ac:dyDescent="0.25">
      <c r="B26" s="1098"/>
      <c r="C26" s="99" t="s">
        <v>197</v>
      </c>
      <c r="D26" s="99" t="s">
        <v>703</v>
      </c>
      <c r="E26" s="106">
        <v>4</v>
      </c>
      <c r="F26" s="165"/>
    </row>
    <row r="27" spans="2:6" x14ac:dyDescent="0.25">
      <c r="B27" s="1098"/>
      <c r="C27" s="99" t="s">
        <v>197</v>
      </c>
      <c r="D27" s="99" t="s">
        <v>704</v>
      </c>
      <c r="E27" s="106">
        <v>5</v>
      </c>
      <c r="F27" s="165"/>
    </row>
    <row r="28" spans="2:6" x14ac:dyDescent="0.25">
      <c r="B28" s="1098"/>
      <c r="C28" s="99" t="s">
        <v>197</v>
      </c>
      <c r="D28" s="99" t="s">
        <v>705</v>
      </c>
      <c r="E28" s="106">
        <v>5</v>
      </c>
      <c r="F28" s="165"/>
    </row>
    <row r="29" spans="2:6" x14ac:dyDescent="0.25">
      <c r="B29" s="1098"/>
      <c r="C29" s="99" t="s">
        <v>205</v>
      </c>
      <c r="D29" s="99" t="s">
        <v>706</v>
      </c>
      <c r="E29" s="106">
        <v>2</v>
      </c>
      <c r="F29" s="165" t="s">
        <v>707</v>
      </c>
    </row>
    <row r="30" spans="2:6" ht="29.45" customHeight="1" x14ac:dyDescent="0.25">
      <c r="B30" s="1098"/>
      <c r="C30" s="99" t="s">
        <v>205</v>
      </c>
      <c r="D30" s="103" t="s">
        <v>708</v>
      </c>
      <c r="E30" s="106">
        <v>2</v>
      </c>
      <c r="F30" s="165" t="s">
        <v>709</v>
      </c>
    </row>
    <row r="31" spans="2:6" ht="24" x14ac:dyDescent="0.25">
      <c r="B31" s="1098"/>
      <c r="C31" s="99" t="s">
        <v>205</v>
      </c>
      <c r="D31" s="103" t="s">
        <v>708</v>
      </c>
      <c r="E31" s="106">
        <v>2</v>
      </c>
      <c r="F31" s="165" t="s">
        <v>709</v>
      </c>
    </row>
    <row r="32" spans="2:6" x14ac:dyDescent="0.25">
      <c r="B32" s="1098"/>
      <c r="C32" s="99" t="s">
        <v>209</v>
      </c>
      <c r="D32" s="99" t="s">
        <v>710</v>
      </c>
      <c r="E32" s="106">
        <v>2</v>
      </c>
      <c r="F32" s="165" t="s">
        <v>707</v>
      </c>
    </row>
    <row r="33" spans="2:6" ht="24" x14ac:dyDescent="0.25">
      <c r="B33" s="1098"/>
      <c r="C33" s="99" t="s">
        <v>209</v>
      </c>
      <c r="D33" s="103" t="s">
        <v>711</v>
      </c>
      <c r="E33" s="106">
        <v>2</v>
      </c>
      <c r="F33" s="165" t="s">
        <v>709</v>
      </c>
    </row>
    <row r="34" spans="2:6" ht="24" x14ac:dyDescent="0.25">
      <c r="B34" s="1098"/>
      <c r="C34" s="99" t="s">
        <v>209</v>
      </c>
      <c r="D34" s="103" t="s">
        <v>711</v>
      </c>
      <c r="E34" s="106">
        <v>2</v>
      </c>
      <c r="F34" s="165" t="s">
        <v>709</v>
      </c>
    </row>
    <row r="35" spans="2:6" ht="24" x14ac:dyDescent="0.25">
      <c r="B35" s="1098"/>
      <c r="C35" s="99" t="s">
        <v>213</v>
      </c>
      <c r="D35" s="99" t="s">
        <v>712</v>
      </c>
      <c r="E35" s="106">
        <v>2</v>
      </c>
      <c r="F35" s="165" t="s">
        <v>709</v>
      </c>
    </row>
    <row r="36" spans="2:6" ht="24" x14ac:dyDescent="0.25">
      <c r="B36" s="1098"/>
      <c r="C36" s="99" t="s">
        <v>213</v>
      </c>
      <c r="D36" s="99" t="s">
        <v>713</v>
      </c>
      <c r="E36" s="106">
        <v>2</v>
      </c>
      <c r="F36" s="165" t="s">
        <v>709</v>
      </c>
    </row>
    <row r="37" spans="2:6" ht="24" x14ac:dyDescent="0.25">
      <c r="B37" s="1098"/>
      <c r="C37" s="99" t="s">
        <v>213</v>
      </c>
      <c r="D37" s="103" t="s">
        <v>714</v>
      </c>
      <c r="E37" s="106">
        <v>2</v>
      </c>
      <c r="F37" s="165" t="s">
        <v>709</v>
      </c>
    </row>
    <row r="38" spans="2:6" x14ac:dyDescent="0.25">
      <c r="B38" s="1098"/>
      <c r="C38" s="99" t="s">
        <v>217</v>
      </c>
      <c r="D38" s="99" t="s">
        <v>218</v>
      </c>
      <c r="E38" s="106">
        <v>2</v>
      </c>
      <c r="F38" s="165"/>
    </row>
    <row r="39" spans="2:6" x14ac:dyDescent="0.25">
      <c r="B39" s="1098"/>
      <c r="C39" s="99" t="s">
        <v>217</v>
      </c>
      <c r="D39" s="99" t="s">
        <v>699</v>
      </c>
      <c r="E39" s="106">
        <v>2</v>
      </c>
      <c r="F39" s="165"/>
    </row>
    <row r="40" spans="2:6" ht="24" x14ac:dyDescent="0.25">
      <c r="B40" s="1098"/>
      <c r="C40" s="99" t="s">
        <v>217</v>
      </c>
      <c r="D40" s="103" t="s">
        <v>700</v>
      </c>
      <c r="E40" s="106">
        <v>2</v>
      </c>
      <c r="F40" s="165" t="s">
        <v>715</v>
      </c>
    </row>
    <row r="41" spans="2:6" x14ac:dyDescent="0.25">
      <c r="B41" s="1098"/>
      <c r="C41" s="99" t="s">
        <v>716</v>
      </c>
      <c r="D41" s="99" t="s">
        <v>717</v>
      </c>
      <c r="E41" s="106">
        <v>2</v>
      </c>
      <c r="F41" s="165" t="s">
        <v>718</v>
      </c>
    </row>
    <row r="42" spans="2:6" x14ac:dyDescent="0.25">
      <c r="B42" s="1098"/>
      <c r="C42" s="99" t="s">
        <v>716</v>
      </c>
      <c r="D42" s="99" t="s">
        <v>719</v>
      </c>
      <c r="E42" s="106">
        <v>2</v>
      </c>
      <c r="F42" s="165" t="s">
        <v>718</v>
      </c>
    </row>
    <row r="43" spans="2:6" x14ac:dyDescent="0.25">
      <c r="B43" s="1098"/>
      <c r="C43" s="99" t="s">
        <v>716</v>
      </c>
      <c r="D43" s="99" t="s">
        <v>720</v>
      </c>
      <c r="E43" s="106">
        <v>2</v>
      </c>
      <c r="F43" s="165" t="s">
        <v>718</v>
      </c>
    </row>
    <row r="44" spans="2:6" x14ac:dyDescent="0.25">
      <c r="B44" s="1098"/>
      <c r="C44" s="99" t="s">
        <v>716</v>
      </c>
      <c r="D44" s="99" t="s">
        <v>721</v>
      </c>
      <c r="E44" s="106">
        <v>2</v>
      </c>
      <c r="F44" s="165"/>
    </row>
    <row r="45" spans="2:6" ht="24" x14ac:dyDescent="0.25">
      <c r="B45" s="1098"/>
      <c r="C45" s="99" t="s">
        <v>716</v>
      </c>
      <c r="D45" s="103" t="s">
        <v>722</v>
      </c>
      <c r="E45" s="106">
        <v>2</v>
      </c>
      <c r="F45" s="165" t="s">
        <v>715</v>
      </c>
    </row>
    <row r="46" spans="2:6" x14ac:dyDescent="0.25">
      <c r="B46" s="1098"/>
      <c r="C46" s="99" t="s">
        <v>716</v>
      </c>
      <c r="D46" s="99" t="s">
        <v>723</v>
      </c>
      <c r="E46" s="106">
        <v>2</v>
      </c>
      <c r="F46" s="165"/>
    </row>
    <row r="47" spans="2:6" x14ac:dyDescent="0.25">
      <c r="B47" s="1098"/>
      <c r="C47" s="99" t="s">
        <v>716</v>
      </c>
      <c r="D47" s="99" t="s">
        <v>724</v>
      </c>
      <c r="E47" s="106">
        <v>2</v>
      </c>
      <c r="F47" s="165"/>
    </row>
    <row r="48" spans="2:6" ht="24" x14ac:dyDescent="0.25">
      <c r="B48" s="1098"/>
      <c r="C48" s="99" t="s">
        <v>725</v>
      </c>
      <c r="D48" s="103" t="s">
        <v>726</v>
      </c>
      <c r="E48" s="106">
        <v>2</v>
      </c>
      <c r="F48" s="165" t="s">
        <v>727</v>
      </c>
    </row>
    <row r="49" spans="2:6" ht="24" x14ac:dyDescent="0.25">
      <c r="B49" s="1098"/>
      <c r="C49" s="99" t="s">
        <v>272</v>
      </c>
      <c r="D49" s="103" t="s">
        <v>728</v>
      </c>
      <c r="E49" s="106">
        <v>2</v>
      </c>
      <c r="F49" s="165" t="s">
        <v>729</v>
      </c>
    </row>
    <row r="50" spans="2:6" ht="24" x14ac:dyDescent="0.25">
      <c r="B50" s="1098"/>
      <c r="C50" s="99" t="s">
        <v>272</v>
      </c>
      <c r="D50" s="103" t="s">
        <v>730</v>
      </c>
      <c r="E50" s="106">
        <v>2</v>
      </c>
      <c r="F50" s="165" t="s">
        <v>731</v>
      </c>
    </row>
    <row r="51" spans="2:6" ht="24" x14ac:dyDescent="0.25">
      <c r="B51" s="1098"/>
      <c r="C51" s="99" t="s">
        <v>272</v>
      </c>
      <c r="D51" s="99" t="s">
        <v>732</v>
      </c>
      <c r="E51" s="106">
        <v>2</v>
      </c>
      <c r="F51" s="165" t="s">
        <v>733</v>
      </c>
    </row>
    <row r="52" spans="2:6" x14ac:dyDescent="0.25">
      <c r="B52" s="1098"/>
      <c r="C52" s="99" t="s">
        <v>272</v>
      </c>
      <c r="D52" s="99" t="s">
        <v>734</v>
      </c>
      <c r="E52" s="106">
        <v>2</v>
      </c>
      <c r="F52" s="165"/>
    </row>
    <row r="53" spans="2:6" ht="24" x14ac:dyDescent="0.25">
      <c r="B53" s="1098"/>
      <c r="C53" s="99" t="s">
        <v>735</v>
      </c>
      <c r="D53" s="103" t="s">
        <v>736</v>
      </c>
      <c r="E53" s="106">
        <v>2</v>
      </c>
      <c r="F53" s="165"/>
    </row>
    <row r="54" spans="2:6" x14ac:dyDescent="0.25">
      <c r="B54" s="1098"/>
      <c r="C54" s="99" t="s">
        <v>270</v>
      </c>
      <c r="D54" s="99" t="s">
        <v>737</v>
      </c>
      <c r="E54" s="106">
        <v>2</v>
      </c>
      <c r="F54" s="165"/>
    </row>
    <row r="55" spans="2:6" x14ac:dyDescent="0.25">
      <c r="B55" s="1098"/>
      <c r="C55" s="99" t="s">
        <v>270</v>
      </c>
      <c r="D55" s="99" t="s">
        <v>271</v>
      </c>
      <c r="E55" s="106">
        <v>2</v>
      </c>
      <c r="F55" s="165"/>
    </row>
    <row r="56" spans="2:6" ht="6.75" customHeight="1" thickBot="1" x14ac:dyDescent="0.3">
      <c r="B56" s="1099"/>
      <c r="C56" s="167"/>
      <c r="D56" s="167"/>
      <c r="E56" s="169"/>
      <c r="F56" s="171"/>
    </row>
    <row r="57" spans="2:6" ht="15.75" customHeight="1" x14ac:dyDescent="0.25">
      <c r="B57" s="1328" t="s">
        <v>118</v>
      </c>
      <c r="C57" s="155"/>
      <c r="D57" s="156" t="s">
        <v>738</v>
      </c>
      <c r="E57" s="157">
        <v>2</v>
      </c>
      <c r="F57" s="159"/>
    </row>
    <row r="58" spans="2:6" ht="15.75" customHeight="1" x14ac:dyDescent="0.25">
      <c r="B58" s="1098"/>
      <c r="C58" s="99" t="str">
        <f t="shared" ref="C58:D60" si="0">C49</f>
        <v>Renewables</v>
      </c>
      <c r="D58" s="107" t="str">
        <f t="shared" si="0"/>
        <v>Standard use of renewables for site of this type</v>
      </c>
      <c r="E58" s="100">
        <v>2</v>
      </c>
      <c r="F58" s="102" t="s">
        <v>739</v>
      </c>
    </row>
    <row r="59" spans="2:6" ht="15.75" customHeight="1" x14ac:dyDescent="0.25">
      <c r="B59" s="1098"/>
      <c r="C59" s="99" t="str">
        <f t="shared" si="0"/>
        <v>Renewables</v>
      </c>
      <c r="D59" s="107" t="str">
        <f t="shared" si="0"/>
        <v>Enhanced use of renewables</v>
      </c>
      <c r="E59" s="100">
        <v>2</v>
      </c>
      <c r="F59" s="102" t="s">
        <v>739</v>
      </c>
    </row>
    <row r="60" spans="2:6" ht="15.75" customHeight="1" x14ac:dyDescent="0.25">
      <c r="B60" s="1098"/>
      <c r="C60" s="99" t="str">
        <f t="shared" si="0"/>
        <v>Renewables</v>
      </c>
      <c r="D60" s="108" t="str">
        <f t="shared" si="0"/>
        <v>Significant use of renewables</v>
      </c>
      <c r="E60" s="100">
        <v>2</v>
      </c>
      <c r="F60" s="102" t="s">
        <v>739</v>
      </c>
    </row>
    <row r="61" spans="2:6" ht="6" customHeight="1" thickBot="1" x14ac:dyDescent="0.3">
      <c r="B61" s="1193"/>
      <c r="C61" s="151"/>
      <c r="D61" s="172"/>
      <c r="E61" s="152"/>
      <c r="F61" s="154"/>
    </row>
    <row r="62" spans="2:6" ht="28.5" customHeight="1" x14ac:dyDescent="0.25">
      <c r="B62" s="1179" t="s">
        <v>119</v>
      </c>
      <c r="C62" s="180" t="s">
        <v>740</v>
      </c>
      <c r="D62" s="180" t="s">
        <v>741</v>
      </c>
      <c r="E62" s="182">
        <v>2</v>
      </c>
      <c r="F62" s="184"/>
    </row>
    <row r="63" spans="2:6" ht="28.5" customHeight="1" x14ac:dyDescent="0.25">
      <c r="B63" s="1086"/>
      <c r="C63" s="109" t="s">
        <v>740</v>
      </c>
      <c r="D63" s="109" t="s">
        <v>742</v>
      </c>
      <c r="E63" s="111">
        <v>2</v>
      </c>
      <c r="F63" s="185"/>
    </row>
    <row r="64" spans="2:6" ht="24" x14ac:dyDescent="0.25">
      <c r="B64" s="1086"/>
      <c r="C64" s="109" t="s">
        <v>743</v>
      </c>
      <c r="D64" s="109" t="s">
        <v>744</v>
      </c>
      <c r="E64" s="111">
        <v>2</v>
      </c>
      <c r="F64" s="185"/>
    </row>
    <row r="65" spans="2:6" ht="24" x14ac:dyDescent="0.25">
      <c r="B65" s="1086"/>
      <c r="C65" s="109" t="s">
        <v>745</v>
      </c>
      <c r="D65" s="109" t="s">
        <v>746</v>
      </c>
      <c r="E65" s="111">
        <v>2</v>
      </c>
      <c r="F65" s="185"/>
    </row>
    <row r="66" spans="2:6" ht="24" x14ac:dyDescent="0.25">
      <c r="B66" s="1086"/>
      <c r="C66" s="109" t="s">
        <v>747</v>
      </c>
      <c r="D66" s="109" t="s">
        <v>748</v>
      </c>
      <c r="E66" s="111">
        <v>2</v>
      </c>
      <c r="F66" s="185"/>
    </row>
    <row r="67" spans="2:6" ht="24" x14ac:dyDescent="0.25">
      <c r="B67" s="1086"/>
      <c r="C67" s="109" t="s">
        <v>747</v>
      </c>
      <c r="D67" s="109" t="s">
        <v>749</v>
      </c>
      <c r="E67" s="111">
        <v>2</v>
      </c>
      <c r="F67" s="185" t="s">
        <v>750</v>
      </c>
    </row>
    <row r="68" spans="2:6" ht="36" x14ac:dyDescent="0.25">
      <c r="B68" s="1086"/>
      <c r="C68" s="109" t="s">
        <v>751</v>
      </c>
      <c r="D68" s="109" t="s">
        <v>752</v>
      </c>
      <c r="E68" s="111">
        <v>2</v>
      </c>
      <c r="F68" s="185"/>
    </row>
    <row r="69" spans="2:6" ht="24" x14ac:dyDescent="0.25">
      <c r="B69" s="1086"/>
      <c r="C69" s="109" t="s">
        <v>753</v>
      </c>
      <c r="D69" s="109" t="s">
        <v>754</v>
      </c>
      <c r="E69" s="111">
        <v>2</v>
      </c>
      <c r="F69" s="185"/>
    </row>
    <row r="70" spans="2:6" ht="24" x14ac:dyDescent="0.25">
      <c r="B70" s="1086"/>
      <c r="C70" s="109" t="s">
        <v>755</v>
      </c>
      <c r="D70" s="109" t="s">
        <v>756</v>
      </c>
      <c r="E70" s="111">
        <v>2</v>
      </c>
      <c r="F70" s="185"/>
    </row>
    <row r="71" spans="2:6" ht="24" x14ac:dyDescent="0.25">
      <c r="B71" s="1086"/>
      <c r="C71" s="109" t="s">
        <v>757</v>
      </c>
      <c r="D71" s="109" t="s">
        <v>758</v>
      </c>
      <c r="E71" s="111">
        <v>2</v>
      </c>
      <c r="F71" s="185"/>
    </row>
    <row r="72" spans="2:6" ht="9" customHeight="1" thickBot="1" x14ac:dyDescent="0.3">
      <c r="B72" s="1087"/>
      <c r="C72" s="187"/>
      <c r="D72" s="187"/>
      <c r="E72" s="188"/>
      <c r="F72" s="190"/>
    </row>
    <row r="73" spans="2:6" ht="36" x14ac:dyDescent="0.25">
      <c r="B73" s="1085" t="s">
        <v>120</v>
      </c>
      <c r="C73" s="174" t="s">
        <v>284</v>
      </c>
      <c r="D73" s="174" t="s">
        <v>285</v>
      </c>
      <c r="E73" s="176">
        <v>2</v>
      </c>
      <c r="F73" s="178"/>
    </row>
    <row r="74" spans="2:6" ht="24" x14ac:dyDescent="0.25">
      <c r="B74" s="1086"/>
      <c r="C74" s="109" t="s">
        <v>284</v>
      </c>
      <c r="D74" s="109" t="s">
        <v>286</v>
      </c>
      <c r="E74" s="111">
        <v>2</v>
      </c>
      <c r="F74" s="113"/>
    </row>
    <row r="75" spans="2:6" ht="48" x14ac:dyDescent="0.25">
      <c r="B75" s="1086"/>
      <c r="C75" s="109" t="s">
        <v>284</v>
      </c>
      <c r="D75" s="109" t="s">
        <v>287</v>
      </c>
      <c r="E75" s="111">
        <v>2</v>
      </c>
      <c r="F75" s="113"/>
    </row>
    <row r="76" spans="2:6" ht="36" x14ac:dyDescent="0.25">
      <c r="B76" s="1086"/>
      <c r="C76" s="109" t="s">
        <v>284</v>
      </c>
      <c r="D76" s="109" t="s">
        <v>288</v>
      </c>
      <c r="E76" s="111">
        <v>2</v>
      </c>
      <c r="F76" s="113"/>
    </row>
    <row r="77" spans="2:6" x14ac:dyDescent="0.25">
      <c r="B77" s="1086"/>
      <c r="C77" s="109" t="s">
        <v>289</v>
      </c>
      <c r="D77" s="109" t="s">
        <v>290</v>
      </c>
      <c r="E77" s="111">
        <v>2</v>
      </c>
      <c r="F77" s="113"/>
    </row>
    <row r="78" spans="2:6" ht="24" x14ac:dyDescent="0.25">
      <c r="B78" s="1086"/>
      <c r="C78" s="109" t="s">
        <v>289</v>
      </c>
      <c r="D78" s="109" t="s">
        <v>291</v>
      </c>
      <c r="E78" s="111">
        <v>2</v>
      </c>
      <c r="F78" s="113"/>
    </row>
    <row r="79" spans="2:6" ht="24" x14ac:dyDescent="0.25">
      <c r="B79" s="1086"/>
      <c r="C79" s="109" t="s">
        <v>289</v>
      </c>
      <c r="D79" s="109" t="s">
        <v>292</v>
      </c>
      <c r="E79" s="111">
        <v>2</v>
      </c>
      <c r="F79" s="113"/>
    </row>
    <row r="80" spans="2:6" ht="36" x14ac:dyDescent="0.25">
      <c r="B80" s="1086"/>
      <c r="C80" s="109" t="s">
        <v>289</v>
      </c>
      <c r="D80" s="109" t="s">
        <v>293</v>
      </c>
      <c r="E80" s="111">
        <v>2</v>
      </c>
      <c r="F80" s="113"/>
    </row>
    <row r="81" spans="2:6" ht="10.5" customHeight="1" thickBot="1" x14ac:dyDescent="0.3">
      <c r="B81" s="1327"/>
      <c r="C81" s="143"/>
      <c r="D81" s="143"/>
      <c r="E81" s="192"/>
      <c r="F81" s="194"/>
    </row>
    <row r="82" spans="2:6" x14ac:dyDescent="0.25">
      <c r="B82" s="1325" t="s">
        <v>759</v>
      </c>
      <c r="C82" s="196"/>
      <c r="D82" s="196"/>
      <c r="E82" s="181"/>
      <c r="F82" s="184" t="s">
        <v>760</v>
      </c>
    </row>
    <row r="83" spans="2:6" x14ac:dyDescent="0.25">
      <c r="B83" s="1176"/>
      <c r="C83" s="114"/>
      <c r="D83" s="114"/>
      <c r="E83" s="110"/>
      <c r="F83" s="185"/>
    </row>
    <row r="84" spans="2:6" ht="15.75" thickBot="1" x14ac:dyDescent="0.3">
      <c r="B84" s="1326"/>
      <c r="C84" s="197"/>
      <c r="D84" s="197"/>
      <c r="E84" s="188"/>
      <c r="F84" s="190"/>
    </row>
    <row r="85" spans="2:6" x14ac:dyDescent="0.25">
      <c r="B85" s="1175" t="s">
        <v>761</v>
      </c>
      <c r="C85" s="195"/>
      <c r="D85" s="195"/>
      <c r="E85" s="175"/>
      <c r="F85" s="178" t="s">
        <v>760</v>
      </c>
    </row>
    <row r="86" spans="2:6" x14ac:dyDescent="0.25">
      <c r="B86" s="1176"/>
      <c r="C86" s="114"/>
      <c r="D86" s="114"/>
      <c r="E86" s="110"/>
      <c r="F86" s="113"/>
    </row>
    <row r="87" spans="2:6" ht="15.75" thickBot="1" x14ac:dyDescent="0.3">
      <c r="B87" s="1177"/>
      <c r="C87" s="198"/>
      <c r="D87" s="198"/>
      <c r="E87" s="191"/>
      <c r="F87" s="194"/>
    </row>
    <row r="88" spans="2:6" x14ac:dyDescent="0.25">
      <c r="B88" s="1325" t="s">
        <v>762</v>
      </c>
      <c r="C88" s="196"/>
      <c r="D88" s="196"/>
      <c r="E88" s="181"/>
      <c r="F88" s="184" t="s">
        <v>760</v>
      </c>
    </row>
    <row r="89" spans="2:6" x14ac:dyDescent="0.25">
      <c r="B89" s="1176"/>
      <c r="C89" s="114"/>
      <c r="D89" s="114"/>
      <c r="E89" s="110"/>
      <c r="F89" s="185"/>
    </row>
    <row r="90" spans="2:6" ht="15.75" thickBot="1" x14ac:dyDescent="0.3">
      <c r="B90" s="1326"/>
      <c r="C90" s="197"/>
      <c r="D90" s="197"/>
      <c r="E90" s="188"/>
      <c r="F90" s="190"/>
    </row>
    <row r="91" spans="2:6" x14ac:dyDescent="0.25">
      <c r="B91" s="1175" t="s">
        <v>763</v>
      </c>
      <c r="C91" s="195"/>
      <c r="D91" s="195"/>
      <c r="E91" s="175"/>
      <c r="F91" s="178" t="s">
        <v>760</v>
      </c>
    </row>
    <row r="92" spans="2:6" x14ac:dyDescent="0.25">
      <c r="B92" s="1176"/>
      <c r="C92" s="114"/>
      <c r="D92" s="114"/>
      <c r="E92" s="110"/>
      <c r="F92" s="113"/>
    </row>
    <row r="93" spans="2:6" ht="15.75" thickBot="1" x14ac:dyDescent="0.3">
      <c r="B93" s="1178"/>
      <c r="C93" s="332"/>
      <c r="D93" s="332"/>
      <c r="E93" s="333"/>
      <c r="F93" s="335"/>
    </row>
    <row r="94" spans="2:6" ht="26.1" customHeight="1" thickTop="1" x14ac:dyDescent="0.25">
      <c r="B94" s="1132" t="s">
        <v>122</v>
      </c>
      <c r="C94" s="200" t="s">
        <v>299</v>
      </c>
      <c r="D94" s="200" t="s">
        <v>300</v>
      </c>
      <c r="E94" s="202">
        <v>2</v>
      </c>
      <c r="F94" s="330"/>
    </row>
    <row r="95" spans="2:6" ht="30" customHeight="1" x14ac:dyDescent="0.25">
      <c r="B95" s="1133"/>
      <c r="C95" s="115" t="s">
        <v>299</v>
      </c>
      <c r="D95" s="115" t="s">
        <v>301</v>
      </c>
      <c r="E95" s="106">
        <v>2</v>
      </c>
      <c r="F95" s="209"/>
    </row>
    <row r="96" spans="2:6" ht="24" x14ac:dyDescent="0.25">
      <c r="B96" s="1133"/>
      <c r="C96" s="115" t="s">
        <v>299</v>
      </c>
      <c r="D96" s="115" t="s">
        <v>302</v>
      </c>
      <c r="E96" s="106">
        <v>2</v>
      </c>
      <c r="F96" s="209"/>
    </row>
    <row r="97" spans="2:6" ht="24" x14ac:dyDescent="0.25">
      <c r="B97" s="1133"/>
      <c r="C97" s="115" t="s">
        <v>299</v>
      </c>
      <c r="D97" s="115" t="s">
        <v>303</v>
      </c>
      <c r="E97" s="106">
        <v>2</v>
      </c>
      <c r="F97" s="209"/>
    </row>
    <row r="98" spans="2:6" x14ac:dyDescent="0.25">
      <c r="B98" s="1133"/>
      <c r="C98" s="115" t="s">
        <v>304</v>
      </c>
      <c r="D98" s="115" t="s">
        <v>305</v>
      </c>
      <c r="E98" s="106">
        <v>2</v>
      </c>
      <c r="F98" s="209"/>
    </row>
    <row r="99" spans="2:6" ht="24" x14ac:dyDescent="0.25">
      <c r="B99" s="1133"/>
      <c r="C99" s="115" t="s">
        <v>304</v>
      </c>
      <c r="D99" s="115" t="s">
        <v>306</v>
      </c>
      <c r="E99" s="106">
        <v>2</v>
      </c>
      <c r="F99" s="209"/>
    </row>
    <row r="100" spans="2:6" ht="24" x14ac:dyDescent="0.25">
      <c r="B100" s="1133"/>
      <c r="C100" s="115" t="s">
        <v>304</v>
      </c>
      <c r="D100" s="115" t="s">
        <v>764</v>
      </c>
      <c r="E100" s="106">
        <v>2</v>
      </c>
      <c r="F100" s="209"/>
    </row>
    <row r="101" spans="2:6" ht="24" x14ac:dyDescent="0.25">
      <c r="B101" s="1133"/>
      <c r="C101" s="115" t="s">
        <v>308</v>
      </c>
      <c r="D101" s="115" t="s">
        <v>309</v>
      </c>
      <c r="E101" s="106">
        <v>2</v>
      </c>
      <c r="F101" s="209"/>
    </row>
    <row r="102" spans="2:6" ht="24" x14ac:dyDescent="0.25">
      <c r="B102" s="1133"/>
      <c r="C102" s="115" t="s">
        <v>308</v>
      </c>
      <c r="D102" s="115" t="s">
        <v>310</v>
      </c>
      <c r="E102" s="106">
        <v>2</v>
      </c>
      <c r="F102" s="209"/>
    </row>
    <row r="103" spans="2:6" ht="9" customHeight="1" thickBot="1" x14ac:dyDescent="0.3">
      <c r="B103" s="1181"/>
      <c r="C103" s="211"/>
      <c r="D103" s="211"/>
      <c r="E103" s="169"/>
      <c r="F103" s="214"/>
    </row>
    <row r="104" spans="2:6" ht="36" x14ac:dyDescent="0.25">
      <c r="B104" s="1132" t="s">
        <v>123</v>
      </c>
      <c r="C104" s="200" t="s">
        <v>311</v>
      </c>
      <c r="D104" s="200" t="s">
        <v>312</v>
      </c>
      <c r="E104" s="202">
        <v>2</v>
      </c>
      <c r="F104" s="204"/>
    </row>
    <row r="105" spans="2:6" ht="36" x14ac:dyDescent="0.25">
      <c r="B105" s="1133"/>
      <c r="C105" s="115" t="s">
        <v>311</v>
      </c>
      <c r="D105" s="115" t="s">
        <v>313</v>
      </c>
      <c r="E105" s="106">
        <v>2</v>
      </c>
      <c r="F105" s="118"/>
    </row>
    <row r="106" spans="2:6" ht="36" x14ac:dyDescent="0.25">
      <c r="B106" s="1133"/>
      <c r="C106" s="115" t="s">
        <v>311</v>
      </c>
      <c r="D106" s="115" t="s">
        <v>314</v>
      </c>
      <c r="E106" s="106">
        <v>2</v>
      </c>
      <c r="F106" s="118"/>
    </row>
    <row r="107" spans="2:6" ht="48" x14ac:dyDescent="0.25">
      <c r="B107" s="1133"/>
      <c r="C107" s="115" t="s">
        <v>311</v>
      </c>
      <c r="D107" s="115" t="s">
        <v>315</v>
      </c>
      <c r="E107" s="106">
        <v>2</v>
      </c>
      <c r="F107" s="118"/>
    </row>
    <row r="108" spans="2:6" ht="36" x14ac:dyDescent="0.25">
      <c r="B108" s="1133"/>
      <c r="C108" s="115" t="s">
        <v>311</v>
      </c>
      <c r="D108" s="115" t="s">
        <v>316</v>
      </c>
      <c r="E108" s="106">
        <v>5</v>
      </c>
      <c r="F108" s="118"/>
    </row>
    <row r="109" spans="2:6" ht="24" x14ac:dyDescent="0.25">
      <c r="B109" s="1133"/>
      <c r="C109" s="115" t="s">
        <v>317</v>
      </c>
      <c r="D109" s="115" t="s">
        <v>318</v>
      </c>
      <c r="E109" s="106">
        <v>5</v>
      </c>
      <c r="F109" s="118"/>
    </row>
    <row r="110" spans="2:6" ht="9" customHeight="1" thickBot="1" x14ac:dyDescent="0.3">
      <c r="B110" s="1134"/>
      <c r="C110" s="216"/>
      <c r="D110" s="216"/>
      <c r="E110" s="218"/>
      <c r="F110" s="220"/>
    </row>
    <row r="111" spans="2:6" ht="27" customHeight="1" x14ac:dyDescent="0.25">
      <c r="B111" s="1072" t="s">
        <v>124</v>
      </c>
      <c r="C111" s="205" t="s">
        <v>319</v>
      </c>
      <c r="D111" s="205" t="s">
        <v>320</v>
      </c>
      <c r="E111" s="162">
        <v>2</v>
      </c>
      <c r="F111" s="208"/>
    </row>
    <row r="112" spans="2:6" ht="24" x14ac:dyDescent="0.25">
      <c r="B112" s="1053"/>
      <c r="C112" s="115" t="s">
        <v>319</v>
      </c>
      <c r="D112" s="115" t="s">
        <v>321</v>
      </c>
      <c r="E112" s="106">
        <v>2</v>
      </c>
      <c r="F112" s="209"/>
    </row>
    <row r="113" spans="2:6" ht="28.35" customHeight="1" x14ac:dyDescent="0.25">
      <c r="B113" s="1053"/>
      <c r="C113" s="115" t="s">
        <v>322</v>
      </c>
      <c r="D113" s="115" t="s">
        <v>323</v>
      </c>
      <c r="E113" s="106">
        <v>2</v>
      </c>
      <c r="F113" s="209"/>
    </row>
    <row r="114" spans="2:6" ht="24" x14ac:dyDescent="0.25">
      <c r="B114" s="1053"/>
      <c r="C114" s="115" t="s">
        <v>322</v>
      </c>
      <c r="D114" s="115" t="s">
        <v>324</v>
      </c>
      <c r="E114" s="106">
        <v>2</v>
      </c>
      <c r="F114" s="209"/>
    </row>
    <row r="115" spans="2:6" x14ac:dyDescent="0.25">
      <c r="B115" s="1053"/>
      <c r="C115" s="115" t="s">
        <v>325</v>
      </c>
      <c r="D115" s="115" t="s">
        <v>326</v>
      </c>
      <c r="E115" s="106">
        <v>2</v>
      </c>
      <c r="F115" s="209"/>
    </row>
    <row r="116" spans="2:6" x14ac:dyDescent="0.25">
      <c r="B116" s="1053"/>
      <c r="C116" s="115" t="s">
        <v>325</v>
      </c>
      <c r="D116" s="115" t="s">
        <v>327</v>
      </c>
      <c r="E116" s="106">
        <v>2</v>
      </c>
      <c r="F116" s="209"/>
    </row>
    <row r="117" spans="2:6" x14ac:dyDescent="0.25">
      <c r="B117" s="1053"/>
      <c r="C117" s="115" t="s">
        <v>325</v>
      </c>
      <c r="D117" s="115" t="s">
        <v>328</v>
      </c>
      <c r="E117" s="106">
        <v>2</v>
      </c>
      <c r="F117" s="209"/>
    </row>
    <row r="118" spans="2:6" ht="24" x14ac:dyDescent="0.25">
      <c r="B118" s="1053"/>
      <c r="C118" s="115" t="s">
        <v>325</v>
      </c>
      <c r="D118" s="115" t="s">
        <v>329</v>
      </c>
      <c r="E118" s="106">
        <v>2</v>
      </c>
      <c r="F118" s="209"/>
    </row>
    <row r="119" spans="2:6" ht="10.5" customHeight="1" thickBot="1" x14ac:dyDescent="0.3">
      <c r="B119" s="1073"/>
      <c r="C119" s="211"/>
      <c r="D119" s="211"/>
      <c r="E119" s="169"/>
      <c r="F119" s="214"/>
    </row>
    <row r="120" spans="2:6" ht="25.5" customHeight="1" x14ac:dyDescent="0.25">
      <c r="B120" s="1053" t="s">
        <v>125</v>
      </c>
      <c r="C120" s="200" t="s">
        <v>330</v>
      </c>
      <c r="D120" s="200" t="s">
        <v>331</v>
      </c>
      <c r="E120" s="202">
        <v>2</v>
      </c>
      <c r="F120" s="204" t="s">
        <v>765</v>
      </c>
    </row>
    <row r="121" spans="2:6" ht="25.5" customHeight="1" x14ac:dyDescent="0.25">
      <c r="B121" s="1053"/>
      <c r="C121" s="115" t="s">
        <v>330</v>
      </c>
      <c r="D121" s="115" t="s">
        <v>332</v>
      </c>
      <c r="E121" s="106">
        <v>2</v>
      </c>
      <c r="F121" s="118" t="s">
        <v>765</v>
      </c>
    </row>
    <row r="122" spans="2:6" ht="25.5" customHeight="1" x14ac:dyDescent="0.25">
      <c r="B122" s="1053"/>
      <c r="C122" s="115" t="s">
        <v>330</v>
      </c>
      <c r="D122" s="115" t="s">
        <v>333</v>
      </c>
      <c r="E122" s="106">
        <v>2</v>
      </c>
      <c r="F122" s="118" t="s">
        <v>765</v>
      </c>
    </row>
    <row r="123" spans="2:6" ht="25.5" customHeight="1" x14ac:dyDescent="0.25">
      <c r="B123" s="1053"/>
      <c r="C123" s="115" t="s">
        <v>330</v>
      </c>
      <c r="D123" s="115" t="s">
        <v>334</v>
      </c>
      <c r="E123" s="106">
        <v>2</v>
      </c>
      <c r="F123" s="118" t="s">
        <v>765</v>
      </c>
    </row>
    <row r="124" spans="2:6" ht="48" x14ac:dyDescent="0.25">
      <c r="B124" s="1053"/>
      <c r="C124" s="115" t="s">
        <v>335</v>
      </c>
      <c r="D124" s="115" t="s">
        <v>336</v>
      </c>
      <c r="E124" s="106">
        <v>2</v>
      </c>
      <c r="F124" s="118" t="s">
        <v>765</v>
      </c>
    </row>
    <row r="125" spans="2:6" ht="48" x14ac:dyDescent="0.25">
      <c r="B125" s="1053"/>
      <c r="C125" s="115" t="s">
        <v>335</v>
      </c>
      <c r="D125" s="115" t="s">
        <v>337</v>
      </c>
      <c r="E125" s="106">
        <v>2</v>
      </c>
      <c r="F125" s="118" t="s">
        <v>765</v>
      </c>
    </row>
    <row r="126" spans="2:6" ht="72" x14ac:dyDescent="0.25">
      <c r="B126" s="1053"/>
      <c r="C126" s="115" t="s">
        <v>335</v>
      </c>
      <c r="D126" s="115" t="s">
        <v>338</v>
      </c>
      <c r="E126" s="106">
        <v>2</v>
      </c>
      <c r="F126" s="118" t="s">
        <v>765</v>
      </c>
    </row>
    <row r="127" spans="2:6" ht="60" x14ac:dyDescent="0.25">
      <c r="B127" s="1053"/>
      <c r="C127" s="115" t="s">
        <v>335</v>
      </c>
      <c r="D127" s="115" t="s">
        <v>339</v>
      </c>
      <c r="E127" s="106">
        <v>2</v>
      </c>
      <c r="F127" s="118" t="s">
        <v>765</v>
      </c>
    </row>
    <row r="128" spans="2:6" ht="24" x14ac:dyDescent="0.25">
      <c r="B128" s="1053"/>
      <c r="C128" s="115" t="s">
        <v>340</v>
      </c>
      <c r="D128" s="115" t="s">
        <v>341</v>
      </c>
      <c r="E128" s="106">
        <v>2</v>
      </c>
      <c r="F128" s="118" t="s">
        <v>765</v>
      </c>
    </row>
    <row r="129" spans="2:6" ht="24" x14ac:dyDescent="0.25">
      <c r="B129" s="1053"/>
      <c r="C129" s="115" t="s">
        <v>340</v>
      </c>
      <c r="D129" s="115" t="s">
        <v>342</v>
      </c>
      <c r="E129" s="106">
        <v>2</v>
      </c>
      <c r="F129" s="118" t="s">
        <v>765</v>
      </c>
    </row>
    <row r="130" spans="2:6" ht="36" x14ac:dyDescent="0.25">
      <c r="B130" s="1053"/>
      <c r="C130" s="115" t="s">
        <v>343</v>
      </c>
      <c r="D130" s="115" t="s">
        <v>344</v>
      </c>
      <c r="E130" s="106">
        <v>2</v>
      </c>
      <c r="F130" s="118" t="s">
        <v>766</v>
      </c>
    </row>
    <row r="131" spans="2:6" ht="36" x14ac:dyDescent="0.25">
      <c r="B131" s="1053"/>
      <c r="C131" s="115" t="s">
        <v>343</v>
      </c>
      <c r="D131" s="115" t="s">
        <v>345</v>
      </c>
      <c r="E131" s="106">
        <v>2</v>
      </c>
      <c r="F131" s="118" t="s">
        <v>766</v>
      </c>
    </row>
    <row r="132" spans="2:6" ht="7.5" customHeight="1" thickBot="1" x14ac:dyDescent="0.3">
      <c r="B132" s="1053"/>
      <c r="C132" s="216"/>
      <c r="D132" s="216"/>
      <c r="E132" s="218"/>
      <c r="F132" s="220"/>
    </row>
    <row r="133" spans="2:6" ht="84" x14ac:dyDescent="0.25">
      <c r="B133" s="1072" t="s">
        <v>126</v>
      </c>
      <c r="C133" s="205" t="s">
        <v>346</v>
      </c>
      <c r="D133" s="205" t="s">
        <v>347</v>
      </c>
      <c r="E133" s="162">
        <v>2</v>
      </c>
      <c r="F133" s="208"/>
    </row>
    <row r="134" spans="2:6" ht="96" x14ac:dyDescent="0.25">
      <c r="B134" s="1053"/>
      <c r="C134" s="115" t="s">
        <v>346</v>
      </c>
      <c r="D134" s="115" t="s">
        <v>348</v>
      </c>
      <c r="E134" s="106">
        <v>2</v>
      </c>
      <c r="F134" s="209"/>
    </row>
    <row r="135" spans="2:6" ht="144" x14ac:dyDescent="0.25">
      <c r="B135" s="1053"/>
      <c r="C135" s="115" t="s">
        <v>346</v>
      </c>
      <c r="D135" s="115" t="s">
        <v>349</v>
      </c>
      <c r="E135" s="106">
        <v>2</v>
      </c>
      <c r="F135" s="209"/>
    </row>
    <row r="136" spans="2:6" ht="96" x14ac:dyDescent="0.25">
      <c r="B136" s="1053"/>
      <c r="C136" s="115" t="s">
        <v>346</v>
      </c>
      <c r="D136" s="115" t="s">
        <v>350</v>
      </c>
      <c r="E136" s="106">
        <v>4</v>
      </c>
      <c r="F136" s="209"/>
    </row>
    <row r="137" spans="2:6" ht="117.75" customHeight="1" x14ac:dyDescent="0.25">
      <c r="B137" s="1053"/>
      <c r="C137" s="115" t="s">
        <v>346</v>
      </c>
      <c r="D137" s="115" t="s">
        <v>351</v>
      </c>
      <c r="E137" s="106">
        <v>4</v>
      </c>
      <c r="F137" s="209"/>
    </row>
    <row r="138" spans="2:6" ht="12" customHeight="1" thickBot="1" x14ac:dyDescent="0.3">
      <c r="B138" s="1073"/>
      <c r="C138" s="211"/>
      <c r="D138" s="211"/>
      <c r="E138" s="169"/>
      <c r="F138" s="214"/>
    </row>
    <row r="139" spans="2:6" ht="27.75" customHeight="1" x14ac:dyDescent="0.25">
      <c r="B139" s="1132" t="s">
        <v>127</v>
      </c>
      <c r="C139" s="200" t="s">
        <v>353</v>
      </c>
      <c r="D139" s="200" t="s">
        <v>354</v>
      </c>
      <c r="E139" s="202">
        <v>2</v>
      </c>
      <c r="F139" s="204"/>
    </row>
    <row r="140" spans="2:6" ht="62.25" customHeight="1" x14ac:dyDescent="0.25">
      <c r="B140" s="1133"/>
      <c r="C140" s="115" t="s">
        <v>356</v>
      </c>
      <c r="D140" s="115" t="s">
        <v>357</v>
      </c>
      <c r="E140" s="106">
        <v>2</v>
      </c>
      <c r="F140" s="118"/>
    </row>
    <row r="141" spans="2:6" ht="27.75" customHeight="1" x14ac:dyDescent="0.25">
      <c r="B141" s="1133"/>
      <c r="C141" s="115" t="s">
        <v>358</v>
      </c>
      <c r="D141" s="115" t="s">
        <v>359</v>
      </c>
      <c r="E141" s="106">
        <v>2</v>
      </c>
      <c r="F141" s="118"/>
    </row>
    <row r="142" spans="2:6" ht="27.75" customHeight="1" x14ac:dyDescent="0.25">
      <c r="B142" s="1133"/>
      <c r="C142" s="115" t="s">
        <v>361</v>
      </c>
      <c r="D142" s="115" t="s">
        <v>637</v>
      </c>
      <c r="E142" s="106">
        <v>2</v>
      </c>
      <c r="F142" s="118"/>
    </row>
    <row r="143" spans="2:6" ht="27.75" customHeight="1" x14ac:dyDescent="0.25">
      <c r="B143" s="1133"/>
      <c r="C143" s="115" t="s">
        <v>363</v>
      </c>
      <c r="D143" s="115" t="s">
        <v>364</v>
      </c>
      <c r="E143" s="106">
        <v>2</v>
      </c>
      <c r="F143" s="118"/>
    </row>
    <row r="144" spans="2:6" ht="91.5" customHeight="1" x14ac:dyDescent="0.25">
      <c r="B144" s="1133"/>
      <c r="C144" s="115" t="s">
        <v>365</v>
      </c>
      <c r="D144" s="115" t="s">
        <v>366</v>
      </c>
      <c r="E144" s="106">
        <v>2</v>
      </c>
      <c r="F144" s="118"/>
    </row>
    <row r="145" spans="2:6" ht="27.75" customHeight="1" x14ac:dyDescent="0.25">
      <c r="B145" s="1133"/>
      <c r="C145" s="115" t="s">
        <v>367</v>
      </c>
      <c r="D145" s="115" t="s">
        <v>367</v>
      </c>
      <c r="E145" s="106">
        <v>2</v>
      </c>
      <c r="F145" s="118"/>
    </row>
    <row r="146" spans="2:6" ht="58.5" customHeight="1" x14ac:dyDescent="0.25">
      <c r="B146" s="1133"/>
      <c r="C146" s="115" t="s">
        <v>368</v>
      </c>
      <c r="D146" s="115" t="s">
        <v>369</v>
      </c>
      <c r="E146" s="106">
        <v>2</v>
      </c>
      <c r="F146" s="118"/>
    </row>
    <row r="147" spans="2:6" ht="42" customHeight="1" x14ac:dyDescent="0.25">
      <c r="B147" s="1133"/>
      <c r="C147" s="115" t="s">
        <v>370</v>
      </c>
      <c r="D147" s="115" t="s">
        <v>371</v>
      </c>
      <c r="E147" s="106">
        <v>2</v>
      </c>
      <c r="F147" s="118"/>
    </row>
    <row r="148" spans="2:6" ht="27.75" customHeight="1" x14ac:dyDescent="0.25">
      <c r="B148" s="1133"/>
      <c r="C148" s="115" t="s">
        <v>372</v>
      </c>
      <c r="D148" s="115" t="s">
        <v>372</v>
      </c>
      <c r="E148" s="106">
        <v>2</v>
      </c>
      <c r="F148" s="118"/>
    </row>
    <row r="149" spans="2:6" ht="58.5" customHeight="1" x14ac:dyDescent="0.25">
      <c r="B149" s="1133"/>
      <c r="C149" s="115" t="s">
        <v>373</v>
      </c>
      <c r="D149" s="115" t="s">
        <v>374</v>
      </c>
      <c r="E149" s="106">
        <v>2</v>
      </c>
      <c r="F149" s="118"/>
    </row>
    <row r="150" spans="2:6" ht="57.75" customHeight="1" x14ac:dyDescent="0.25">
      <c r="B150" s="1133"/>
      <c r="C150" s="115" t="s">
        <v>375</v>
      </c>
      <c r="D150" s="115" t="s">
        <v>376</v>
      </c>
      <c r="E150" s="106">
        <v>2</v>
      </c>
      <c r="F150" s="118"/>
    </row>
    <row r="151" spans="2:6" ht="69.75" customHeight="1" x14ac:dyDescent="0.25">
      <c r="B151" s="1133"/>
      <c r="C151" s="115" t="s">
        <v>377</v>
      </c>
      <c r="D151" s="115" t="s">
        <v>378</v>
      </c>
      <c r="E151" s="106">
        <v>5</v>
      </c>
      <c r="F151" s="118"/>
    </row>
    <row r="152" spans="2:6" ht="7.5" customHeight="1" thickBot="1" x14ac:dyDescent="0.3">
      <c r="B152" s="1134"/>
      <c r="C152" s="223"/>
      <c r="D152" s="223"/>
      <c r="E152" s="217"/>
      <c r="F152" s="220"/>
    </row>
    <row r="153" spans="2:6" ht="24.75" customHeight="1" x14ac:dyDescent="0.25">
      <c r="B153" s="1135" t="s">
        <v>128</v>
      </c>
      <c r="C153" s="205" t="s">
        <v>379</v>
      </c>
      <c r="D153" s="205" t="s">
        <v>380</v>
      </c>
      <c r="E153" s="206">
        <v>2</v>
      </c>
      <c r="F153" s="208"/>
    </row>
    <row r="154" spans="2:6" ht="29.25" customHeight="1" x14ac:dyDescent="0.25">
      <c r="B154" s="1133"/>
      <c r="C154" s="115" t="s">
        <v>381</v>
      </c>
      <c r="D154" s="115" t="s">
        <v>382</v>
      </c>
      <c r="E154" s="116">
        <v>2</v>
      </c>
      <c r="F154" s="209"/>
    </row>
    <row r="155" spans="2:6" x14ac:dyDescent="0.25">
      <c r="B155" s="1133"/>
      <c r="C155" s="115" t="s">
        <v>767</v>
      </c>
      <c r="D155" s="115" t="s">
        <v>384</v>
      </c>
      <c r="E155" s="116">
        <v>2</v>
      </c>
      <c r="F155" s="209"/>
    </row>
    <row r="156" spans="2:6" x14ac:dyDescent="0.25">
      <c r="B156" s="1133"/>
      <c r="C156" s="115" t="s">
        <v>386</v>
      </c>
      <c r="D156" s="115" t="s">
        <v>387</v>
      </c>
      <c r="E156" s="116">
        <v>2</v>
      </c>
      <c r="F156" s="209"/>
    </row>
    <row r="157" spans="2:6" ht="24" x14ac:dyDescent="0.25">
      <c r="B157" s="1133"/>
      <c r="C157" s="115" t="s">
        <v>386</v>
      </c>
      <c r="D157" s="115" t="s">
        <v>388</v>
      </c>
      <c r="E157" s="116">
        <v>2</v>
      </c>
      <c r="F157" s="209"/>
    </row>
    <row r="158" spans="2:6" x14ac:dyDescent="0.25">
      <c r="B158" s="1133"/>
      <c r="C158" s="115" t="s">
        <v>386</v>
      </c>
      <c r="D158" s="115" t="s">
        <v>389</v>
      </c>
      <c r="E158" s="116">
        <v>2</v>
      </c>
      <c r="F158" s="209"/>
    </row>
    <row r="159" spans="2:6" x14ac:dyDescent="0.25">
      <c r="B159" s="1133"/>
      <c r="C159" s="115" t="s">
        <v>390</v>
      </c>
      <c r="D159" s="115" t="s">
        <v>391</v>
      </c>
      <c r="E159" s="116">
        <v>2</v>
      </c>
      <c r="F159" s="209"/>
    </row>
    <row r="160" spans="2:6" ht="4.5" customHeight="1" thickBot="1" x14ac:dyDescent="0.3">
      <c r="B160" s="1134"/>
      <c r="C160" s="223"/>
      <c r="D160" s="223"/>
      <c r="E160" s="217"/>
      <c r="F160" s="319"/>
    </row>
    <row r="161" spans="2:6" ht="15.75" thickTop="1" x14ac:dyDescent="0.25">
      <c r="B161" s="1071" t="s">
        <v>393</v>
      </c>
      <c r="C161" s="320" t="s">
        <v>394</v>
      </c>
      <c r="D161" s="320" t="s">
        <v>395</v>
      </c>
      <c r="E161" s="321">
        <v>2</v>
      </c>
      <c r="F161" s="323" t="s">
        <v>768</v>
      </c>
    </row>
    <row r="162" spans="2:6" x14ac:dyDescent="0.25">
      <c r="B162" s="1069"/>
      <c r="C162" s="282" t="s">
        <v>396</v>
      </c>
      <c r="D162" s="282" t="s">
        <v>397</v>
      </c>
      <c r="E162" s="120">
        <v>2</v>
      </c>
      <c r="F162" s="121" t="s">
        <v>769</v>
      </c>
    </row>
    <row r="163" spans="2:6" x14ac:dyDescent="0.25">
      <c r="B163" s="1069"/>
      <c r="C163" s="119" t="s">
        <v>398</v>
      </c>
      <c r="D163" s="119" t="s">
        <v>399</v>
      </c>
      <c r="E163" s="120">
        <v>2</v>
      </c>
      <c r="F163" s="121" t="s">
        <v>770</v>
      </c>
    </row>
    <row r="164" spans="2:6" x14ac:dyDescent="0.25">
      <c r="B164" s="1069"/>
      <c r="C164" s="119" t="s">
        <v>400</v>
      </c>
      <c r="D164" s="119" t="s">
        <v>401</v>
      </c>
      <c r="E164" s="120">
        <v>2</v>
      </c>
      <c r="F164" s="121" t="s">
        <v>771</v>
      </c>
    </row>
    <row r="165" spans="2:6" ht="9" customHeight="1" thickBot="1" x14ac:dyDescent="0.3">
      <c r="B165" s="1069"/>
      <c r="C165" s="227"/>
      <c r="D165" s="227"/>
      <c r="E165" s="228"/>
      <c r="F165" s="229"/>
    </row>
    <row r="166" spans="2:6" x14ac:dyDescent="0.25">
      <c r="B166" s="1068" t="s">
        <v>402</v>
      </c>
      <c r="C166" s="230" t="s">
        <v>403</v>
      </c>
      <c r="D166" s="230" t="s">
        <v>404</v>
      </c>
      <c r="E166" s="231">
        <v>2</v>
      </c>
      <c r="F166" s="232"/>
    </row>
    <row r="167" spans="2:6" x14ac:dyDescent="0.25">
      <c r="B167" s="1069"/>
      <c r="C167" s="119" t="s">
        <v>403</v>
      </c>
      <c r="D167" s="119" t="s">
        <v>405</v>
      </c>
      <c r="E167" s="120">
        <v>2</v>
      </c>
      <c r="F167" s="233"/>
    </row>
    <row r="168" spans="2:6" x14ac:dyDescent="0.25">
      <c r="B168" s="1069"/>
      <c r="C168" s="119" t="s">
        <v>403</v>
      </c>
      <c r="D168" s="119" t="s">
        <v>406</v>
      </c>
      <c r="E168" s="120">
        <v>2</v>
      </c>
      <c r="F168" s="233"/>
    </row>
    <row r="169" spans="2:6" x14ac:dyDescent="0.25">
      <c r="B169" s="1069"/>
      <c r="C169" s="119" t="s">
        <v>403</v>
      </c>
      <c r="D169" s="119" t="s">
        <v>772</v>
      </c>
      <c r="E169" s="120">
        <v>2</v>
      </c>
      <c r="F169" s="233"/>
    </row>
    <row r="170" spans="2:6" x14ac:dyDescent="0.25">
      <c r="B170" s="1069"/>
      <c r="C170" s="119" t="s">
        <v>408</v>
      </c>
      <c r="D170" s="119" t="s">
        <v>409</v>
      </c>
      <c r="E170" s="120">
        <v>2</v>
      </c>
      <c r="F170" s="233" t="s">
        <v>773</v>
      </c>
    </row>
    <row r="171" spans="2:6" x14ac:dyDescent="0.25">
      <c r="B171" s="1069"/>
      <c r="C171" s="119" t="s">
        <v>408</v>
      </c>
      <c r="D171" s="119" t="s">
        <v>410</v>
      </c>
      <c r="E171" s="120">
        <v>2</v>
      </c>
      <c r="F171" s="233" t="s">
        <v>773</v>
      </c>
    </row>
    <row r="172" spans="2:6" x14ac:dyDescent="0.25">
      <c r="B172" s="1069"/>
      <c r="C172" s="119" t="s">
        <v>408</v>
      </c>
      <c r="D172" s="119" t="s">
        <v>411</v>
      </c>
      <c r="E172" s="120">
        <v>2</v>
      </c>
      <c r="F172" s="233" t="s">
        <v>773</v>
      </c>
    </row>
    <row r="173" spans="2:6" x14ac:dyDescent="0.25">
      <c r="B173" s="1069"/>
      <c r="C173" s="119" t="s">
        <v>408</v>
      </c>
      <c r="D173" s="119" t="s">
        <v>412</v>
      </c>
      <c r="E173" s="120">
        <v>2</v>
      </c>
      <c r="F173" s="233" t="s">
        <v>773</v>
      </c>
    </row>
    <row r="174" spans="2:6" x14ac:dyDescent="0.25">
      <c r="B174" s="1069"/>
      <c r="C174" s="119" t="s">
        <v>413</v>
      </c>
      <c r="D174" s="119" t="s">
        <v>414</v>
      </c>
      <c r="E174" s="120">
        <v>2</v>
      </c>
      <c r="F174" s="233"/>
    </row>
    <row r="175" spans="2:6" x14ac:dyDescent="0.25">
      <c r="B175" s="1069"/>
      <c r="C175" s="119" t="s">
        <v>413</v>
      </c>
      <c r="D175" s="119" t="s">
        <v>415</v>
      </c>
      <c r="E175" s="120">
        <v>2</v>
      </c>
      <c r="F175" s="233"/>
    </row>
    <row r="176" spans="2:6" ht="6.75" customHeight="1" thickBot="1" x14ac:dyDescent="0.3">
      <c r="B176" s="1180"/>
      <c r="C176" s="234"/>
      <c r="D176" s="234"/>
      <c r="E176" s="235"/>
      <c r="F176" s="236"/>
    </row>
    <row r="177" spans="2:6" ht="24" x14ac:dyDescent="0.25">
      <c r="B177" s="1069" t="s">
        <v>416</v>
      </c>
      <c r="C177" s="224" t="s">
        <v>417</v>
      </c>
      <c r="D177" s="224" t="s">
        <v>418</v>
      </c>
      <c r="E177" s="225">
        <v>2</v>
      </c>
      <c r="F177" s="226"/>
    </row>
    <row r="178" spans="2:6" ht="36" x14ac:dyDescent="0.25">
      <c r="B178" s="1069"/>
      <c r="C178" s="119" t="s">
        <v>419</v>
      </c>
      <c r="D178" s="119" t="s">
        <v>420</v>
      </c>
      <c r="E178" s="120">
        <v>2</v>
      </c>
      <c r="F178" s="121"/>
    </row>
    <row r="179" spans="2:6" ht="36" x14ac:dyDescent="0.25">
      <c r="B179" s="1069"/>
      <c r="C179" s="119" t="s">
        <v>419</v>
      </c>
      <c r="D179" s="119" t="s">
        <v>421</v>
      </c>
      <c r="E179" s="120">
        <v>2</v>
      </c>
      <c r="F179" s="121" t="s">
        <v>422</v>
      </c>
    </row>
    <row r="180" spans="2:6" ht="24" x14ac:dyDescent="0.25">
      <c r="B180" s="1069"/>
      <c r="C180" s="119" t="s">
        <v>419</v>
      </c>
      <c r="D180" s="119" t="s">
        <v>423</v>
      </c>
      <c r="E180" s="120">
        <v>2</v>
      </c>
      <c r="F180" s="121"/>
    </row>
    <row r="181" spans="2:6" ht="15.75" thickBot="1" x14ac:dyDescent="0.3">
      <c r="B181" s="1069"/>
      <c r="C181" s="227"/>
      <c r="D181" s="227"/>
      <c r="E181" s="228"/>
      <c r="F181" s="229"/>
    </row>
    <row r="182" spans="2:6" ht="15" customHeight="1" x14ac:dyDescent="0.25">
      <c r="B182" s="1068" t="s">
        <v>424</v>
      </c>
      <c r="C182" s="230" t="s">
        <v>425</v>
      </c>
      <c r="D182" s="230" t="s">
        <v>426</v>
      </c>
      <c r="E182" s="231">
        <v>4</v>
      </c>
      <c r="F182" s="232" t="s">
        <v>427</v>
      </c>
    </row>
    <row r="183" spans="2:6" ht="29.25" customHeight="1" x14ac:dyDescent="0.25">
      <c r="B183" s="1069"/>
      <c r="C183" s="119" t="s">
        <v>774</v>
      </c>
      <c r="D183" s="119" t="s">
        <v>775</v>
      </c>
      <c r="E183" s="120">
        <v>2</v>
      </c>
      <c r="F183" s="233" t="s">
        <v>776</v>
      </c>
    </row>
    <row r="184" spans="2:6" ht="46.5" customHeight="1" x14ac:dyDescent="0.25">
      <c r="B184" s="1069"/>
      <c r="C184" s="119" t="s">
        <v>428</v>
      </c>
      <c r="D184" s="119" t="s">
        <v>429</v>
      </c>
      <c r="E184" s="120">
        <v>5</v>
      </c>
      <c r="F184" s="233"/>
    </row>
    <row r="185" spans="2:6" ht="42.75" customHeight="1" x14ac:dyDescent="0.25">
      <c r="B185" s="1069"/>
      <c r="C185" s="119" t="s">
        <v>430</v>
      </c>
      <c r="D185" s="119" t="s">
        <v>431</v>
      </c>
      <c r="E185" s="120">
        <v>4</v>
      </c>
      <c r="F185" s="233"/>
    </row>
    <row r="186" spans="2:6" ht="51" customHeight="1" x14ac:dyDescent="0.25">
      <c r="B186" s="1069"/>
      <c r="C186" s="119" t="s">
        <v>432</v>
      </c>
      <c r="D186" s="119" t="s">
        <v>433</v>
      </c>
      <c r="E186" s="120">
        <v>5</v>
      </c>
      <c r="F186" s="233"/>
    </row>
    <row r="187" spans="2:6" ht="9.75" customHeight="1" thickBot="1" x14ac:dyDescent="0.3">
      <c r="B187" s="1070"/>
      <c r="C187" s="325"/>
      <c r="D187" s="325"/>
      <c r="E187" s="326"/>
      <c r="F187" s="328"/>
    </row>
    <row r="188" spans="2:6" ht="55.35" customHeight="1" thickTop="1" x14ac:dyDescent="0.25">
      <c r="B188" s="1168" t="s">
        <v>130</v>
      </c>
      <c r="C188" s="310" t="s">
        <v>435</v>
      </c>
      <c r="D188" s="310" t="s">
        <v>436</v>
      </c>
      <c r="E188" s="311">
        <v>2</v>
      </c>
      <c r="F188" s="313"/>
    </row>
    <row r="189" spans="2:6" ht="48" x14ac:dyDescent="0.25">
      <c r="B189" s="1061"/>
      <c r="C189" s="122" t="s">
        <v>435</v>
      </c>
      <c r="D189" s="122" t="s">
        <v>437</v>
      </c>
      <c r="E189" s="123">
        <v>2</v>
      </c>
      <c r="F189" s="245"/>
    </row>
    <row r="190" spans="2:6" ht="36" x14ac:dyDescent="0.25">
      <c r="B190" s="1061"/>
      <c r="C190" s="122" t="s">
        <v>435</v>
      </c>
      <c r="D190" s="122" t="s">
        <v>438</v>
      </c>
      <c r="E190" s="123">
        <v>2</v>
      </c>
      <c r="F190" s="245"/>
    </row>
    <row r="191" spans="2:6" ht="36" x14ac:dyDescent="0.25">
      <c r="B191" s="1061"/>
      <c r="C191" s="122" t="s">
        <v>435</v>
      </c>
      <c r="D191" s="122" t="s">
        <v>439</v>
      </c>
      <c r="E191" s="123">
        <v>2</v>
      </c>
      <c r="F191" s="245"/>
    </row>
    <row r="192" spans="2:6" ht="31.35" customHeight="1" x14ac:dyDescent="0.25">
      <c r="B192" s="1061"/>
      <c r="C192" s="122" t="s">
        <v>440</v>
      </c>
      <c r="D192" s="122" t="s">
        <v>441</v>
      </c>
      <c r="E192" s="123">
        <v>2</v>
      </c>
      <c r="F192" s="245"/>
    </row>
    <row r="193" spans="2:6" x14ac:dyDescent="0.25">
      <c r="B193" s="1061"/>
      <c r="C193" s="122" t="s">
        <v>442</v>
      </c>
      <c r="D193" s="122" t="s">
        <v>443</v>
      </c>
      <c r="E193" s="123">
        <v>2</v>
      </c>
      <c r="F193" s="245" t="s">
        <v>777</v>
      </c>
    </row>
    <row r="194" spans="2:6" ht="24" x14ac:dyDescent="0.25">
      <c r="B194" s="1061"/>
      <c r="C194" s="122" t="s">
        <v>444</v>
      </c>
      <c r="D194" s="122" t="s">
        <v>445</v>
      </c>
      <c r="E194" s="123">
        <v>2</v>
      </c>
      <c r="F194" s="245"/>
    </row>
    <row r="195" spans="2:6" ht="15.75" thickBot="1" x14ac:dyDescent="0.3">
      <c r="B195" s="1169"/>
      <c r="C195" s="280"/>
      <c r="D195" s="247"/>
      <c r="E195" s="248">
        <v>2</v>
      </c>
      <c r="F195" s="250"/>
    </row>
    <row r="196" spans="2:6" ht="24" x14ac:dyDescent="0.25">
      <c r="B196" s="1170" t="s">
        <v>131</v>
      </c>
      <c r="C196" s="278" t="s">
        <v>447</v>
      </c>
      <c r="D196" s="278" t="s">
        <v>448</v>
      </c>
      <c r="E196" s="237">
        <v>2</v>
      </c>
      <c r="F196" s="239"/>
    </row>
    <row r="197" spans="2:6" x14ac:dyDescent="0.25">
      <c r="B197" s="1061"/>
      <c r="C197" s="122" t="s">
        <v>449</v>
      </c>
      <c r="D197" s="122" t="s">
        <v>450</v>
      </c>
      <c r="E197" s="123">
        <v>2</v>
      </c>
      <c r="F197" s="125"/>
    </row>
    <row r="198" spans="2:6" ht="24" x14ac:dyDescent="0.25">
      <c r="B198" s="1061"/>
      <c r="C198" s="122" t="s">
        <v>451</v>
      </c>
      <c r="D198" s="122" t="s">
        <v>452</v>
      </c>
      <c r="E198" s="123">
        <v>2</v>
      </c>
      <c r="F198" s="125" t="s">
        <v>778</v>
      </c>
    </row>
    <row r="199" spans="2:6" ht="24" x14ac:dyDescent="0.25">
      <c r="B199" s="1061"/>
      <c r="C199" s="122" t="s">
        <v>451</v>
      </c>
      <c r="D199" s="122" t="s">
        <v>453</v>
      </c>
      <c r="E199" s="123">
        <v>2</v>
      </c>
      <c r="F199" s="125" t="s">
        <v>778</v>
      </c>
    </row>
    <row r="200" spans="2:6" ht="36" x14ac:dyDescent="0.25">
      <c r="B200" s="1061"/>
      <c r="C200" s="122" t="s">
        <v>451</v>
      </c>
      <c r="D200" s="122" t="s">
        <v>454</v>
      </c>
      <c r="E200" s="123">
        <v>2</v>
      </c>
      <c r="F200" s="125" t="s">
        <v>778</v>
      </c>
    </row>
    <row r="201" spans="2:6" ht="48" x14ac:dyDescent="0.25">
      <c r="B201" s="1061"/>
      <c r="C201" s="122" t="s">
        <v>451</v>
      </c>
      <c r="D201" s="122" t="s">
        <v>455</v>
      </c>
      <c r="E201" s="123">
        <v>5</v>
      </c>
      <c r="F201" s="125" t="s">
        <v>778</v>
      </c>
    </row>
    <row r="202" spans="2:6" ht="48" x14ac:dyDescent="0.25">
      <c r="B202" s="1061"/>
      <c r="C202" s="122" t="s">
        <v>779</v>
      </c>
      <c r="D202" s="122" t="s">
        <v>780</v>
      </c>
      <c r="E202" s="123">
        <v>5</v>
      </c>
      <c r="F202" s="125" t="s">
        <v>778</v>
      </c>
    </row>
    <row r="203" spans="2:6" ht="121.5" customHeight="1" x14ac:dyDescent="0.25">
      <c r="B203" s="1061"/>
      <c r="C203" s="122" t="s">
        <v>457</v>
      </c>
      <c r="D203" s="122" t="s">
        <v>458</v>
      </c>
      <c r="E203" s="123">
        <v>4</v>
      </c>
      <c r="F203" s="125" t="s">
        <v>778</v>
      </c>
    </row>
    <row r="204" spans="2:6" ht="15.75" thickBot="1" x14ac:dyDescent="0.3">
      <c r="B204" s="1171"/>
      <c r="C204" s="279"/>
      <c r="D204" s="279"/>
      <c r="E204" s="252"/>
      <c r="F204" s="254"/>
    </row>
    <row r="205" spans="2:6" ht="36" x14ac:dyDescent="0.25">
      <c r="B205" s="1060" t="s">
        <v>132</v>
      </c>
      <c r="C205" s="241" t="s">
        <v>459</v>
      </c>
      <c r="D205" s="241" t="s">
        <v>781</v>
      </c>
      <c r="E205" s="242">
        <v>2</v>
      </c>
      <c r="F205" s="244"/>
    </row>
    <row r="206" spans="2:6" ht="29.25" customHeight="1" x14ac:dyDescent="0.25">
      <c r="B206" s="1061"/>
      <c r="C206" s="122" t="s">
        <v>461</v>
      </c>
      <c r="D206" s="122" t="s">
        <v>462</v>
      </c>
      <c r="E206" s="123">
        <v>2</v>
      </c>
      <c r="F206" s="245" t="s">
        <v>782</v>
      </c>
    </row>
    <row r="207" spans="2:6" ht="24" x14ac:dyDescent="0.25">
      <c r="B207" s="1061"/>
      <c r="C207" s="122" t="s">
        <v>461</v>
      </c>
      <c r="D207" s="122" t="s">
        <v>463</v>
      </c>
      <c r="E207" s="123">
        <v>2</v>
      </c>
      <c r="F207" s="245" t="s">
        <v>783</v>
      </c>
    </row>
    <row r="208" spans="2:6" ht="48" x14ac:dyDescent="0.25">
      <c r="B208" s="1061"/>
      <c r="C208" s="122" t="s">
        <v>464</v>
      </c>
      <c r="D208" s="122" t="s">
        <v>465</v>
      </c>
      <c r="E208" s="123">
        <v>2</v>
      </c>
      <c r="F208" s="245"/>
    </row>
    <row r="209" spans="2:6" ht="15.75" thickBot="1" x14ac:dyDescent="0.3">
      <c r="B209" s="1062"/>
      <c r="C209" s="315"/>
      <c r="D209" s="315"/>
      <c r="E209" s="316"/>
      <c r="F209" s="318"/>
    </row>
    <row r="210" spans="2:6" ht="24.75" thickTop="1" x14ac:dyDescent="0.25">
      <c r="B210" s="1063" t="s">
        <v>467</v>
      </c>
      <c r="C210" s="273" t="s">
        <v>468</v>
      </c>
      <c r="D210" s="273" t="s">
        <v>469</v>
      </c>
      <c r="E210" s="256">
        <v>2</v>
      </c>
      <c r="F210" s="257"/>
    </row>
    <row r="211" spans="2:6" ht="36" x14ac:dyDescent="0.25">
      <c r="B211" s="1064"/>
      <c r="C211" s="274" t="s">
        <v>468</v>
      </c>
      <c r="D211" s="274" t="s">
        <v>470</v>
      </c>
      <c r="E211" s="127">
        <v>2</v>
      </c>
      <c r="F211" s="128"/>
    </row>
    <row r="212" spans="2:6" ht="60" x14ac:dyDescent="0.25">
      <c r="B212" s="1064"/>
      <c r="C212" s="274" t="s">
        <v>468</v>
      </c>
      <c r="D212" s="274" t="s">
        <v>471</v>
      </c>
      <c r="E212" s="127">
        <v>2</v>
      </c>
      <c r="F212" s="128"/>
    </row>
    <row r="213" spans="2:6" ht="15.75" thickBot="1" x14ac:dyDescent="0.3">
      <c r="B213" s="1065"/>
      <c r="C213" s="275"/>
      <c r="D213" s="276"/>
      <c r="E213" s="260"/>
      <c r="F213" s="261"/>
    </row>
    <row r="214" spans="2:6" ht="24" x14ac:dyDescent="0.25">
      <c r="B214" s="1066" t="s">
        <v>135</v>
      </c>
      <c r="C214" s="277" t="s">
        <v>472</v>
      </c>
      <c r="D214" s="277" t="s">
        <v>473</v>
      </c>
      <c r="E214" s="262">
        <v>4</v>
      </c>
      <c r="F214" s="385"/>
    </row>
    <row r="215" spans="2:6" ht="24" x14ac:dyDescent="0.25">
      <c r="B215" s="1067"/>
      <c r="C215" s="273" t="s">
        <v>472</v>
      </c>
      <c r="D215" s="273" t="s">
        <v>474</v>
      </c>
      <c r="E215" s="256">
        <v>4</v>
      </c>
      <c r="F215" s="386"/>
    </row>
    <row r="216" spans="2:6" ht="43.7" customHeight="1" x14ac:dyDescent="0.25">
      <c r="B216" s="1067"/>
      <c r="C216" s="273" t="s">
        <v>472</v>
      </c>
      <c r="D216" s="273" t="s">
        <v>475</v>
      </c>
      <c r="E216" s="256">
        <v>4</v>
      </c>
      <c r="F216" s="386"/>
    </row>
    <row r="217" spans="2:6" ht="26.25" customHeight="1" x14ac:dyDescent="0.25">
      <c r="B217" s="1067"/>
      <c r="C217" s="274" t="s">
        <v>476</v>
      </c>
      <c r="D217" s="273" t="s">
        <v>477</v>
      </c>
      <c r="E217" s="127">
        <v>5</v>
      </c>
      <c r="F217" s="387"/>
    </row>
    <row r="218" spans="2:6" ht="24" x14ac:dyDescent="0.25">
      <c r="B218" s="1067"/>
      <c r="C218" s="274" t="s">
        <v>476</v>
      </c>
      <c r="D218" s="273" t="s">
        <v>784</v>
      </c>
      <c r="E218" s="127">
        <v>4</v>
      </c>
      <c r="F218" s="387"/>
    </row>
    <row r="219" spans="2:6" x14ac:dyDescent="0.25">
      <c r="B219" s="1067"/>
      <c r="C219" s="274" t="s">
        <v>479</v>
      </c>
      <c r="D219" s="273" t="s">
        <v>480</v>
      </c>
      <c r="E219" s="127">
        <v>3</v>
      </c>
      <c r="F219" s="387"/>
    </row>
    <row r="220" spans="2:6" ht="24" x14ac:dyDescent="0.25">
      <c r="B220" s="1067"/>
      <c r="C220" s="274" t="s">
        <v>479</v>
      </c>
      <c r="D220" s="274" t="s">
        <v>481</v>
      </c>
      <c r="E220" s="127">
        <v>5</v>
      </c>
      <c r="F220" s="387" t="s">
        <v>785</v>
      </c>
    </row>
    <row r="221" spans="2:6" ht="15.75" thickBot="1" x14ac:dyDescent="0.3">
      <c r="B221" s="1067"/>
      <c r="C221" s="276"/>
      <c r="D221" s="276"/>
      <c r="E221" s="260"/>
      <c r="F221" s="388"/>
    </row>
    <row r="222" spans="2:6" ht="36.75" thickTop="1" x14ac:dyDescent="0.25">
      <c r="B222" s="1050" t="s">
        <v>483</v>
      </c>
      <c r="C222" s="301" t="s">
        <v>485</v>
      </c>
      <c r="D222" s="301" t="s">
        <v>486</v>
      </c>
      <c r="E222" s="302">
        <v>2</v>
      </c>
      <c r="F222" s="303"/>
    </row>
    <row r="223" spans="2:6" ht="54.6" customHeight="1" x14ac:dyDescent="0.25">
      <c r="B223" s="1051"/>
      <c r="C223" s="126" t="s">
        <v>488</v>
      </c>
      <c r="D223" s="126" t="s">
        <v>489</v>
      </c>
      <c r="E223" s="130">
        <v>2</v>
      </c>
      <c r="F223" s="131" t="s">
        <v>786</v>
      </c>
    </row>
    <row r="224" spans="2:6" ht="48" x14ac:dyDescent="0.25">
      <c r="B224" s="1051"/>
      <c r="C224" s="126" t="s">
        <v>490</v>
      </c>
      <c r="D224" s="126" t="s">
        <v>491</v>
      </c>
      <c r="E224" s="130">
        <v>2</v>
      </c>
      <c r="F224" s="131"/>
    </row>
    <row r="225" spans="2:6" ht="48" x14ac:dyDescent="0.25">
      <c r="B225" s="1051"/>
      <c r="C225" s="126" t="s">
        <v>490</v>
      </c>
      <c r="D225" s="126" t="s">
        <v>493</v>
      </c>
      <c r="E225" s="130">
        <v>2</v>
      </c>
      <c r="F225" s="131"/>
    </row>
    <row r="226" spans="2:6" ht="15.75" thickBot="1" x14ac:dyDescent="0.3">
      <c r="B226" s="1052"/>
      <c r="C226" s="306"/>
      <c r="D226" s="306"/>
      <c r="E226" s="307"/>
      <c r="F226" s="308"/>
    </row>
    <row r="227" spans="2:6" ht="15.75" thickTop="1" x14ac:dyDescent="0.25">
      <c r="B227" s="1129" t="s">
        <v>138</v>
      </c>
      <c r="C227" s="296" t="s">
        <v>496</v>
      </c>
      <c r="D227" s="296" t="s">
        <v>497</v>
      </c>
      <c r="E227" s="297">
        <v>2</v>
      </c>
      <c r="F227" s="299"/>
    </row>
    <row r="228" spans="2:6" ht="24" x14ac:dyDescent="0.25">
      <c r="B228" s="1130"/>
      <c r="C228" s="132" t="s">
        <v>498</v>
      </c>
      <c r="D228" s="132" t="s">
        <v>499</v>
      </c>
      <c r="E228" s="133">
        <v>2</v>
      </c>
      <c r="F228" s="144"/>
    </row>
    <row r="229" spans="2:6" ht="24" x14ac:dyDescent="0.25">
      <c r="B229" s="1130"/>
      <c r="C229" s="132" t="s">
        <v>498</v>
      </c>
      <c r="D229" s="132" t="s">
        <v>500</v>
      </c>
      <c r="E229" s="133">
        <v>4</v>
      </c>
      <c r="F229" s="144"/>
    </row>
    <row r="230" spans="2:6" ht="24" x14ac:dyDescent="0.25">
      <c r="B230" s="1130"/>
      <c r="C230" s="132" t="s">
        <v>501</v>
      </c>
      <c r="D230" s="132" t="s">
        <v>502</v>
      </c>
      <c r="E230" s="133">
        <v>4</v>
      </c>
      <c r="F230" s="144" t="s">
        <v>778</v>
      </c>
    </row>
    <row r="231" spans="2:6" ht="36" x14ac:dyDescent="0.25">
      <c r="B231" s="1130"/>
      <c r="C231" s="132" t="s">
        <v>503</v>
      </c>
      <c r="D231" s="132" t="s">
        <v>504</v>
      </c>
      <c r="E231" s="133">
        <v>5</v>
      </c>
      <c r="F231" s="144" t="s">
        <v>778</v>
      </c>
    </row>
    <row r="232" spans="2:6" ht="15.75" thickBot="1" x14ac:dyDescent="0.3">
      <c r="B232" s="1131"/>
      <c r="C232" s="146"/>
      <c r="D232" s="146"/>
      <c r="E232" s="147"/>
      <c r="F232" s="149"/>
    </row>
  </sheetData>
  <mergeCells count="28">
    <mergeCell ref="B73:B81"/>
    <mergeCell ref="B82:B84"/>
    <mergeCell ref="B62:B72"/>
    <mergeCell ref="B4:B23"/>
    <mergeCell ref="B24:B56"/>
    <mergeCell ref="B57:B61"/>
    <mergeCell ref="B111:B119"/>
    <mergeCell ref="B91:B93"/>
    <mergeCell ref="B94:B103"/>
    <mergeCell ref="B104:B110"/>
    <mergeCell ref="B85:B87"/>
    <mergeCell ref="B88:B90"/>
    <mergeCell ref="B227:B232"/>
    <mergeCell ref="F20:F22"/>
    <mergeCell ref="B222:B226"/>
    <mergeCell ref="B210:B213"/>
    <mergeCell ref="B214:B221"/>
    <mergeCell ref="B188:B195"/>
    <mergeCell ref="B196:B204"/>
    <mergeCell ref="B205:B209"/>
    <mergeCell ref="B182:B187"/>
    <mergeCell ref="B161:B165"/>
    <mergeCell ref="B166:B176"/>
    <mergeCell ref="B177:B181"/>
    <mergeCell ref="B139:B152"/>
    <mergeCell ref="B153:B160"/>
    <mergeCell ref="B120:B132"/>
    <mergeCell ref="B133:B138"/>
  </mergeCells>
  <pageMargins left="0.23622047244094491" right="0.23622047244094491" top="0.74803149606299213" bottom="0.74803149606299213" header="0.31496062992125984" footer="0.31496062992125984"/>
  <pageSetup paperSize="9" scale="77" fitToHeight="0"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227B0193-0D72-4EA0-9662-2A8CC63B1729}">
          <x14:formula1>
            <xm:f>'Dropdown Selection'!$C$7:$M$7</xm:f>
          </x14:formula1>
          <xm:sqref>E4:E232</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A1BDA-7401-497C-BEEC-73A22300B200}">
  <sheetPr>
    <tabColor rgb="FFFF0000"/>
  </sheetPr>
  <dimension ref="B2:M9"/>
  <sheetViews>
    <sheetView workbookViewId="0">
      <selection activeCell="F8" sqref="F8"/>
    </sheetView>
  </sheetViews>
  <sheetFormatPr defaultRowHeight="15" x14ac:dyDescent="0.25"/>
  <cols>
    <col min="2" max="2" width="28.85546875" bestFit="1" customWidth="1"/>
  </cols>
  <sheetData>
    <row r="2" spans="2:13" x14ac:dyDescent="0.25">
      <c r="B2" t="s">
        <v>787</v>
      </c>
      <c r="C2" t="s">
        <v>174</v>
      </c>
      <c r="D2" t="s">
        <v>175</v>
      </c>
      <c r="E2" t="s">
        <v>167</v>
      </c>
    </row>
    <row r="3" spans="2:13" x14ac:dyDescent="0.25">
      <c r="B3" t="s">
        <v>788</v>
      </c>
      <c r="C3" t="s">
        <v>174</v>
      </c>
      <c r="D3" t="s">
        <v>175</v>
      </c>
      <c r="E3" t="s">
        <v>167</v>
      </c>
      <c r="F3" t="s">
        <v>223</v>
      </c>
    </row>
    <row r="4" spans="2:13" x14ac:dyDescent="0.25">
      <c r="B4" t="s">
        <v>153</v>
      </c>
      <c r="C4" t="s">
        <v>168</v>
      </c>
      <c r="D4" t="s">
        <v>199</v>
      </c>
    </row>
    <row r="7" spans="2:13" x14ac:dyDescent="0.25">
      <c r="B7" t="s">
        <v>789</v>
      </c>
      <c r="C7">
        <v>-5</v>
      </c>
      <c r="D7">
        <v>-4</v>
      </c>
      <c r="E7">
        <v>-3</v>
      </c>
      <c r="F7">
        <v>-2</v>
      </c>
      <c r="G7">
        <v>-1</v>
      </c>
      <c r="H7">
        <v>0</v>
      </c>
      <c r="I7">
        <v>1</v>
      </c>
      <c r="J7">
        <v>2</v>
      </c>
      <c r="K7">
        <v>3</v>
      </c>
      <c r="L7">
        <v>4</v>
      </c>
      <c r="M7">
        <v>5</v>
      </c>
    </row>
    <row r="9" spans="2:13" x14ac:dyDescent="0.25">
      <c r="B9" t="s">
        <v>147</v>
      </c>
      <c r="C9" t="s">
        <v>174</v>
      </c>
      <c r="D9" t="s">
        <v>175</v>
      </c>
      <c r="E9"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6</vt:i4>
      </vt:variant>
    </vt:vector>
  </HeadingPairs>
  <TitlesOfParts>
    <vt:vector size="38" baseType="lpstr">
      <vt:lpstr>Key Data</vt:lpstr>
      <vt:lpstr>kWhm2 per year</vt:lpstr>
      <vt:lpstr>Water Use</vt:lpstr>
      <vt:lpstr>Matrix</vt:lpstr>
      <vt:lpstr>Detailed Matrix</vt:lpstr>
      <vt:lpstr>Operating Carbon</vt:lpstr>
      <vt:lpstr>Embodied Carbon</vt:lpstr>
      <vt:lpstr>Renewable Energy</vt:lpstr>
      <vt:lpstr>Smart Energy</vt:lpstr>
      <vt:lpstr>Energy Monitoring</vt:lpstr>
      <vt:lpstr>Construction Activity Emissions</vt:lpstr>
      <vt:lpstr>Indoor Air Quality</vt:lpstr>
      <vt:lpstr>Int Thermal Comfort</vt:lpstr>
      <vt:lpstr>Personal Safety</vt:lpstr>
      <vt:lpstr>Lighting</vt:lpstr>
      <vt:lpstr>Acoustic Comfort</vt:lpstr>
      <vt:lpstr>Outdoor Microclimate</vt:lpstr>
      <vt:lpstr>Physical Activity</vt:lpstr>
      <vt:lpstr>Personal Security</vt:lpstr>
      <vt:lpstr>Water Efficiency</vt:lpstr>
      <vt:lpstr>Water Recycling</vt:lpstr>
      <vt:lpstr>Monitoring</vt:lpstr>
      <vt:lpstr>Outdoor Water Use</vt:lpstr>
      <vt:lpstr>Circular Potentials</vt:lpstr>
      <vt:lpstr>Smart Demo</vt:lpstr>
      <vt:lpstr>Hazardous Materials</vt:lpstr>
      <vt:lpstr>Climate Change</vt:lpstr>
      <vt:lpstr>Physical Security</vt:lpstr>
      <vt:lpstr>Value &amp; Cost</vt:lpstr>
      <vt:lpstr>Biodiversity</vt:lpstr>
      <vt:lpstr>Queries</vt:lpstr>
      <vt:lpstr>Dropdown Selection</vt:lpstr>
      <vt:lpstr>'Detailed Matrix'!Print_Area</vt:lpstr>
      <vt:lpstr>Matrix!Print_Area</vt:lpstr>
      <vt:lpstr>Queries!Print_Area</vt:lpstr>
      <vt:lpstr>'Detailed Matrix'!Print_Titles</vt:lpstr>
      <vt:lpstr>Matrix!Print_Titles</vt:lpstr>
      <vt:lpstr>Queries!Print_Titles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 Allen</dc:creator>
  <cp:keywords/>
  <dc:description/>
  <cp:lastModifiedBy>A Arachchillage Navanjana Prabathiya Atthanayaka</cp:lastModifiedBy>
  <cp:revision/>
  <dcterms:created xsi:type="dcterms:W3CDTF">2024-05-29T10:33:06Z</dcterms:created>
  <dcterms:modified xsi:type="dcterms:W3CDTF">2025-05-13T00:38:33Z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ea7001-5c24-4702-a3ac-e436ccb02747_Enabled">
    <vt:lpwstr>true</vt:lpwstr>
  </property>
  <property fmtid="{D5CDD505-2E9C-101B-9397-08002B2CF9AE}" pid="3" name="MSIP_Label_20ea7001-5c24-4702-a3ac-e436ccb02747_SetDate">
    <vt:lpwstr>2024-05-29T11:25:29Z</vt:lpwstr>
  </property>
  <property fmtid="{D5CDD505-2E9C-101B-9397-08002B2CF9AE}" pid="4" name="MSIP_Label_20ea7001-5c24-4702-a3ac-e436ccb02747_Method">
    <vt:lpwstr>Standard</vt:lpwstr>
  </property>
  <property fmtid="{D5CDD505-2E9C-101B-9397-08002B2CF9AE}" pid="5" name="MSIP_Label_20ea7001-5c24-4702-a3ac-e436ccb02747_Name">
    <vt:lpwstr>Confidential</vt:lpwstr>
  </property>
  <property fmtid="{D5CDD505-2E9C-101B-9397-08002B2CF9AE}" pid="6" name="MSIP_Label_20ea7001-5c24-4702-a3ac-e436ccb02747_SiteId">
    <vt:lpwstr>c8823c91-be81-4f89-b024-6c3dd789c106</vt:lpwstr>
  </property>
  <property fmtid="{D5CDD505-2E9C-101B-9397-08002B2CF9AE}" pid="7" name="MSIP_Label_20ea7001-5c24-4702-a3ac-e436ccb02747_ActionId">
    <vt:lpwstr>fa66d092-bd7f-4c3b-82d3-8f5fc1a6a66a</vt:lpwstr>
  </property>
  <property fmtid="{D5CDD505-2E9C-101B-9397-08002B2CF9AE}" pid="8" name="MSIP_Label_20ea7001-5c24-4702-a3ac-e436ccb02747_ContentBits">
    <vt:lpwstr>2</vt:lpwstr>
  </property>
</Properties>
</file>