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495" windowWidth="28800" windowHeight="17505"/>
  </bookViews>
  <sheets>
    <sheet name="Автоматизированный расчет" sheetId="3" r:id="rId1"/>
    <sheet name="Соответствие" sheetId="4" r:id="rId2"/>
    <sheet name="SummaryReport" sheetId="5" r:id="rId3"/>
    <sheet name="Шаблоны соотвествие профилю" sheetId="2" r:id="rId4"/>
  </sheets>
  <calcPr calcId="162913"/>
  <pivotCaches>
    <pivotCache cacheId="0" r:id="rId5"/>
    <pivotCache cacheId="1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99" i="3" l="1"/>
  <c r="G37" i="3"/>
  <c r="G38" i="3"/>
  <c r="G39" i="3"/>
  <c r="G40" i="3"/>
  <c r="G41" i="3"/>
  <c r="G42" i="3"/>
  <c r="G43" i="3"/>
  <c r="G44" i="3"/>
  <c r="G45" i="3"/>
  <c r="G46" i="3"/>
  <c r="G47" i="3"/>
  <c r="G48" i="3"/>
  <c r="E199" i="3"/>
  <c r="E123" i="3"/>
  <c r="E161" i="3"/>
  <c r="C161" i="3"/>
  <c r="B215" i="3"/>
  <c r="I201" i="3"/>
  <c r="H202" i="3"/>
  <c r="H201" i="3"/>
  <c r="I128" i="3"/>
  <c r="H128" i="3"/>
  <c r="H127" i="3"/>
  <c r="I164" i="3"/>
  <c r="B49" i="3"/>
  <c r="H164" i="3"/>
  <c r="H165" i="3"/>
  <c r="H242" i="3" l="1"/>
  <c r="H126" i="3"/>
  <c r="E208" i="3" l="1"/>
  <c r="E207" i="3"/>
  <c r="E206" i="3"/>
  <c r="E204" i="3"/>
  <c r="E205" i="3"/>
  <c r="E203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E209" i="3" l="1"/>
  <c r="E169" i="3"/>
  <c r="E168" i="3"/>
  <c r="E167" i="3"/>
  <c r="E165" i="3"/>
  <c r="E166" i="3"/>
  <c r="E164" i="3"/>
  <c r="B175" i="3"/>
  <c r="B164" i="3"/>
  <c r="B176" i="3" s="1"/>
  <c r="B174" i="3"/>
  <c r="B173" i="3"/>
  <c r="B172" i="3"/>
  <c r="B171" i="3"/>
  <c r="E170" i="3"/>
  <c r="B170" i="3"/>
  <c r="B169" i="3"/>
  <c r="B168" i="3"/>
  <c r="B167" i="3"/>
  <c r="B166" i="3"/>
  <c r="B165" i="3"/>
  <c r="E131" i="3"/>
  <c r="B137" i="3"/>
  <c r="E130" i="3"/>
  <c r="E129" i="3"/>
  <c r="E128" i="3"/>
  <c r="E126" i="3"/>
  <c r="E127" i="3"/>
  <c r="E125" i="3"/>
  <c r="B126" i="3"/>
  <c r="B127" i="3"/>
  <c r="B128" i="3"/>
  <c r="B129" i="3"/>
  <c r="B130" i="3"/>
  <c r="B131" i="3"/>
  <c r="B132" i="3"/>
  <c r="B133" i="3"/>
  <c r="B134" i="3"/>
  <c r="B135" i="3"/>
  <c r="B136" i="3"/>
  <c r="B125" i="3"/>
  <c r="E4" i="3" l="1"/>
  <c r="F4" i="3" s="1"/>
  <c r="E5" i="3"/>
  <c r="F5" i="3" s="1"/>
  <c r="E6" i="3"/>
  <c r="D4" i="3"/>
  <c r="D5" i="3"/>
  <c r="D6" i="3"/>
  <c r="D7" i="3"/>
  <c r="D8" i="3"/>
  <c r="E24" i="3"/>
  <c r="F24" i="3" s="1"/>
  <c r="E25" i="3"/>
  <c r="F25" i="3" s="1"/>
  <c r="E26" i="3"/>
  <c r="F26" i="3" s="1"/>
  <c r="E27" i="3"/>
  <c r="F27" i="3" s="1"/>
  <c r="E28" i="3"/>
  <c r="F28" i="3" s="1"/>
  <c r="D24" i="3"/>
  <c r="D25" i="3"/>
  <c r="D26" i="3"/>
  <c r="D27" i="3"/>
  <c r="D28" i="3"/>
  <c r="D3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9" i="3"/>
  <c r="D30" i="3"/>
  <c r="D31" i="3"/>
  <c r="D32" i="3"/>
  <c r="H47" i="3"/>
  <c r="H48" i="3"/>
  <c r="O4" i="3"/>
  <c r="O5" i="3"/>
  <c r="O6" i="3"/>
  <c r="O7" i="3"/>
  <c r="O3" i="3"/>
  <c r="C45" i="3"/>
  <c r="C48" i="3"/>
  <c r="C47" i="3"/>
  <c r="C38" i="3"/>
  <c r="C46" i="3"/>
  <c r="C39" i="3"/>
  <c r="C43" i="3"/>
  <c r="C44" i="3"/>
  <c r="C40" i="3"/>
  <c r="C41" i="3"/>
  <c r="C42" i="3"/>
  <c r="H5" i="3" l="1"/>
  <c r="H4" i="3"/>
  <c r="H25" i="3"/>
  <c r="H27" i="3"/>
  <c r="H28" i="3"/>
  <c r="H26" i="3"/>
  <c r="H24" i="3"/>
  <c r="D39" i="3"/>
  <c r="D63" i="3"/>
  <c r="E63" i="3" s="1"/>
  <c r="D64" i="3"/>
  <c r="E64" i="3" s="1"/>
  <c r="D65" i="3"/>
  <c r="E65" i="3" s="1"/>
  <c r="D66" i="3"/>
  <c r="E66" i="3" s="1"/>
  <c r="D67" i="3"/>
  <c r="E67" i="3" s="1"/>
  <c r="D68" i="3"/>
  <c r="E68" i="3" s="1"/>
  <c r="D69" i="3"/>
  <c r="E69" i="3" s="1"/>
  <c r="D70" i="3"/>
  <c r="E70" i="3" s="1"/>
  <c r="D71" i="3"/>
  <c r="E71" i="3" s="1"/>
  <c r="D72" i="3"/>
  <c r="E72" i="3" s="1"/>
  <c r="D73" i="3"/>
  <c r="E73" i="3" s="1"/>
  <c r="D74" i="3"/>
  <c r="E74" i="3" s="1"/>
  <c r="D75" i="3"/>
  <c r="E75" i="3" s="1"/>
  <c r="D76" i="3"/>
  <c r="E76" i="3" s="1"/>
  <c r="D77" i="3"/>
  <c r="E77" i="3" s="1"/>
  <c r="D78" i="3"/>
  <c r="E78" i="3" s="1"/>
  <c r="D79" i="3"/>
  <c r="E79" i="3" s="1"/>
  <c r="D80" i="3"/>
  <c r="E80" i="3" s="1"/>
  <c r="D81" i="3"/>
  <c r="E81" i="3" s="1"/>
  <c r="D82" i="3"/>
  <c r="E82" i="3" s="1"/>
  <c r="D83" i="3"/>
  <c r="E83" i="3" s="1"/>
  <c r="D84" i="3"/>
  <c r="E84" i="3" s="1"/>
  <c r="D85" i="3"/>
  <c r="E85" i="3" s="1"/>
  <c r="D86" i="3"/>
  <c r="E86" i="3" s="1"/>
  <c r="D87" i="3"/>
  <c r="E87" i="3" s="1"/>
  <c r="D62" i="3"/>
  <c r="E62" i="3" s="1"/>
  <c r="D53" i="3"/>
  <c r="B53" i="3" l="1"/>
  <c r="F53" i="3" s="1"/>
  <c r="B54" i="3"/>
  <c r="B55" i="3"/>
  <c r="B56" i="3"/>
  <c r="B57" i="3"/>
  <c r="C68" i="3" l="1"/>
  <c r="G68" i="3" s="1"/>
  <c r="C62" i="3"/>
  <c r="G62" i="3" s="1"/>
  <c r="C63" i="3"/>
  <c r="G63" i="3" s="1"/>
  <c r="C65" i="3"/>
  <c r="G65" i="3" s="1"/>
  <c r="C64" i="3"/>
  <c r="G64" i="3" s="1"/>
  <c r="C66" i="3"/>
  <c r="G66" i="3" s="1"/>
  <c r="C67" i="3"/>
  <c r="G67" i="3" s="1"/>
  <c r="A3" i="4"/>
  <c r="A4" i="4"/>
  <c r="A5" i="4"/>
  <c r="A6" i="4"/>
  <c r="A7" i="4"/>
  <c r="A8" i="4"/>
  <c r="A9" i="4"/>
  <c r="A10" i="4"/>
  <c r="A11" i="4"/>
  <c r="A12" i="4"/>
  <c r="A13" i="4"/>
  <c r="A2" i="4"/>
  <c r="H40" i="3" l="1"/>
  <c r="F37" i="3"/>
  <c r="H37" i="3" s="1"/>
  <c r="F46" i="3"/>
  <c r="H46" i="3" s="1"/>
  <c r="H41" i="3"/>
  <c r="H42" i="3"/>
  <c r="F38" i="3"/>
  <c r="H38" i="3" s="1"/>
  <c r="F45" i="3"/>
  <c r="H45" i="3" s="1"/>
  <c r="H44" i="3"/>
  <c r="H43" i="3"/>
  <c r="H39" i="3"/>
  <c r="I39" i="3" s="1"/>
  <c r="E2" i="3"/>
  <c r="F2" i="3" s="1"/>
  <c r="D2" i="3"/>
  <c r="R7" i="3"/>
  <c r="D54" i="3"/>
  <c r="D55" i="3"/>
  <c r="H55" i="3" s="1"/>
  <c r="D56" i="3"/>
  <c r="H56" i="3" s="1"/>
  <c r="D57" i="3"/>
  <c r="C37" i="3"/>
  <c r="D40" i="3" l="1"/>
  <c r="D44" i="3"/>
  <c r="D47" i="3"/>
  <c r="D45" i="3"/>
  <c r="D42" i="3"/>
  <c r="D41" i="3"/>
  <c r="D46" i="3"/>
  <c r="D38" i="3"/>
  <c r="D48" i="3"/>
  <c r="D43" i="3"/>
  <c r="I43" i="3"/>
  <c r="I41" i="3"/>
  <c r="I38" i="3"/>
  <c r="I44" i="3"/>
  <c r="I45" i="3"/>
  <c r="I42" i="3"/>
  <c r="I46" i="3"/>
  <c r="I48" i="3"/>
  <c r="I47" i="3"/>
  <c r="I40" i="3"/>
  <c r="H2" i="3"/>
  <c r="E19" i="3"/>
  <c r="F19" i="3" s="1"/>
  <c r="H19" i="3" s="1"/>
  <c r="E22" i="3"/>
  <c r="F22" i="3" s="1"/>
  <c r="H22" i="3" s="1"/>
  <c r="E20" i="3"/>
  <c r="F20" i="3" s="1"/>
  <c r="H20" i="3" s="1"/>
  <c r="E21" i="3"/>
  <c r="F21" i="3" s="1"/>
  <c r="H21" i="3" s="1"/>
  <c r="F57" i="3"/>
  <c r="F55" i="3"/>
  <c r="F56" i="3"/>
  <c r="G53" i="3"/>
  <c r="H53" i="3" s="1"/>
  <c r="I56" i="3"/>
  <c r="F54" i="3"/>
  <c r="I55" i="3"/>
  <c r="E29" i="3"/>
  <c r="F29" i="3" s="1"/>
  <c r="C78" i="3" l="1"/>
  <c r="G78" i="3" s="1"/>
  <c r="C79" i="3"/>
  <c r="G79" i="3" s="1"/>
  <c r="C80" i="3"/>
  <c r="G80" i="3" s="1"/>
  <c r="C81" i="3"/>
  <c r="G81" i="3" s="1"/>
  <c r="C77" i="3"/>
  <c r="G77" i="3" s="1"/>
  <c r="C82" i="3"/>
  <c r="G82" i="3" s="1"/>
  <c r="C83" i="3"/>
  <c r="G83" i="3" s="1"/>
  <c r="G57" i="3"/>
  <c r="C84" i="3"/>
  <c r="G84" i="3" s="1"/>
  <c r="C85" i="3"/>
  <c r="G85" i="3" s="1"/>
  <c r="C86" i="3"/>
  <c r="G86" i="3" s="1"/>
  <c r="C87" i="3"/>
  <c r="G87" i="3" s="1"/>
  <c r="C76" i="3"/>
  <c r="G76" i="3" s="1"/>
  <c r="C72" i="3"/>
  <c r="G72" i="3" s="1"/>
  <c r="C74" i="3"/>
  <c r="G74" i="3" s="1"/>
  <c r="C73" i="3"/>
  <c r="G73" i="3" s="1"/>
  <c r="C75" i="3"/>
  <c r="G75" i="3" s="1"/>
  <c r="G54" i="3"/>
  <c r="H54" i="3" s="1"/>
  <c r="I54" i="3" s="1"/>
  <c r="C69" i="3"/>
  <c r="G69" i="3" s="1"/>
  <c r="C70" i="3"/>
  <c r="G70" i="3" s="1"/>
  <c r="C71" i="3"/>
  <c r="G71" i="3" s="1"/>
  <c r="H57" i="3"/>
  <c r="I57" i="3" s="1"/>
  <c r="I53" i="3"/>
  <c r="D37" i="3"/>
  <c r="H29" i="3"/>
  <c r="E3" i="3"/>
  <c r="F3" i="3" s="1"/>
  <c r="G58" i="3" l="1"/>
  <c r="U2" i="3"/>
  <c r="U7" i="3" l="1"/>
  <c r="U4" i="3"/>
  <c r="U5" i="3"/>
  <c r="U3" i="3"/>
  <c r="U6" i="3"/>
  <c r="E11" i="3"/>
  <c r="E9" i="3"/>
  <c r="F9" i="3" s="1"/>
  <c r="H9" i="3" s="1"/>
  <c r="O2" i="3"/>
  <c r="E23" i="3"/>
  <c r="F23" i="3" s="1"/>
  <c r="H23" i="3" s="1"/>
  <c r="R2" i="3"/>
  <c r="T2" i="3" s="1"/>
  <c r="R6" i="3"/>
  <c r="R3" i="3"/>
  <c r="T3" i="3" s="1"/>
  <c r="U8" i="3" l="1"/>
  <c r="R5" i="3"/>
  <c r="T5" i="3" s="1"/>
  <c r="E14" i="3"/>
  <c r="F14" i="3" s="1"/>
  <c r="H14" i="3" s="1"/>
  <c r="R4" i="3"/>
  <c r="T4" i="3" s="1"/>
  <c r="I37" i="3"/>
  <c r="T6" i="3"/>
  <c r="E32" i="3"/>
  <c r="F32" i="3" s="1"/>
  <c r="E18" i="3"/>
  <c r="F18" i="3" s="1"/>
  <c r="E13" i="3"/>
  <c r="F13" i="3" s="1"/>
  <c r="E8" i="3"/>
  <c r="F8" i="3" s="1"/>
  <c r="E31" i="3"/>
  <c r="F31" i="3" s="1"/>
  <c r="E17" i="3"/>
  <c r="F17" i="3" s="1"/>
  <c r="E12" i="3"/>
  <c r="F12" i="3" s="1"/>
  <c r="E7" i="3"/>
  <c r="F7" i="3" s="1"/>
  <c r="E30" i="3"/>
  <c r="E16" i="3"/>
  <c r="F6" i="3"/>
  <c r="H6" i="3" s="1"/>
  <c r="H3" i="3"/>
  <c r="E15" i="3"/>
  <c r="F15" i="3" s="1"/>
  <c r="E10" i="3"/>
  <c r="F10" i="3" s="1"/>
  <c r="G44" i="2"/>
  <c r="G43" i="2"/>
  <c r="I43" i="2" s="1"/>
  <c r="G42" i="2"/>
  <c r="I42" i="2" s="1"/>
  <c r="G41" i="2"/>
  <c r="G40" i="2"/>
  <c r="G39" i="2"/>
  <c r="I39" i="2" s="1"/>
  <c r="G38" i="2"/>
  <c r="I38" i="2" s="1"/>
  <c r="H32" i="2"/>
  <c r="H31" i="2"/>
  <c r="H30" i="2"/>
  <c r="H29" i="2"/>
  <c r="H28" i="2"/>
  <c r="G32" i="2"/>
  <c r="G31" i="2"/>
  <c r="G30" i="2"/>
  <c r="G29" i="2"/>
  <c r="G28" i="2"/>
  <c r="H27" i="2"/>
  <c r="G27" i="2"/>
  <c r="H26" i="2"/>
  <c r="G26" i="2"/>
  <c r="H12" i="2"/>
  <c r="I12" i="2" s="1"/>
  <c r="H13" i="2"/>
  <c r="I13" i="2" s="1"/>
  <c r="H14" i="2"/>
  <c r="I14" i="2" s="1"/>
  <c r="H15" i="2"/>
  <c r="I15" i="2" s="1"/>
  <c r="H16" i="2"/>
  <c r="I16" i="2" s="1"/>
  <c r="H17" i="2"/>
  <c r="I17" i="2" s="1"/>
  <c r="H18" i="2"/>
  <c r="I18" i="2" s="1"/>
  <c r="F30" i="3" l="1"/>
  <c r="H30" i="3" s="1"/>
  <c r="F11" i="3"/>
  <c r="H11" i="3" s="1"/>
  <c r="F16" i="3"/>
  <c r="H16" i="3" s="1"/>
  <c r="C49" i="3"/>
  <c r="D49" i="3" s="1"/>
  <c r="T7" i="3"/>
  <c r="H32" i="3"/>
  <c r="H13" i="3"/>
  <c r="H18" i="3"/>
  <c r="H8" i="3"/>
  <c r="H31" i="3"/>
  <c r="H17" i="3"/>
  <c r="H12" i="3"/>
  <c r="H10" i="3"/>
  <c r="H7" i="3"/>
  <c r="H15" i="3"/>
  <c r="I40" i="2"/>
  <c r="I44" i="2"/>
  <c r="I41" i="2"/>
  <c r="I32" i="2"/>
  <c r="I31" i="2"/>
  <c r="I30" i="2"/>
  <c r="I29" i="2"/>
  <c r="I28" i="2"/>
  <c r="I27" i="2"/>
  <c r="I26" i="2"/>
</calcChain>
</file>

<file path=xl/comments1.xml><?xml version="1.0" encoding="utf-8"?>
<comments xmlns="http://schemas.openxmlformats.org/spreadsheetml/2006/main">
  <authors>
    <author>Microsoft Office User</author>
  </authors>
  <commentList>
    <comment ref="M2" authorId="0" shapeId="0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Duration - заполняется на основе данных после выполнения итерации соотвествующего скрипта в Vugen'е</t>
        </r>
      </text>
    </comment>
    <comment ref="N2" authorId="0" shapeId="0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ThinkTime - заполнятеся на основе ThinkTime'ов по выполнению одной итерации соотвествующего скрипта в Vugen'е</t>
        </r>
      </text>
    </comment>
    <comment ref="O2" authorId="0" shapeId="0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Общая длительность одной итерации скрипта ThinkTime + Duration, считается автоматически</t>
        </r>
      </text>
    </comment>
    <comment ref="P2" authorId="0" shapeId="0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Pacing не должен быть меньше чем Duration + think time (столбец P). Изначально считается как Duration + think time * 2 (коэф запаса времени), далее подгоняется вручную</t>
        </r>
      </text>
    </comment>
    <comment ref="Q2" authorId="0" shapeId="0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Количество пользователей для конкретного скрипта, заполняется вручную, сумма всех пользователей для 100% профиля не должна превышать 10.</t>
        </r>
      </text>
    </comment>
  </commentList>
</comments>
</file>

<file path=xl/sharedStrings.xml><?xml version="1.0" encoding="utf-8"?>
<sst xmlns="http://schemas.openxmlformats.org/spreadsheetml/2006/main" count="618" uniqueCount="145">
  <si>
    <t>Вход в систему</t>
  </si>
  <si>
    <t>Заполнение полей для поиска билета</t>
  </si>
  <si>
    <t>Выбор рейса из найденных</t>
  </si>
  <si>
    <t>Оплата билета</t>
  </si>
  <si>
    <t>Просмотр квитанций</t>
  </si>
  <si>
    <t>Отмена бронирования билета</t>
  </si>
  <si>
    <t>Выход из системы</t>
  </si>
  <si>
    <t>Итого</t>
  </si>
  <si>
    <t>Покупка билета</t>
  </si>
  <si>
    <t xml:space="preserve">Удаление бронирования </t>
  </si>
  <si>
    <t>Ознакомление с путевым листом</t>
  </si>
  <si>
    <t xml:space="preserve">Заполнение полей для поиска билета </t>
  </si>
  <si>
    <t xml:space="preserve">Выбор рейса из найденных </t>
  </si>
  <si>
    <t xml:space="preserve">Отмена бронирования </t>
  </si>
  <si>
    <t>Наименование операции</t>
  </si>
  <si>
    <t>Наименование транзакции</t>
  </si>
  <si>
    <t>По профилю</t>
  </si>
  <si>
    <t>По факту</t>
  </si>
  <si>
    <t>% отклонения</t>
  </si>
  <si>
    <t>payment_details</t>
  </si>
  <si>
    <t>Просмотр квитанции</t>
  </si>
  <si>
    <t>Cancel_reservation</t>
  </si>
  <si>
    <t>Check_ticket</t>
  </si>
  <si>
    <t>fing_flight</t>
  </si>
  <si>
    <t>login</t>
  </si>
  <si>
    <t>logout</t>
  </si>
  <si>
    <t>select_ticket</t>
  </si>
  <si>
    <t>Transaction Name</t>
  </si>
  <si>
    <t>Pass</t>
  </si>
  <si>
    <t>Fail</t>
  </si>
  <si>
    <t>Stop</t>
  </si>
  <si>
    <t>Поиск максимума 3 ступень</t>
  </si>
  <si>
    <t>Подтверждение максимума</t>
  </si>
  <si>
    <t>Профиль для 5 пользаков</t>
  </si>
  <si>
    <t>1 315,</t>
  </si>
  <si>
    <t>1 970,</t>
  </si>
  <si>
    <t>1 675,</t>
  </si>
  <si>
    <t>Script name</t>
  </si>
  <si>
    <t>transaction rq</t>
  </si>
  <si>
    <t>count</t>
  </si>
  <si>
    <t>Названия строк</t>
  </si>
  <si>
    <t>Общий итог</t>
  </si>
  <si>
    <t>Операция (бизнес процесс)</t>
  </si>
  <si>
    <t>VU</t>
  </si>
  <si>
    <t>Duration</t>
  </si>
  <si>
    <t>Think_time</t>
  </si>
  <si>
    <t>Pacing</t>
  </si>
  <si>
    <t>Количетсво запросов одним пользователем в минуту</t>
  </si>
  <si>
    <t>Длительность ступени в минутах</t>
  </si>
  <si>
    <t>Интенсивность операций</t>
  </si>
  <si>
    <t>% Распределения пользователей</t>
  </si>
  <si>
    <t>Всего пользователей на ступени</t>
  </si>
  <si>
    <t>Сумма по полю Итого</t>
  </si>
  <si>
    <t>pacing</t>
  </si>
  <si>
    <t>одним пользователем в минуту</t>
  </si>
  <si>
    <t>Длительность ступени</t>
  </si>
  <si>
    <t>Duration + Thin_time</t>
  </si>
  <si>
    <t>Расчетная интенсивность запросов / 20 мин</t>
  </si>
  <si>
    <t>Расчетная интенсивность запросов / час</t>
  </si>
  <si>
    <t>% Соотвествия расчетанной интенсивности статистики</t>
  </si>
  <si>
    <t>Интенсивность по статистике запросов / час</t>
  </si>
  <si>
    <t>Фактическая интенсивность в тесте</t>
  </si>
  <si>
    <t>% Отклонение от Профиля</t>
  </si>
  <si>
    <t>Регистрация новых пользователей</t>
  </si>
  <si>
    <t>Главная Welcome страница</t>
  </si>
  <si>
    <t>Заполнение полей регистарции</t>
  </si>
  <si>
    <t>Перход на страницу регистрации</t>
  </si>
  <si>
    <t>Переход на следуюущий эран после регистарции</t>
  </si>
  <si>
    <t>Поиск билета без покупки</t>
  </si>
  <si>
    <t>Логин</t>
  </si>
  <si>
    <t>Поиск билета</t>
  </si>
  <si>
    <t>Просмотр текущих бронирований</t>
  </si>
  <si>
    <t>Кол-во в минуту</t>
  </si>
  <si>
    <t>vu</t>
  </si>
  <si>
    <t>мин</t>
  </si>
  <si>
    <t>округл</t>
  </si>
  <si>
    <t>pacing сек</t>
  </si>
  <si>
    <t>Операций/час = количество операций одним пользователем в час (60 * количество операций один пользователем в минуту (pacing / 60)) * кол-во пользователей</t>
  </si>
  <si>
    <t>Переход на страницу поиска билетов</t>
  </si>
  <si>
    <t>Название запроса</t>
  </si>
  <si>
    <t>Статистика с ПРОДа</t>
  </si>
  <si>
    <t>Имя в статистике</t>
  </si>
  <si>
    <t>Имя в скрипте</t>
  </si>
  <si>
    <t>SLA Status</t>
  </si>
  <si>
    <t>Minimum</t>
  </si>
  <si>
    <t>Average</t>
  </si>
  <si>
    <t>Maximum</t>
  </si>
  <si>
    <t>Std. Deviation</t>
  </si>
  <si>
    <t>90 Percent</t>
  </si>
  <si>
    <t>No Data</t>
  </si>
  <si>
    <t>find_flight</t>
  </si>
  <si>
    <t>ScriptName</t>
  </si>
  <si>
    <t>Операций 20 мин</t>
  </si>
  <si>
    <t>Статистика операций 20 мин</t>
  </si>
  <si>
    <t>Удаление брони</t>
  </si>
  <si>
    <t>Главная страница</t>
  </si>
  <si>
    <t>Переход на стр. Поиска</t>
  </si>
  <si>
    <t>Заполнение полей и поиск</t>
  </si>
  <si>
    <t>Выбор рейса</t>
  </si>
  <si>
    <t>Покупка</t>
  </si>
  <si>
    <t>Логаут</t>
  </si>
  <si>
    <t>Логин и логаут</t>
  </si>
  <si>
    <t>Просмотр путевых листов</t>
  </si>
  <si>
    <t>Удаление</t>
  </si>
  <si>
    <t>Операция/Скрипт</t>
  </si>
  <si>
    <t>Запросы</t>
  </si>
  <si>
    <t>Vus</t>
  </si>
  <si>
    <t>Кол-во одним Vu</t>
  </si>
  <si>
    <t>Переход на следуюущий эран после регистрации</t>
  </si>
  <si>
    <t>Заполнение полей регистрации</t>
  </si>
  <si>
    <t>Action_Transaction</t>
  </si>
  <si>
    <t>chooseTicket</t>
  </si>
  <si>
    <t>clickContinue</t>
  </si>
  <si>
    <t>clickFindflights</t>
  </si>
  <si>
    <t>clickFlights</t>
  </si>
  <si>
    <t>clickItinerary</t>
  </si>
  <si>
    <t>clickSignUp</t>
  </si>
  <si>
    <t>delete</t>
  </si>
  <si>
    <t>fillPaymentDetails</t>
  </si>
  <si>
    <t>fillUserDetails</t>
  </si>
  <si>
    <t>logIn</t>
  </si>
  <si>
    <t>logOut</t>
  </si>
  <si>
    <t>OpenPage</t>
  </si>
  <si>
    <t>UC1_BuyTicket</t>
  </si>
  <si>
    <t>UC2_Delete</t>
  </si>
  <si>
    <t>UC3_Registration</t>
  </si>
  <si>
    <t>UC6_LoginLogout</t>
  </si>
  <si>
    <t>UC7_CheckPrices</t>
  </si>
  <si>
    <t>UC8_CheckList</t>
  </si>
  <si>
    <t>vuser_init_Transaction</t>
  </si>
  <si>
    <t>4 ступень</t>
  </si>
  <si>
    <t>90Perc  времен отклика по транзакциям(Не главным)</t>
  </si>
  <si>
    <t>90Perc  времен отклика по транзакциям(Главным)</t>
  </si>
  <si>
    <t>Подходит ли данная ступень?</t>
  </si>
  <si>
    <t>3 ступень</t>
  </si>
  <si>
    <t>Maximum&gt;2,5?</t>
  </si>
  <si>
    <t>Maximum&gt;Pacing?</t>
  </si>
  <si>
    <t>1 532,</t>
  </si>
  <si>
    <t>5 ступень</t>
  </si>
  <si>
    <t>Сумма транзакций</t>
  </si>
  <si>
    <t>Сумма траназкций</t>
  </si>
  <si>
    <t xml:space="preserve">Пиковая ступень </t>
  </si>
  <si>
    <t>Сумма операций в час</t>
  </si>
  <si>
    <t xml:space="preserve">Запросов в час </t>
  </si>
  <si>
    <t>3 ступень подтверждение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</si>
</sst>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"/>
  </numFmts>
  <fonts count="3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4"/>
      <color rgb="FF000000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sz val="14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b/>
      <sz val="11"/>
      <name val="Times New Roman"/>
      <family val="1"/>
      <charset val="204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0"/>
      <color rgb="FF000000"/>
      <name val="Tahoma"/>
      <family val="2"/>
      <charset val="204"/>
    </font>
    <font>
      <b/>
      <sz val="10"/>
      <color rgb="FF000000"/>
      <name val="Tahoma"/>
      <family val="2"/>
      <charset val="204"/>
    </font>
    <font>
      <sz val="11"/>
      <color rgb="FF9C6500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sz val="11"/>
      <name val="Calibri"/>
      <family val="2"/>
      <scheme val="minor"/>
    </font>
    <font>
      <sz val="12"/>
      <color theme="1"/>
      <name val="Times New Roman"/>
      <family val="1"/>
      <charset val="204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66">
    <xf numFmtId="0" fontId="0" fillId="0" borderId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3" fillId="0" borderId="0"/>
    <xf numFmtId="0" fontId="14" fillId="0" borderId="0" applyNumberFormat="0" applyFill="0" applyBorder="0" applyAlignment="0" applyProtection="0"/>
    <xf numFmtId="0" fontId="15" fillId="0" borderId="3" applyNumberFormat="0" applyFill="0" applyAlignment="0" applyProtection="0"/>
    <xf numFmtId="0" fontId="16" fillId="0" borderId="4" applyNumberFormat="0" applyFill="0" applyAlignment="0" applyProtection="0"/>
    <xf numFmtId="0" fontId="17" fillId="0" borderId="5" applyNumberFormat="0" applyFill="0" applyAlignment="0" applyProtection="0"/>
    <xf numFmtId="0" fontId="17" fillId="0" borderId="0" applyNumberFormat="0" applyFill="0" applyBorder="0" applyAlignment="0" applyProtection="0"/>
    <xf numFmtId="0" fontId="18" fillId="6" borderId="6" applyNumberFormat="0" applyAlignment="0" applyProtection="0"/>
    <xf numFmtId="0" fontId="19" fillId="7" borderId="7" applyNumberFormat="0" applyAlignment="0" applyProtection="0"/>
    <xf numFmtId="0" fontId="20" fillId="7" borderId="6" applyNumberFormat="0" applyAlignment="0" applyProtection="0"/>
    <xf numFmtId="0" fontId="21" fillId="0" borderId="8" applyNumberFormat="0" applyFill="0" applyAlignment="0" applyProtection="0"/>
    <xf numFmtId="0" fontId="22" fillId="8" borderId="9" applyNumberFormat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10" fillId="0" borderId="11" applyNumberFormat="0" applyFill="0" applyAlignment="0" applyProtection="0"/>
    <xf numFmtId="0" fontId="25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25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5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5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25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25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2" fillId="0" borderId="0"/>
    <xf numFmtId="0" fontId="2" fillId="9" borderId="10" applyNumberFormat="0" applyFont="0" applyAlignment="0" applyProtection="0"/>
    <xf numFmtId="9" fontId="26" fillId="0" borderId="0" applyFont="0" applyFill="0" applyBorder="0" applyAlignment="0" applyProtection="0"/>
    <xf numFmtId="0" fontId="1" fillId="0" borderId="0"/>
    <xf numFmtId="0" fontId="30" fillId="4" borderId="0" applyNumberFormat="0" applyBorder="0" applyAlignment="0" applyProtection="0"/>
    <xf numFmtId="0" fontId="1" fillId="9" borderId="10" applyNumberFormat="0" applyFont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25" fillId="13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25" fillId="17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25" fillId="21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25" fillId="25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25" fillId="29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5" fillId="33" borderId="0" applyNumberFormat="0" applyBorder="0" applyAlignment="0" applyProtection="0"/>
  </cellStyleXfs>
  <cellXfs count="81">
    <xf numFmtId="0" fontId="0" fillId="0" borderId="0" xfId="0"/>
    <xf numFmtId="0" fontId="11" fillId="5" borderId="1" xfId="0" applyFont="1" applyFill="1" applyBorder="1" applyAlignment="1">
      <alignment horizontal="center" vertical="top" wrapText="1"/>
    </xf>
    <xf numFmtId="0" fontId="12" fillId="0" borderId="2" xfId="0" applyFont="1" applyBorder="1" applyAlignment="1">
      <alignment horizontal="left" vertical="top" wrapText="1"/>
    </xf>
    <xf numFmtId="0" fontId="10" fillId="0" borderId="2" xfId="4" applyFont="1" applyBorder="1" applyAlignment="1">
      <alignment horizontal="center" vertical="top"/>
    </xf>
    <xf numFmtId="0" fontId="11" fillId="0" borderId="2" xfId="0" applyFont="1" applyBorder="1" applyAlignment="1">
      <alignment horizontal="center" vertical="top"/>
    </xf>
    <xf numFmtId="10" fontId="11" fillId="0" borderId="2" xfId="0" applyNumberFormat="1" applyFont="1" applyBorder="1" applyAlignment="1">
      <alignment horizontal="center" vertical="top"/>
    </xf>
    <xf numFmtId="10" fontId="13" fillId="0" borderId="2" xfId="0" applyNumberFormat="1" applyFont="1" applyBorder="1" applyAlignment="1">
      <alignment horizontal="center" vertical="top"/>
    </xf>
    <xf numFmtId="10" fontId="13" fillId="0" borderId="2" xfId="0" applyNumberFormat="1" applyFont="1" applyBorder="1" applyAlignment="1">
      <alignment horizontal="left" vertical="top"/>
    </xf>
    <xf numFmtId="0" fontId="11" fillId="5" borderId="2" xfId="0" applyFont="1" applyFill="1" applyBorder="1" applyAlignment="1">
      <alignment horizontal="left" vertical="top"/>
    </xf>
    <xf numFmtId="0" fontId="2" fillId="0" borderId="2" xfId="42" applyBorder="1"/>
    <xf numFmtId="0" fontId="11" fillId="0" borderId="2" xfId="0" applyFont="1" applyBorder="1" applyAlignment="1">
      <alignment horizontal="left" vertical="top"/>
    </xf>
    <xf numFmtId="10" fontId="11" fillId="0" borderId="2" xfId="0" applyNumberFormat="1" applyFont="1" applyBorder="1" applyAlignment="1">
      <alignment horizontal="left" vertical="top"/>
    </xf>
    <xf numFmtId="0" fontId="10" fillId="0" borderId="2" xfId="4" applyFont="1" applyBorder="1" applyAlignment="1">
      <alignment horizontal="left" vertical="top"/>
    </xf>
    <xf numFmtId="0" fontId="12" fillId="0" borderId="2" xfId="0" applyFont="1" applyBorder="1" applyAlignment="1">
      <alignment horizontal="left" vertical="top"/>
    </xf>
    <xf numFmtId="0" fontId="2" fillId="0" borderId="0" xfId="42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35" borderId="2" xfId="0" applyFill="1" applyBorder="1"/>
    <xf numFmtId="164" fontId="0" fillId="0" borderId="0" xfId="0" applyNumberFormat="1"/>
    <xf numFmtId="1" fontId="0" fillId="0" borderId="0" xfId="0" applyNumberFormat="1"/>
    <xf numFmtId="2" fontId="0" fillId="0" borderId="0" xfId="0" applyNumberFormat="1"/>
    <xf numFmtId="0" fontId="27" fillId="0" borderId="0" xfId="0" applyFont="1"/>
    <xf numFmtId="1" fontId="27" fillId="0" borderId="0" xfId="0" applyNumberFormat="1" applyFont="1"/>
    <xf numFmtId="0" fontId="0" fillId="37" borderId="2" xfId="0" applyFill="1" applyBorder="1"/>
    <xf numFmtId="9" fontId="0" fillId="0" borderId="2" xfId="44" applyFont="1" applyBorder="1"/>
    <xf numFmtId="9" fontId="0" fillId="38" borderId="2" xfId="44" applyFont="1" applyFill="1" applyBorder="1"/>
    <xf numFmtId="1" fontId="4" fillId="0" borderId="12" xfId="0" applyNumberFormat="1" applyFont="1" applyBorder="1" applyAlignment="1">
      <alignment horizontal="center" vertical="center" wrapText="1"/>
    </xf>
    <xf numFmtId="1" fontId="0" fillId="0" borderId="13" xfId="0" applyNumberFormat="1" applyBorder="1"/>
    <xf numFmtId="0" fontId="6" fillId="0" borderId="2" xfId="0" applyFont="1" applyBorder="1" applyAlignment="1">
      <alignment vertical="center" wrapText="1"/>
    </xf>
    <xf numFmtId="0" fontId="0" fillId="40" borderId="2" xfId="0" applyFill="1" applyBorder="1"/>
    <xf numFmtId="0" fontId="0" fillId="35" borderId="14" xfId="0" applyFill="1" applyBorder="1"/>
    <xf numFmtId="9" fontId="0" fillId="0" borderId="0" xfId="44" applyFont="1"/>
    <xf numFmtId="0" fontId="0" fillId="0" borderId="0" xfId="0" applyAlignment="1">
      <alignment horizontal="center"/>
    </xf>
    <xf numFmtId="165" fontId="0" fillId="41" borderId="2" xfId="0" applyNumberFormat="1" applyFill="1" applyBorder="1"/>
    <xf numFmtId="0" fontId="0" fillId="0" borderId="0" xfId="0" applyFont="1"/>
    <xf numFmtId="9" fontId="0" fillId="0" borderId="0" xfId="0" applyNumberFormat="1" applyFont="1"/>
    <xf numFmtId="1" fontId="0" fillId="35" borderId="2" xfId="0" applyNumberFormat="1" applyFill="1" applyBorder="1"/>
    <xf numFmtId="0" fontId="6" fillId="0" borderId="12" xfId="0" applyFont="1" applyBorder="1" applyAlignment="1">
      <alignment vertical="center" wrapText="1"/>
    </xf>
    <xf numFmtId="0" fontId="6" fillId="39" borderId="17" xfId="0" applyFont="1" applyFill="1" applyBorder="1" applyAlignment="1">
      <alignment vertical="center" wrapText="1"/>
    </xf>
    <xf numFmtId="0" fontId="6" fillId="39" borderId="18" xfId="0" applyFont="1" applyFill="1" applyBorder="1" applyAlignment="1">
      <alignment vertical="center" wrapText="1"/>
    </xf>
    <xf numFmtId="0" fontId="4" fillId="39" borderId="18" xfId="0" applyFont="1" applyFill="1" applyBorder="1" applyAlignment="1">
      <alignment horizontal="center" vertical="center" wrapText="1"/>
    </xf>
    <xf numFmtId="0" fontId="4" fillId="39" borderId="17" xfId="0" applyFont="1" applyFill="1" applyBorder="1" applyAlignment="1">
      <alignment horizontal="left" vertical="center" wrapText="1"/>
    </xf>
    <xf numFmtId="0" fontId="5" fillId="39" borderId="19" xfId="0" applyFont="1" applyFill="1" applyBorder="1" applyAlignment="1">
      <alignment horizontal="left" vertical="center" wrapText="1"/>
    </xf>
    <xf numFmtId="0" fontId="4" fillId="39" borderId="20" xfId="0" applyFont="1" applyFill="1" applyBorder="1" applyAlignment="1">
      <alignment horizontal="center" vertical="center" wrapText="1"/>
    </xf>
    <xf numFmtId="165" fontId="0" fillId="35" borderId="0" xfId="0" applyNumberFormat="1" applyFill="1"/>
    <xf numFmtId="1" fontId="0" fillId="35" borderId="2" xfId="0" quotePrefix="1" applyNumberFormat="1" applyFill="1" applyBorder="1"/>
    <xf numFmtId="1" fontId="0" fillId="41" borderId="2" xfId="0" applyNumberFormat="1" applyFill="1" applyBorder="1"/>
    <xf numFmtId="0" fontId="0" fillId="40" borderId="0" xfId="0" applyFill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12" xfId="0" applyBorder="1"/>
    <xf numFmtId="9" fontId="0" fillId="0" borderId="0" xfId="44" applyFont="1" applyBorder="1"/>
    <xf numFmtId="0" fontId="6" fillId="0" borderId="24" xfId="0" applyFont="1" applyBorder="1" applyAlignment="1">
      <alignment vertical="center" wrapText="1"/>
    </xf>
    <xf numFmtId="9" fontId="0" fillId="0" borderId="25" xfId="44" applyFont="1" applyBorder="1"/>
    <xf numFmtId="0" fontId="6" fillId="0" borderId="12" xfId="0" applyFont="1" applyBorder="1" applyAlignment="1">
      <alignment wrapText="1"/>
    </xf>
    <xf numFmtId="0" fontId="6" fillId="0" borderId="0" xfId="0" applyFont="1" applyBorder="1" applyAlignment="1">
      <alignment vertical="center" wrapText="1"/>
    </xf>
    <xf numFmtId="1" fontId="0" fillId="36" borderId="2" xfId="0" applyNumberFormat="1" applyFill="1" applyBorder="1"/>
    <xf numFmtId="0" fontId="0" fillId="39" borderId="2" xfId="0" applyFill="1" applyBorder="1"/>
    <xf numFmtId="1" fontId="0" fillId="39" borderId="2" xfId="0" applyNumberFormat="1" applyFill="1" applyBorder="1"/>
    <xf numFmtId="1" fontId="0" fillId="39" borderId="2" xfId="0" quotePrefix="1" applyNumberFormat="1" applyFill="1" applyBorder="1"/>
    <xf numFmtId="0" fontId="0" fillId="35" borderId="0" xfId="0" applyFill="1" applyAlignment="1">
      <alignment horizontal="left"/>
    </xf>
    <xf numFmtId="1" fontId="0" fillId="37" borderId="2" xfId="0" applyNumberFormat="1" applyFill="1" applyBorder="1"/>
    <xf numFmtId="1" fontId="0" fillId="0" borderId="2" xfId="0" applyNumberFormat="1" applyFill="1" applyBorder="1"/>
    <xf numFmtId="1" fontId="0" fillId="37" borderId="14" xfId="0" applyNumberFormat="1" applyFill="1" applyBorder="1"/>
    <xf numFmtId="9" fontId="0" fillId="0" borderId="0" xfId="0" applyNumberFormat="1"/>
    <xf numFmtId="0" fontId="31" fillId="42" borderId="2" xfId="0" applyFont="1" applyFill="1" applyBorder="1"/>
    <xf numFmtId="0" fontId="1" fillId="0" borderId="0" xfId="45"/>
    <xf numFmtId="0" fontId="1" fillId="0" borderId="0" xfId="45"/>
    <xf numFmtId="0" fontId="1" fillId="0" borderId="0" xfId="45"/>
    <xf numFmtId="0" fontId="1" fillId="0" borderId="0" xfId="45"/>
    <xf numFmtId="0" fontId="32" fillId="35" borderId="0" xfId="0" applyFont="1" applyFill="1"/>
    <xf numFmtId="0" fontId="0" fillId="35" borderId="0" xfId="0" applyFill="1"/>
    <xf numFmtId="0" fontId="0" fillId="5" borderId="0" xfId="0" applyFill="1"/>
    <xf numFmtId="0" fontId="0" fillId="41" borderId="15" xfId="0" applyFill="1" applyBorder="1" applyAlignment="1">
      <alignment horizontal="center"/>
    </xf>
    <xf numFmtId="0" fontId="0" fillId="41" borderId="16" xfId="0" applyFill="1" applyBorder="1" applyAlignment="1">
      <alignment horizontal="center"/>
    </xf>
    <xf numFmtId="0" fontId="0" fillId="34" borderId="0" xfId="0" applyFill="1" applyAlignment="1">
      <alignment horizontal="center"/>
    </xf>
    <xf numFmtId="0" fontId="33" fillId="0" borderId="0" xfId="0" applyFont="1"/>
    <xf numFmtId="0" fontId="0" fillId="0" borderId="0" xfId="0" applyAlignment="1">
      <alignment horizontal="right"/>
    </xf>
    <xf numFmtId="0" fontId="33" fillId="35" borderId="0" xfId="0" applyFont="1" applyFill="1"/>
  </cellXfs>
  <cellStyles count="66">
    <cellStyle name="20% — акцент1" xfId="19" builtinId="30" customBuiltin="1"/>
    <cellStyle name="20% — акцент1 2" xfId="48"/>
    <cellStyle name="20% — акцент2" xfId="23" builtinId="34" customBuiltin="1"/>
    <cellStyle name="20% — акцент2 2" xfId="51"/>
    <cellStyle name="20% — акцент3" xfId="27" builtinId="38" customBuiltin="1"/>
    <cellStyle name="20% — акцент3 2" xfId="54"/>
    <cellStyle name="20% — акцент4" xfId="31" builtinId="42" customBuiltin="1"/>
    <cellStyle name="20% — акцент4 2" xfId="57"/>
    <cellStyle name="20% — акцент5" xfId="35" builtinId="46" customBuiltin="1"/>
    <cellStyle name="20% — акцент5 2" xfId="60"/>
    <cellStyle name="20% — акцент6" xfId="39" builtinId="50" customBuiltin="1"/>
    <cellStyle name="20% — акцент6 2" xfId="63"/>
    <cellStyle name="40% — акцент1" xfId="20" builtinId="31" customBuiltin="1"/>
    <cellStyle name="40% — акцент1 2" xfId="49"/>
    <cellStyle name="40% — акцент2" xfId="24" builtinId="35" customBuiltin="1"/>
    <cellStyle name="40% — акцент2 2" xfId="52"/>
    <cellStyle name="40% — акцент3" xfId="28" builtinId="39" customBuiltin="1"/>
    <cellStyle name="40% — акцент3 2" xfId="55"/>
    <cellStyle name="40% — акцент4" xfId="32" builtinId="43" customBuiltin="1"/>
    <cellStyle name="40% — акцент4 2" xfId="58"/>
    <cellStyle name="40% — акцент5" xfId="36" builtinId="47" customBuiltin="1"/>
    <cellStyle name="40% — акцент5 2" xfId="61"/>
    <cellStyle name="40% — акцент6" xfId="40" builtinId="51" customBuiltin="1"/>
    <cellStyle name="40% — акцент6 2" xfId="64"/>
    <cellStyle name="60% — акцент1" xfId="21" builtinId="32" customBuiltin="1"/>
    <cellStyle name="60% — акцент1 2" xfId="50"/>
    <cellStyle name="60% — акцент2" xfId="25" builtinId="36" customBuiltin="1"/>
    <cellStyle name="60% — акцент2 2" xfId="53"/>
    <cellStyle name="60% — акцент3" xfId="29" builtinId="40" customBuiltin="1"/>
    <cellStyle name="60% — акцент3 2" xfId="56"/>
    <cellStyle name="60% — акцент4" xfId="33" builtinId="44" customBuiltin="1"/>
    <cellStyle name="60% — акцент4 2" xfId="59"/>
    <cellStyle name="60% — акцент5" xfId="37" builtinId="48" customBuiltin="1"/>
    <cellStyle name="60% — акцент5 2" xfId="62"/>
    <cellStyle name="60% — акцент6" xfId="41" builtinId="52" customBuiltin="1"/>
    <cellStyle name="60% — акцент6 2" xfId="65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10" builtinId="20" customBuiltin="1"/>
    <cellStyle name="Вывод" xfId="11" builtinId="21" customBuiltin="1"/>
    <cellStyle name="Вычисление" xfId="12" builtinId="22" customBuiltin="1"/>
    <cellStyle name="Заголовок 1" xfId="6" builtinId="16" customBuiltin="1"/>
    <cellStyle name="Заголовок 2" xfId="7" builtinId="17" customBuiltin="1"/>
    <cellStyle name="Заголовок 3" xfId="8" builtinId="18" customBuiltin="1"/>
    <cellStyle name="Заголовок 4" xfId="9" builtinId="19" customBuiltin="1"/>
    <cellStyle name="Итог" xfId="17" builtinId="25" customBuiltin="1"/>
    <cellStyle name="Контрольная ячейка" xfId="14" builtinId="23" customBuiltin="1"/>
    <cellStyle name="Название" xfId="5" builtinId="15" customBuiltin="1"/>
    <cellStyle name="Нейтральный" xfId="3" builtinId="28" customBuiltin="1"/>
    <cellStyle name="Нейтральный 2" xfId="46"/>
    <cellStyle name="Обычный" xfId="0" builtinId="0"/>
    <cellStyle name="Обычный 2" xfId="4"/>
    <cellStyle name="Обычный 3" xfId="42"/>
    <cellStyle name="Обычный 4" xfId="45"/>
    <cellStyle name="Плохой" xfId="2" builtinId="27" customBuiltin="1"/>
    <cellStyle name="Пояснение" xfId="16" builtinId="53" customBuiltin="1"/>
    <cellStyle name="Примечание 2" xfId="43"/>
    <cellStyle name="Примечание 3" xfId="47"/>
    <cellStyle name="Процентный" xfId="44" builtinId="5"/>
    <cellStyle name="Связанная ячейка" xfId="13" builtinId="24" customBuiltin="1"/>
    <cellStyle name="Текст предупреждения" xfId="15" builtinId="11" customBuiltin="1"/>
    <cellStyle name="Хороший" xfId="1" builtinId="26" customBuiltin="1"/>
  </cellStyles>
  <dxfs count="13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1" formatCode="0"/>
    </dxf>
    <dxf>
      <numFmt numFmtId="165" formatCode="0.0"/>
    </dxf>
    <dxf>
      <numFmt numFmtId="1" formatCode="0"/>
    </dxf>
    <dxf>
      <numFmt numFmtId="165" formatCode="0.0"/>
    </dxf>
    <dxf>
      <numFmt numFmtId="2" formatCode="0.00"/>
    </dxf>
    <dxf>
      <numFmt numFmtId="166" formatCode="0.000"/>
    </dxf>
    <dxf>
      <numFmt numFmtId="164" formatCode="0.0000"/>
    </dxf>
    <dxf>
      <numFmt numFmtId="167" formatCode="0.00000"/>
    </dxf>
    <dxf>
      <numFmt numFmtId="168" formatCode="0.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esu" refreshedDate="44854.016882986114" createdVersion="6" refreshedVersion="6" minRefreshableVersion="3" recordCount="26">
  <cacheSource type="worksheet">
    <worksheetSource ref="A61:G87" sheet="Автоматизированный расчет"/>
  </cacheSource>
  <cacheFields count="7">
    <cacheField name="Операция/Скрипт" numFmtId="0">
      <sharedItems/>
    </cacheField>
    <cacheField name="Запросы" numFmtId="0">
      <sharedItems count="9">
        <s v="Главная страница"/>
        <s v="Логин"/>
        <s v="Переход на стр. Поиска"/>
        <s v="Заполнение полей и поиск"/>
        <s v="Выбор рейса"/>
        <s v="Покупка"/>
        <s v="Логаут"/>
        <s v="Просмотр путевых листов"/>
        <s v="Удаление"/>
      </sharedItems>
    </cacheField>
    <cacheField name="Vus" numFmtId="1">
      <sharedItems containsSemiMixedTypes="0" containsString="0" containsNumber="1" minValue="1" maxValue="1.9977777777777779"/>
    </cacheField>
    <cacheField name="Pacing" numFmtId="0">
      <sharedItems containsSemiMixedTypes="0" containsString="0" containsNumber="1" containsInteger="1" minValue="24" maxValue="180"/>
    </cacheField>
    <cacheField name="Кол-во одним Vu" numFmtId="1">
      <sharedItems containsSemiMixedTypes="0" containsString="0" containsNumber="1" minValue="0.33333333333333331" maxValue="2.5"/>
    </cacheField>
    <cacheField name="Длительность ступени" numFmtId="0">
      <sharedItems containsSemiMixedTypes="0" containsString="0" containsNumber="1" containsInteger="1" minValue="20" maxValue="20"/>
    </cacheField>
    <cacheField name="Итого" numFmtId="1">
      <sharedItems containsSemiMixedTypes="0" containsString="0" containsNumber="1" minValue="6.6666666666666679" maxValue="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Desu" refreshedDate="44854.058120023146" createdVersion="6" refreshedVersion="6" minRefreshableVersion="3" recordCount="31">
  <cacheSource type="worksheet">
    <worksheetSource ref="A1:H32" sheet="Автоматизированный расчет"/>
  </cacheSource>
  <cacheFields count="8">
    <cacheField name="Script name" numFmtId="0">
      <sharedItems/>
    </cacheField>
    <cacheField name="transaction rq" numFmtId="0">
      <sharedItems count="12">
        <s v="Главная Welcome страница"/>
        <s v="Вход в систему"/>
        <s v="Переход на страницу поиска билетов"/>
        <s v="Заполнение полей для поиска билета "/>
        <s v="Выбор рейса из найденных "/>
        <s v="Оплата билета"/>
        <s v="Просмотр квитанций"/>
        <s v="Отмена бронирования "/>
        <s v="Выход из системы"/>
        <s v="Перход на страницу регистрации"/>
        <s v="Заполнение полей регистарции"/>
        <s v="Переход на следуюущий эран после регистарции"/>
      </sharedItems>
    </cacheField>
    <cacheField name="count" numFmtId="0">
      <sharedItems containsSemiMixedTypes="0" containsString="0" containsNumber="1" containsInteger="1" minValue="1" maxValue="1"/>
    </cacheField>
    <cacheField name="VU" numFmtId="0">
      <sharedItems containsSemiMixedTypes="0" containsString="0" containsNumber="1" containsInteger="1" minValue="1" maxValue="3"/>
    </cacheField>
    <cacheField name="pacing" numFmtId="0">
      <sharedItems containsSemiMixedTypes="0" containsString="0" containsNumber="1" containsInteger="1" minValue="50" maxValue="150"/>
    </cacheField>
    <cacheField name="одним пользователем в минуту" numFmtId="2">
      <sharedItems containsSemiMixedTypes="0" containsString="0" containsNumber="1" minValue="0.4" maxValue="1.2"/>
    </cacheField>
    <cacheField name="Длительность ступени" numFmtId="0">
      <sharedItems containsSemiMixedTypes="0" containsString="0" containsNumber="1" containsInteger="1" minValue="20" maxValue="20"/>
    </cacheField>
    <cacheField name="Итого" numFmtId="1">
      <sharedItems containsSemiMixedTypes="0" containsString="0" containsNumber="1" minValue="8" maxValue="58.06451612903225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6">
  <r>
    <s v="Покупка билета"/>
    <x v="0"/>
    <n v="1.9977777777777779"/>
    <n v="58"/>
    <n v="1.0344827586206897"/>
    <n v="20"/>
    <n v="41.333333333333336"/>
  </r>
  <r>
    <s v="Покупка билета"/>
    <x v="1"/>
    <n v="1.9977777777777779"/>
    <n v="58"/>
    <n v="1.0344827586206897"/>
    <n v="20"/>
    <n v="41.333333333333336"/>
  </r>
  <r>
    <s v="Покупка билета"/>
    <x v="2"/>
    <n v="1.9977777777777779"/>
    <n v="58"/>
    <n v="1.0344827586206897"/>
    <n v="20"/>
    <n v="41.333333333333336"/>
  </r>
  <r>
    <s v="Покупка билета"/>
    <x v="3"/>
    <n v="1.9977777777777779"/>
    <n v="58"/>
    <n v="1.0344827586206897"/>
    <n v="20"/>
    <n v="41.333333333333336"/>
  </r>
  <r>
    <s v="Покупка билета"/>
    <x v="4"/>
    <n v="1.9977777777777779"/>
    <n v="58"/>
    <n v="1.0344827586206897"/>
    <n v="20"/>
    <n v="41.333333333333336"/>
  </r>
  <r>
    <s v="Покупка билета"/>
    <x v="5"/>
    <n v="1.9977777777777779"/>
    <n v="58"/>
    <n v="1.0344827586206897"/>
    <n v="20"/>
    <n v="41.333333333333336"/>
  </r>
  <r>
    <s v="Покупка билета"/>
    <x v="6"/>
    <n v="1.9977777777777779"/>
    <n v="58"/>
    <n v="1.0344827586206897"/>
    <n v="20"/>
    <n v="41.333333333333336"/>
  </r>
  <r>
    <s v="Логин и логаут"/>
    <x v="0"/>
    <n v="1"/>
    <n v="24"/>
    <n v="2.5"/>
    <n v="20"/>
    <n v="50"/>
  </r>
  <r>
    <s v="Логин и логаут"/>
    <x v="1"/>
    <n v="1"/>
    <n v="24"/>
    <n v="2.5"/>
    <n v="20"/>
    <n v="50"/>
  </r>
  <r>
    <s v="Логин и логаут"/>
    <x v="6"/>
    <n v="1"/>
    <n v="24"/>
    <n v="2.5"/>
    <n v="20"/>
    <n v="50"/>
  </r>
  <r>
    <s v="Удаление брони"/>
    <x v="0"/>
    <n v="1"/>
    <n v="120"/>
    <n v="0.5"/>
    <n v="20"/>
    <n v="10"/>
  </r>
  <r>
    <s v="Удаление брони"/>
    <x v="1"/>
    <n v="1"/>
    <n v="120"/>
    <n v="0.5"/>
    <n v="20"/>
    <n v="10"/>
  </r>
  <r>
    <s v="Удаление брони"/>
    <x v="7"/>
    <n v="1"/>
    <n v="120"/>
    <n v="0.5"/>
    <n v="20"/>
    <n v="10"/>
  </r>
  <r>
    <s v="Удаление брони"/>
    <x v="8"/>
    <n v="1"/>
    <n v="120"/>
    <n v="0.5"/>
    <n v="20"/>
    <n v="10"/>
  </r>
  <r>
    <s v="Удаление брони"/>
    <x v="6"/>
    <n v="1"/>
    <n v="120"/>
    <n v="0.5"/>
    <n v="20"/>
    <n v="10"/>
  </r>
  <r>
    <s v="Поиск билета"/>
    <x v="0"/>
    <n v="1.0000000000000002"/>
    <n v="180"/>
    <n v="0.33333333333333331"/>
    <n v="20"/>
    <n v="6.6666666666666679"/>
  </r>
  <r>
    <s v="Поиск билета"/>
    <x v="0"/>
    <n v="1.0000000000000002"/>
    <n v="180"/>
    <n v="0.33333333333333331"/>
    <n v="20"/>
    <n v="6.6666666666666679"/>
  </r>
  <r>
    <s v="Поиск билета"/>
    <x v="1"/>
    <n v="1.0000000000000002"/>
    <n v="180"/>
    <n v="0.33333333333333331"/>
    <n v="20"/>
    <n v="6.6666666666666679"/>
  </r>
  <r>
    <s v="Поиск билета"/>
    <x v="2"/>
    <n v="1.0000000000000002"/>
    <n v="180"/>
    <n v="0.33333333333333331"/>
    <n v="20"/>
    <n v="6.6666666666666679"/>
  </r>
  <r>
    <s v="Поиск билета"/>
    <x v="3"/>
    <n v="1.0000000000000002"/>
    <n v="180"/>
    <n v="0.33333333333333331"/>
    <n v="20"/>
    <n v="6.6666666666666679"/>
  </r>
  <r>
    <s v="Поиск билета"/>
    <x v="4"/>
    <n v="1.0000000000000002"/>
    <n v="180"/>
    <n v="0.33333333333333331"/>
    <n v="20"/>
    <n v="6.6666666666666679"/>
  </r>
  <r>
    <s v="Поиск билета"/>
    <x v="6"/>
    <n v="1.0000000000000002"/>
    <n v="180"/>
    <n v="0.33333333333333331"/>
    <n v="20"/>
    <n v="6.6666666666666679"/>
  </r>
  <r>
    <s v="Просмотр текущих бронирований"/>
    <x v="0"/>
    <n v="1"/>
    <n v="30"/>
    <n v="2"/>
    <n v="20"/>
    <n v="40"/>
  </r>
  <r>
    <s v="Просмотр текущих бронирований"/>
    <x v="1"/>
    <n v="1"/>
    <n v="30"/>
    <n v="2"/>
    <n v="20"/>
    <n v="40"/>
  </r>
  <r>
    <s v="Просмотр текущих бронирований"/>
    <x v="7"/>
    <n v="1"/>
    <n v="30"/>
    <n v="2"/>
    <n v="20"/>
    <n v="40"/>
  </r>
  <r>
    <s v="Просмотр текущих бронирований"/>
    <x v="6"/>
    <n v="1"/>
    <n v="30"/>
    <n v="2"/>
    <n v="20"/>
    <n v="4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1">
  <r>
    <s v="Покупка билета"/>
    <x v="0"/>
    <n v="1"/>
    <n v="3"/>
    <n v="62"/>
    <n v="0.967741935483871"/>
    <n v="20"/>
    <n v="58.064516129032256"/>
  </r>
  <r>
    <s v="Покупка билета"/>
    <x v="1"/>
    <n v="1"/>
    <n v="3"/>
    <n v="62"/>
    <n v="0.967741935483871"/>
    <n v="20"/>
    <n v="58.064516129032256"/>
  </r>
  <r>
    <s v="Покупка билета"/>
    <x v="2"/>
    <n v="1"/>
    <n v="3"/>
    <n v="62"/>
    <n v="0.967741935483871"/>
    <n v="20"/>
    <n v="58.064516129032256"/>
  </r>
  <r>
    <s v="Покупка билета"/>
    <x v="3"/>
    <n v="1"/>
    <n v="3"/>
    <n v="62"/>
    <n v="0.967741935483871"/>
    <n v="20"/>
    <n v="58.064516129032256"/>
  </r>
  <r>
    <s v="Покупка билета"/>
    <x v="4"/>
    <n v="1"/>
    <n v="3"/>
    <n v="62"/>
    <n v="0.967741935483871"/>
    <n v="20"/>
    <n v="58.064516129032256"/>
  </r>
  <r>
    <s v="Покупка билета"/>
    <x v="5"/>
    <n v="1"/>
    <n v="3"/>
    <n v="62"/>
    <n v="0.967741935483871"/>
    <n v="20"/>
    <n v="58.064516129032256"/>
  </r>
  <r>
    <s v="Покупка билета"/>
    <x v="6"/>
    <n v="1"/>
    <n v="3"/>
    <n v="62"/>
    <n v="0.967741935483871"/>
    <n v="20"/>
    <n v="58.064516129032256"/>
  </r>
  <r>
    <s v="Удаление бронирования "/>
    <x v="0"/>
    <n v="1"/>
    <n v="1"/>
    <n v="50"/>
    <n v="1.2"/>
    <n v="20"/>
    <n v="24"/>
  </r>
  <r>
    <s v="Удаление бронирования "/>
    <x v="1"/>
    <n v="1"/>
    <n v="1"/>
    <n v="50"/>
    <n v="1.2"/>
    <n v="20"/>
    <n v="24"/>
  </r>
  <r>
    <s v="Удаление бронирования "/>
    <x v="6"/>
    <n v="1"/>
    <n v="1"/>
    <n v="50"/>
    <n v="1.2"/>
    <n v="20"/>
    <n v="24"/>
  </r>
  <r>
    <s v="Удаление бронирования "/>
    <x v="7"/>
    <n v="1"/>
    <n v="1"/>
    <n v="50"/>
    <n v="1.2"/>
    <n v="20"/>
    <n v="24"/>
  </r>
  <r>
    <s v="Удаление бронирования "/>
    <x v="8"/>
    <n v="1"/>
    <n v="1"/>
    <n v="50"/>
    <n v="1.2"/>
    <n v="20"/>
    <n v="24"/>
  </r>
  <r>
    <s v="Регистрация новых пользователей"/>
    <x v="0"/>
    <n v="1"/>
    <n v="2"/>
    <n v="74"/>
    <n v="0.81081081081081086"/>
    <n v="20"/>
    <n v="32.432432432432435"/>
  </r>
  <r>
    <s v="Регистрация новых пользователей"/>
    <x v="9"/>
    <n v="1"/>
    <n v="2"/>
    <n v="74"/>
    <n v="0.81081081081081086"/>
    <n v="20"/>
    <n v="32.432432432432435"/>
  </r>
  <r>
    <s v="Регистрация новых пользователей"/>
    <x v="10"/>
    <n v="1"/>
    <n v="2"/>
    <n v="74"/>
    <n v="0.81081081081081086"/>
    <n v="20"/>
    <n v="32.432432432432435"/>
  </r>
  <r>
    <s v="Регистрация новых пользователей"/>
    <x v="11"/>
    <n v="1"/>
    <n v="2"/>
    <n v="74"/>
    <n v="0.81081081081081086"/>
    <n v="20"/>
    <n v="32.432432432432435"/>
  </r>
  <r>
    <s v="Регистрация новых пользователей"/>
    <x v="8"/>
    <n v="1"/>
    <n v="2"/>
    <n v="74"/>
    <n v="0.81081081081081086"/>
    <n v="20"/>
    <n v="32.432432432432435"/>
  </r>
  <r>
    <s v="Логин"/>
    <x v="0"/>
    <n v="1"/>
    <n v="1"/>
    <n v="70"/>
    <n v="0.8571428571428571"/>
    <n v="20"/>
    <n v="17.142857142857142"/>
  </r>
  <r>
    <s v="Логин"/>
    <x v="1"/>
    <n v="1"/>
    <n v="1"/>
    <n v="70"/>
    <n v="0.8571428571428571"/>
    <n v="20"/>
    <n v="17.142857142857142"/>
  </r>
  <r>
    <s v="Логин"/>
    <x v="2"/>
    <n v="1"/>
    <n v="1"/>
    <n v="70"/>
    <n v="0.8571428571428571"/>
    <n v="20"/>
    <n v="17.142857142857142"/>
  </r>
  <r>
    <s v="Логин"/>
    <x v="8"/>
    <n v="1"/>
    <n v="1"/>
    <n v="70"/>
    <n v="0.8571428571428571"/>
    <n v="20"/>
    <n v="17.142857142857142"/>
  </r>
  <r>
    <s v="Поиск билета без покупки"/>
    <x v="0"/>
    <n v="1"/>
    <n v="2"/>
    <n v="75"/>
    <n v="0.8"/>
    <n v="20"/>
    <n v="32"/>
  </r>
  <r>
    <s v="Поиск билета без покупки"/>
    <x v="1"/>
    <n v="1"/>
    <n v="2"/>
    <n v="75"/>
    <n v="0.8"/>
    <n v="20"/>
    <n v="32"/>
  </r>
  <r>
    <s v="Поиск билета без покупки"/>
    <x v="2"/>
    <n v="1"/>
    <n v="2"/>
    <n v="75"/>
    <n v="0.8"/>
    <n v="20"/>
    <n v="32"/>
  </r>
  <r>
    <s v="Поиск билета без покупки"/>
    <x v="3"/>
    <n v="1"/>
    <n v="2"/>
    <n v="75"/>
    <n v="0.8"/>
    <n v="20"/>
    <n v="32"/>
  </r>
  <r>
    <s v="Поиск билета без покупки"/>
    <x v="4"/>
    <n v="1"/>
    <n v="2"/>
    <n v="75"/>
    <n v="0.8"/>
    <n v="20"/>
    <n v="32"/>
  </r>
  <r>
    <s v="Поиск билета без покупки"/>
    <x v="8"/>
    <n v="1"/>
    <n v="2"/>
    <n v="75"/>
    <n v="0.8"/>
    <n v="20"/>
    <n v="32"/>
  </r>
  <r>
    <s v="Ознакомление с путевым листом"/>
    <x v="0"/>
    <n v="1"/>
    <n v="1"/>
    <n v="150"/>
    <n v="0.4"/>
    <n v="20"/>
    <n v="8"/>
  </r>
  <r>
    <s v="Ознакомление с путевым листом"/>
    <x v="1"/>
    <n v="1"/>
    <n v="1"/>
    <n v="150"/>
    <n v="0.4"/>
    <n v="20"/>
    <n v="8"/>
  </r>
  <r>
    <s v="Ознакомление с путевым листом"/>
    <x v="6"/>
    <n v="1"/>
    <n v="1"/>
    <n v="150"/>
    <n v="0.4"/>
    <n v="20"/>
    <n v="8"/>
  </r>
  <r>
    <s v="Ознакомление с путевым листом"/>
    <x v="8"/>
    <n v="1"/>
    <n v="1"/>
    <n v="150"/>
    <n v="0.4"/>
    <n v="20"/>
    <n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Сводная таблица1" cacheId="0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I61:J71" firstHeaderRow="1" firstDataRow="1" firstDataCol="1"/>
  <pivotFields count="7">
    <pivotField showAll="0"/>
    <pivotField axis="axisRow" showAll="0">
      <items count="10">
        <item x="4"/>
        <item x="0"/>
        <item x="3"/>
        <item x="6"/>
        <item x="1"/>
        <item x="2"/>
        <item x="5"/>
        <item x="7"/>
        <item x="8"/>
        <item t="default"/>
      </items>
    </pivotField>
    <pivotField numFmtId="1" showAll="0"/>
    <pivotField showAll="0"/>
    <pivotField numFmtId="1" showAll="0"/>
    <pivotField showAll="0"/>
    <pivotField dataField="1" numFmtId="1" showAll="0" defaultSubtotal="0"/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Сумма по полю Итого" fld="6" baseField="1" baseItem="0"/>
  </dataFields>
  <formats count="6">
    <format dxfId="5">
      <pivotArea collapsedLevelsAreSubtotals="1" fieldPosition="0">
        <references count="1">
          <reference field="1" count="0"/>
        </references>
      </pivotArea>
    </format>
    <format dxfId="4">
      <pivotArea collapsedLevelsAreSubtotals="1" fieldPosition="0">
        <references count="1">
          <reference field="1" count="0"/>
        </references>
      </pivotArea>
    </format>
    <format dxfId="3">
      <pivotArea dataOnly="0" labelOnly="1" fieldPosition="0">
        <references count="1">
          <reference field="1" count="1">
            <x v="4"/>
          </reference>
        </references>
      </pivotArea>
    </format>
    <format dxfId="2">
      <pivotArea dataOnly="0" labelOnly="1" fieldPosition="0">
        <references count="1">
          <reference field="1" count="1">
            <x v="3"/>
          </reference>
        </references>
      </pivotArea>
    </format>
    <format dxfId="1">
      <pivotArea dataOnly="0" labelOnly="1" fieldPosition="0">
        <references count="1">
          <reference field="1" count="1">
            <x v="6"/>
          </reference>
        </references>
      </pivotArea>
    </format>
    <format dxfId="0">
      <pivotArea dataOnly="0" labelOnly="1" fieldPosition="0">
        <references count="1">
          <reference field="1" count="1">
            <x v="8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Сводная таблица2" cacheId="1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I1:J14" firstHeaderRow="1" firstDataRow="1" firstDataCol="1"/>
  <pivotFields count="8">
    <pivotField showAll="0"/>
    <pivotField axis="axisRow" showAll="0">
      <items count="13">
        <item x="1"/>
        <item x="4"/>
        <item x="8"/>
        <item x="3"/>
        <item x="5"/>
        <item x="7"/>
        <item x="6"/>
        <item x="0"/>
        <item x="9"/>
        <item n="Заполнение полей регистрации" x="10"/>
        <item n="Переход на следуюущий эран после регистрации" x="11"/>
        <item x="2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Сумма по полю Итого" fld="7" baseField="0" baseItem="0" numFmtId="1"/>
  </dataFields>
  <formats count="7">
    <format dxfId="12">
      <pivotArea outline="0" collapsedLevelsAreSubtotals="1" fieldPosition="0"/>
    </format>
    <format dxfId="11">
      <pivotArea outline="0" collapsedLevelsAreSubtotals="1" fieldPosition="0"/>
    </format>
    <format dxfId="10">
      <pivotArea outline="0" collapsedLevelsAreSubtotals="1" fieldPosition="0"/>
    </format>
    <format dxfId="9">
      <pivotArea outline="0" collapsedLevelsAreSubtotals="1" fieldPosition="0"/>
    </format>
    <format dxfId="8">
      <pivotArea outline="0" collapsedLevelsAreSubtotals="1" fieldPosition="0"/>
    </format>
    <format dxfId="7">
      <pivotArea outline="0" collapsedLevelsAreSubtotals="1" fieldPosition="0"/>
    </format>
    <format dxfId="6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242"/>
  <sheetViews>
    <sheetView tabSelected="1" topLeftCell="A176" zoomScale="80" zoomScaleNormal="80" workbookViewId="0">
      <selection activeCell="H210" sqref="H210"/>
    </sheetView>
  </sheetViews>
  <sheetFormatPr defaultColWidth="11.42578125" defaultRowHeight="15" x14ac:dyDescent="0.25"/>
  <cols>
    <col min="1" max="1" width="31.7109375" customWidth="1"/>
    <col min="2" max="2" width="41.42578125" customWidth="1"/>
    <col min="3" max="3" width="18.140625" customWidth="1"/>
    <col min="4" max="4" width="17.85546875" customWidth="1"/>
    <col min="5" max="5" width="19.140625" bestFit="1" customWidth="1"/>
    <col min="6" max="6" width="20.7109375" customWidth="1"/>
    <col min="7" max="7" width="18.7109375" bestFit="1" customWidth="1"/>
    <col min="8" max="8" width="17" customWidth="1"/>
    <col min="9" max="9" width="49.5703125" customWidth="1"/>
    <col min="10" max="10" width="21.7109375" customWidth="1"/>
    <col min="11" max="11" width="18.140625" customWidth="1"/>
    <col min="12" max="12" width="26.7109375" customWidth="1"/>
    <col min="13" max="13" width="35.140625" bestFit="1" customWidth="1"/>
    <col min="14" max="14" width="9.85546875" bestFit="1" customWidth="1"/>
    <col min="15" max="15" width="23.85546875" customWidth="1"/>
    <col min="16" max="16" width="25.7109375" customWidth="1"/>
    <col min="17" max="17" width="26" customWidth="1"/>
    <col min="18" max="18" width="10.5703125" customWidth="1"/>
    <col min="19" max="19" width="12.28515625" customWidth="1"/>
    <col min="22" max="22" width="14.42578125" customWidth="1"/>
    <col min="23" max="23" width="20.42578125" customWidth="1"/>
  </cols>
  <sheetData>
    <row r="1" spans="1:23" x14ac:dyDescent="0.25">
      <c r="A1" t="s">
        <v>37</v>
      </c>
      <c r="B1" t="s">
        <v>38</v>
      </c>
      <c r="C1" t="s">
        <v>39</v>
      </c>
      <c r="D1" t="s">
        <v>43</v>
      </c>
      <c r="E1" t="s">
        <v>53</v>
      </c>
      <c r="F1" t="s">
        <v>54</v>
      </c>
      <c r="G1" t="s">
        <v>55</v>
      </c>
      <c r="H1" t="s">
        <v>7</v>
      </c>
      <c r="I1" s="16" t="s">
        <v>40</v>
      </c>
      <c r="J1" t="s">
        <v>52</v>
      </c>
      <c r="L1" t="s">
        <v>42</v>
      </c>
      <c r="M1" t="s">
        <v>44</v>
      </c>
      <c r="N1" t="s">
        <v>45</v>
      </c>
      <c r="O1" t="s">
        <v>56</v>
      </c>
      <c r="P1" t="s">
        <v>46</v>
      </c>
      <c r="Q1" t="s">
        <v>43</v>
      </c>
      <c r="R1" t="s">
        <v>47</v>
      </c>
      <c r="S1" s="22" t="s">
        <v>48</v>
      </c>
      <c r="T1" s="22" t="s">
        <v>49</v>
      </c>
      <c r="U1" s="35" t="s">
        <v>50</v>
      </c>
      <c r="W1" t="s">
        <v>51</v>
      </c>
    </row>
    <row r="2" spans="1:23" x14ac:dyDescent="0.25">
      <c r="A2" s="30" t="s">
        <v>8</v>
      </c>
      <c r="B2" s="30" t="s">
        <v>64</v>
      </c>
      <c r="C2" s="30">
        <v>1</v>
      </c>
      <c r="D2" s="49">
        <f t="shared" ref="D2:D32" si="0">VLOOKUP(A2,$L$1:$V$8,6,FALSE)</f>
        <v>3</v>
      </c>
      <c r="E2">
        <f t="shared" ref="E2:E32" si="1">VLOOKUP(A2,$L$1:$V$8,5,FALSE)</f>
        <v>62</v>
      </c>
      <c r="F2" s="21">
        <f>60/E2*C2</f>
        <v>0.967741935483871</v>
      </c>
      <c r="G2">
        <v>20</v>
      </c>
      <c r="H2" s="20">
        <f>D2*F2*G2</f>
        <v>58.064516129032256</v>
      </c>
      <c r="I2" s="17" t="s">
        <v>0</v>
      </c>
      <c r="J2" s="20">
        <v>139.2073732718894</v>
      </c>
      <c r="K2" s="15"/>
      <c r="L2" t="s">
        <v>8</v>
      </c>
      <c r="M2" s="24">
        <v>1</v>
      </c>
      <c r="N2" s="63">
        <v>30</v>
      </c>
      <c r="O2" s="64">
        <f>M2+N2</f>
        <v>31</v>
      </c>
      <c r="P2" s="37">
        <v>62</v>
      </c>
      <c r="Q2" s="18">
        <v>3</v>
      </c>
      <c r="R2" s="19">
        <f t="shared" ref="R2:R7" si="2">60/(P2)</f>
        <v>0.967741935483871</v>
      </c>
      <c r="S2" s="22">
        <v>20</v>
      </c>
      <c r="T2" s="23">
        <f>ROUND(Q2*R2*S2,0)</f>
        <v>58</v>
      </c>
      <c r="U2" s="36">
        <f t="shared" ref="U2:U7" si="3">Q2/V$2</f>
        <v>0.3</v>
      </c>
      <c r="V2">
        <v>10</v>
      </c>
    </row>
    <row r="3" spans="1:23" x14ac:dyDescent="0.25">
      <c r="A3" s="30" t="s">
        <v>8</v>
      </c>
      <c r="B3" s="30" t="s">
        <v>0</v>
      </c>
      <c r="C3" s="30">
        <v>1</v>
      </c>
      <c r="D3" s="49">
        <f t="shared" si="0"/>
        <v>3</v>
      </c>
      <c r="E3">
        <f t="shared" si="1"/>
        <v>62</v>
      </c>
      <c r="F3" s="21">
        <f>60/E3*C3</f>
        <v>0.967741935483871</v>
      </c>
      <c r="G3">
        <v>20</v>
      </c>
      <c r="H3" s="20">
        <f>D3*F3*G3</f>
        <v>58.064516129032256</v>
      </c>
      <c r="I3" s="17" t="s">
        <v>12</v>
      </c>
      <c r="J3" s="20">
        <v>90.064516129032256</v>
      </c>
      <c r="K3" s="15"/>
      <c r="L3" t="s">
        <v>9</v>
      </c>
      <c r="M3" s="24">
        <v>0.7</v>
      </c>
      <c r="N3" s="63">
        <v>20.0014</v>
      </c>
      <c r="O3" s="64">
        <f t="shared" ref="O3:O7" si="4">M3+N3</f>
        <v>20.7014</v>
      </c>
      <c r="P3" s="37">
        <v>50</v>
      </c>
      <c r="Q3" s="18">
        <v>1</v>
      </c>
      <c r="R3" s="19">
        <f t="shared" si="2"/>
        <v>1.2</v>
      </c>
      <c r="S3" s="22">
        <v>20</v>
      </c>
      <c r="T3" s="23">
        <f>ROUND(Q3*R3*S3,0)</f>
        <v>24</v>
      </c>
      <c r="U3" s="36">
        <f t="shared" si="3"/>
        <v>0.1</v>
      </c>
    </row>
    <row r="4" spans="1:23" x14ac:dyDescent="0.25">
      <c r="A4" s="30" t="s">
        <v>8</v>
      </c>
      <c r="B4" s="30" t="s">
        <v>78</v>
      </c>
      <c r="C4" s="30">
        <v>1</v>
      </c>
      <c r="D4" s="49">
        <f t="shared" si="0"/>
        <v>3</v>
      </c>
      <c r="E4">
        <f t="shared" si="1"/>
        <v>62</v>
      </c>
      <c r="F4" s="21">
        <f t="shared" ref="F4:F5" si="5">60/E4*C4</f>
        <v>0.967741935483871</v>
      </c>
      <c r="G4">
        <v>20</v>
      </c>
      <c r="H4" s="20">
        <f t="shared" ref="H4:H6" si="6">D4*F4*G4</f>
        <v>58.064516129032256</v>
      </c>
      <c r="I4" s="17" t="s">
        <v>6</v>
      </c>
      <c r="J4" s="20">
        <v>113.57528957528957</v>
      </c>
      <c r="K4" s="15"/>
      <c r="L4" t="s">
        <v>63</v>
      </c>
      <c r="M4" s="24">
        <v>0.6</v>
      </c>
      <c r="N4" s="63">
        <v>20</v>
      </c>
      <c r="O4" s="64">
        <f t="shared" si="4"/>
        <v>20.6</v>
      </c>
      <c r="P4" s="37">
        <v>74</v>
      </c>
      <c r="Q4" s="18">
        <v>2</v>
      </c>
      <c r="R4" s="19">
        <f t="shared" si="2"/>
        <v>0.81081081081081086</v>
      </c>
      <c r="S4" s="22">
        <v>20</v>
      </c>
      <c r="T4" s="23">
        <f>ROUND(Q4*R4*S4,0)</f>
        <v>32</v>
      </c>
      <c r="U4" s="36">
        <f t="shared" si="3"/>
        <v>0.2</v>
      </c>
    </row>
    <row r="5" spans="1:23" x14ac:dyDescent="0.25">
      <c r="A5" s="30" t="s">
        <v>8</v>
      </c>
      <c r="B5" s="30" t="s">
        <v>11</v>
      </c>
      <c r="C5" s="30">
        <v>1</v>
      </c>
      <c r="D5" s="49">
        <f t="shared" si="0"/>
        <v>3</v>
      </c>
      <c r="E5">
        <f t="shared" si="1"/>
        <v>62</v>
      </c>
      <c r="F5" s="21">
        <f t="shared" si="5"/>
        <v>0.967741935483871</v>
      </c>
      <c r="G5">
        <v>20</v>
      </c>
      <c r="H5" s="20">
        <f t="shared" si="6"/>
        <v>58.064516129032256</v>
      </c>
      <c r="I5" s="17" t="s">
        <v>11</v>
      </c>
      <c r="J5" s="20">
        <v>90.064516129032256</v>
      </c>
      <c r="K5" s="15"/>
      <c r="L5" t="s">
        <v>68</v>
      </c>
      <c r="M5" s="24">
        <v>0.7</v>
      </c>
      <c r="N5" s="63">
        <v>20</v>
      </c>
      <c r="O5" s="64">
        <f t="shared" si="4"/>
        <v>20.7</v>
      </c>
      <c r="P5" s="37">
        <v>75</v>
      </c>
      <c r="Q5" s="18">
        <v>2</v>
      </c>
      <c r="R5" s="19">
        <f t="shared" si="2"/>
        <v>0.8</v>
      </c>
      <c r="S5" s="22">
        <v>20</v>
      </c>
      <c r="T5" s="23">
        <f>ROUND(Q5*R5*S5,0)</f>
        <v>32</v>
      </c>
      <c r="U5" s="36">
        <f t="shared" si="3"/>
        <v>0.2</v>
      </c>
    </row>
    <row r="6" spans="1:23" x14ac:dyDescent="0.25">
      <c r="A6" s="30" t="s">
        <v>8</v>
      </c>
      <c r="B6" s="30" t="s">
        <v>12</v>
      </c>
      <c r="C6" s="30">
        <v>1</v>
      </c>
      <c r="D6" s="49">
        <f t="shared" si="0"/>
        <v>3</v>
      </c>
      <c r="E6">
        <f t="shared" si="1"/>
        <v>62</v>
      </c>
      <c r="F6" s="21">
        <f t="shared" ref="F6:F32" si="7">60/E6*C6</f>
        <v>0.967741935483871</v>
      </c>
      <c r="G6">
        <v>20</v>
      </c>
      <c r="H6" s="20">
        <f t="shared" si="6"/>
        <v>58.064516129032256</v>
      </c>
      <c r="I6" s="17" t="s">
        <v>3</v>
      </c>
      <c r="J6" s="20">
        <v>58.064516129032256</v>
      </c>
      <c r="K6" s="15"/>
      <c r="L6" t="s">
        <v>10</v>
      </c>
      <c r="M6" s="24">
        <v>0.7</v>
      </c>
      <c r="N6" s="63">
        <v>15</v>
      </c>
      <c r="O6" s="64">
        <f t="shared" si="4"/>
        <v>15.7</v>
      </c>
      <c r="P6" s="37">
        <v>150</v>
      </c>
      <c r="Q6" s="18">
        <v>1</v>
      </c>
      <c r="R6" s="19">
        <f t="shared" si="2"/>
        <v>0.4</v>
      </c>
      <c r="S6" s="22">
        <v>20</v>
      </c>
      <c r="T6" s="23">
        <f>ROUND(Q6*R6*S6,0)</f>
        <v>8</v>
      </c>
      <c r="U6" s="36">
        <f t="shared" si="3"/>
        <v>0.1</v>
      </c>
    </row>
    <row r="7" spans="1:23" x14ac:dyDescent="0.25">
      <c r="A7" s="30" t="s">
        <v>8</v>
      </c>
      <c r="B7" s="30" t="s">
        <v>3</v>
      </c>
      <c r="C7" s="30">
        <v>1</v>
      </c>
      <c r="D7" s="49">
        <f t="shared" si="0"/>
        <v>3</v>
      </c>
      <c r="E7">
        <f t="shared" si="1"/>
        <v>62</v>
      </c>
      <c r="F7" s="21">
        <f t="shared" si="7"/>
        <v>0.967741935483871</v>
      </c>
      <c r="G7">
        <v>20</v>
      </c>
      <c r="H7" s="20">
        <f t="shared" ref="H7:H32" si="8">D7*F7*G7</f>
        <v>58.064516129032256</v>
      </c>
      <c r="I7" s="17" t="s">
        <v>13</v>
      </c>
      <c r="J7" s="20">
        <v>24</v>
      </c>
      <c r="K7" s="15"/>
      <c r="L7" t="s">
        <v>69</v>
      </c>
      <c r="M7" s="24">
        <v>0.46</v>
      </c>
      <c r="N7" s="65">
        <v>15</v>
      </c>
      <c r="O7" s="64">
        <f t="shared" si="4"/>
        <v>15.46</v>
      </c>
      <c r="P7" s="37">
        <v>70</v>
      </c>
      <c r="Q7" s="31">
        <v>1</v>
      </c>
      <c r="R7" s="19">
        <f t="shared" si="2"/>
        <v>0.8571428571428571</v>
      </c>
      <c r="S7" s="22"/>
      <c r="T7" s="23">
        <f>SUM(T2:T6)</f>
        <v>154</v>
      </c>
      <c r="U7" s="36">
        <f t="shared" si="3"/>
        <v>0.1</v>
      </c>
    </row>
    <row r="8" spans="1:23" ht="15.75" thickBot="1" x14ac:dyDescent="0.3">
      <c r="A8" s="30" t="s">
        <v>8</v>
      </c>
      <c r="B8" s="30" t="s">
        <v>4</v>
      </c>
      <c r="C8" s="30">
        <v>1</v>
      </c>
      <c r="D8" s="49">
        <f t="shared" si="0"/>
        <v>3</v>
      </c>
      <c r="E8">
        <f t="shared" si="1"/>
        <v>62</v>
      </c>
      <c r="F8" s="21">
        <f t="shared" si="7"/>
        <v>0.967741935483871</v>
      </c>
      <c r="G8">
        <v>20</v>
      </c>
      <c r="H8" s="20">
        <f t="shared" si="8"/>
        <v>58.064516129032256</v>
      </c>
      <c r="I8" s="17" t="s">
        <v>4</v>
      </c>
      <c r="J8" s="20">
        <v>90.064516129032256</v>
      </c>
      <c r="K8" s="15"/>
      <c r="U8" s="66">
        <f>SUM(U2:U7)</f>
        <v>1</v>
      </c>
    </row>
    <row r="9" spans="1:23" x14ac:dyDescent="0.25">
      <c r="A9" s="30" t="s">
        <v>9</v>
      </c>
      <c r="B9" s="30" t="s">
        <v>64</v>
      </c>
      <c r="C9" s="30">
        <v>1</v>
      </c>
      <c r="D9" s="51">
        <f t="shared" si="0"/>
        <v>1</v>
      </c>
      <c r="E9" s="20">
        <f t="shared" si="1"/>
        <v>50</v>
      </c>
      <c r="F9" s="21">
        <f t="shared" si="7"/>
        <v>1.2</v>
      </c>
      <c r="G9">
        <v>20</v>
      </c>
      <c r="H9" s="20">
        <f t="shared" ref="H9" si="9">D9*F9*G9</f>
        <v>24</v>
      </c>
      <c r="I9" s="17" t="s">
        <v>64</v>
      </c>
      <c r="J9" s="20">
        <v>171.63980570432184</v>
      </c>
      <c r="K9" s="15"/>
    </row>
    <row r="10" spans="1:23" x14ac:dyDescent="0.25">
      <c r="A10" s="30" t="s">
        <v>9</v>
      </c>
      <c r="B10" s="30" t="s">
        <v>0</v>
      </c>
      <c r="C10" s="30">
        <v>1</v>
      </c>
      <c r="D10" s="49">
        <f t="shared" si="0"/>
        <v>1</v>
      </c>
      <c r="E10" s="20">
        <f t="shared" si="1"/>
        <v>50</v>
      </c>
      <c r="F10" s="21">
        <f t="shared" si="7"/>
        <v>1.2</v>
      </c>
      <c r="G10">
        <v>20</v>
      </c>
      <c r="H10" s="20">
        <f t="shared" si="8"/>
        <v>24</v>
      </c>
      <c r="I10" s="17" t="s">
        <v>66</v>
      </c>
      <c r="J10" s="20">
        <v>32.432432432432435</v>
      </c>
      <c r="K10" s="15"/>
    </row>
    <row r="11" spans="1:23" x14ac:dyDescent="0.25">
      <c r="A11" s="30" t="s">
        <v>9</v>
      </c>
      <c r="B11" s="30" t="s">
        <v>4</v>
      </c>
      <c r="C11" s="30">
        <v>1</v>
      </c>
      <c r="D11" s="49">
        <f t="shared" si="0"/>
        <v>1</v>
      </c>
      <c r="E11" s="20">
        <f t="shared" si="1"/>
        <v>50</v>
      </c>
      <c r="F11" s="21">
        <f t="shared" si="7"/>
        <v>1.2</v>
      </c>
      <c r="G11">
        <v>20</v>
      </c>
      <c r="H11" s="20">
        <f t="shared" si="8"/>
        <v>24</v>
      </c>
      <c r="I11" s="17" t="s">
        <v>109</v>
      </c>
      <c r="J11" s="20">
        <v>32.432432432432435</v>
      </c>
    </row>
    <row r="12" spans="1:23" x14ac:dyDescent="0.25">
      <c r="A12" s="30" t="s">
        <v>9</v>
      </c>
      <c r="B12" s="30" t="s">
        <v>13</v>
      </c>
      <c r="C12" s="30">
        <v>1</v>
      </c>
      <c r="D12" s="49">
        <f t="shared" si="0"/>
        <v>1</v>
      </c>
      <c r="E12" s="20">
        <f t="shared" si="1"/>
        <v>50</v>
      </c>
      <c r="F12" s="21">
        <f t="shared" si="7"/>
        <v>1.2</v>
      </c>
      <c r="G12">
        <v>20</v>
      </c>
      <c r="H12" s="20">
        <f t="shared" si="8"/>
        <v>24</v>
      </c>
      <c r="I12" s="17" t="s">
        <v>108</v>
      </c>
      <c r="J12" s="20">
        <v>32.432432432432435</v>
      </c>
    </row>
    <row r="13" spans="1:23" ht="15.75" thickBot="1" x14ac:dyDescent="0.3">
      <c r="A13" s="30" t="s">
        <v>9</v>
      </c>
      <c r="B13" s="30" t="s">
        <v>6</v>
      </c>
      <c r="C13" s="30">
        <v>1</v>
      </c>
      <c r="D13" s="50">
        <f t="shared" si="0"/>
        <v>1</v>
      </c>
      <c r="E13" s="20">
        <f t="shared" si="1"/>
        <v>50</v>
      </c>
      <c r="F13" s="21">
        <f t="shared" si="7"/>
        <v>1.2</v>
      </c>
      <c r="G13">
        <v>20</v>
      </c>
      <c r="H13" s="20">
        <f t="shared" si="8"/>
        <v>24</v>
      </c>
      <c r="I13" s="17" t="s">
        <v>78</v>
      </c>
      <c r="J13" s="20">
        <v>107.2073732718894</v>
      </c>
    </row>
    <row r="14" spans="1:23" x14ac:dyDescent="0.25">
      <c r="A14" s="30" t="s">
        <v>63</v>
      </c>
      <c r="B14" s="30" t="s">
        <v>64</v>
      </c>
      <c r="C14" s="30">
        <v>1</v>
      </c>
      <c r="D14" s="51">
        <f t="shared" si="0"/>
        <v>2</v>
      </c>
      <c r="E14" s="20">
        <f t="shared" si="1"/>
        <v>74</v>
      </c>
      <c r="F14" s="21">
        <f t="shared" si="7"/>
        <v>0.81081081081081086</v>
      </c>
      <c r="G14">
        <v>20</v>
      </c>
      <c r="H14" s="20">
        <f t="shared" ref="H14" si="10">D14*F14*G14</f>
        <v>32.432432432432435</v>
      </c>
      <c r="I14" s="17" t="s">
        <v>41</v>
      </c>
      <c r="J14" s="20">
        <v>981.18520363681637</v>
      </c>
    </row>
    <row r="15" spans="1:23" x14ac:dyDescent="0.25">
      <c r="A15" s="30" t="s">
        <v>63</v>
      </c>
      <c r="B15" s="30" t="s">
        <v>66</v>
      </c>
      <c r="C15" s="30">
        <v>1</v>
      </c>
      <c r="D15" s="49">
        <f t="shared" si="0"/>
        <v>2</v>
      </c>
      <c r="E15" s="20">
        <f t="shared" si="1"/>
        <v>74</v>
      </c>
      <c r="F15" s="21">
        <f t="shared" si="7"/>
        <v>0.81081081081081086</v>
      </c>
      <c r="G15">
        <v>20</v>
      </c>
      <c r="H15" s="20">
        <f t="shared" si="8"/>
        <v>32.432432432432435</v>
      </c>
    </row>
    <row r="16" spans="1:23" x14ac:dyDescent="0.25">
      <c r="A16" s="30" t="s">
        <v>63</v>
      </c>
      <c r="B16" s="30" t="s">
        <v>65</v>
      </c>
      <c r="C16" s="30">
        <v>1</v>
      </c>
      <c r="D16" s="49">
        <f t="shared" si="0"/>
        <v>2</v>
      </c>
      <c r="E16" s="20">
        <f t="shared" si="1"/>
        <v>74</v>
      </c>
      <c r="F16" s="21">
        <f t="shared" si="7"/>
        <v>0.81081081081081086</v>
      </c>
      <c r="G16">
        <v>20</v>
      </c>
      <c r="H16" s="20">
        <f t="shared" si="8"/>
        <v>32.432432432432435</v>
      </c>
    </row>
    <row r="17" spans="1:8" x14ac:dyDescent="0.25">
      <c r="A17" s="30" t="s">
        <v>63</v>
      </c>
      <c r="B17" s="30" t="s">
        <v>67</v>
      </c>
      <c r="C17" s="30">
        <v>1</v>
      </c>
      <c r="D17" s="49">
        <f t="shared" si="0"/>
        <v>2</v>
      </c>
      <c r="E17" s="20">
        <f t="shared" si="1"/>
        <v>74</v>
      </c>
      <c r="F17" s="21">
        <f t="shared" si="7"/>
        <v>0.81081081081081086</v>
      </c>
      <c r="G17">
        <v>20</v>
      </c>
      <c r="H17" s="20">
        <f t="shared" si="8"/>
        <v>32.432432432432435</v>
      </c>
    </row>
    <row r="18" spans="1:8" ht="15.75" thickBot="1" x14ac:dyDescent="0.3">
      <c r="A18" s="30" t="s">
        <v>63</v>
      </c>
      <c r="B18" s="30" t="s">
        <v>6</v>
      </c>
      <c r="C18" s="30">
        <v>1</v>
      </c>
      <c r="D18" s="50">
        <f t="shared" si="0"/>
        <v>2</v>
      </c>
      <c r="E18" s="20">
        <f t="shared" si="1"/>
        <v>74</v>
      </c>
      <c r="F18" s="21">
        <f t="shared" si="7"/>
        <v>0.81081081081081086</v>
      </c>
      <c r="G18">
        <v>20</v>
      </c>
      <c r="H18" s="20">
        <f>D18*F18*G18</f>
        <v>32.432432432432435</v>
      </c>
    </row>
    <row r="19" spans="1:8" ht="15.75" thickBot="1" x14ac:dyDescent="0.3">
      <c r="A19" s="30" t="s">
        <v>69</v>
      </c>
      <c r="B19" s="30" t="s">
        <v>64</v>
      </c>
      <c r="C19" s="30">
        <v>1</v>
      </c>
      <c r="D19" s="50">
        <f t="shared" si="0"/>
        <v>1</v>
      </c>
      <c r="E19">
        <f t="shared" si="1"/>
        <v>70</v>
      </c>
      <c r="F19" s="21">
        <f t="shared" ref="F19:F22" si="11">60/E19*C19</f>
        <v>0.8571428571428571</v>
      </c>
      <c r="G19">
        <v>20</v>
      </c>
      <c r="H19" s="20">
        <f t="shared" ref="H19:H22" si="12">D19*F19*G19</f>
        <v>17.142857142857142</v>
      </c>
    </row>
    <row r="20" spans="1:8" ht="15.75" thickBot="1" x14ac:dyDescent="0.3">
      <c r="A20" s="30" t="s">
        <v>69</v>
      </c>
      <c r="B20" s="30" t="s">
        <v>0</v>
      </c>
      <c r="C20" s="30">
        <v>1</v>
      </c>
      <c r="D20" s="50">
        <f t="shared" si="0"/>
        <v>1</v>
      </c>
      <c r="E20">
        <f t="shared" si="1"/>
        <v>70</v>
      </c>
      <c r="F20" s="21">
        <f t="shared" si="11"/>
        <v>0.8571428571428571</v>
      </c>
      <c r="G20">
        <v>20</v>
      </c>
      <c r="H20" s="20">
        <f t="shared" si="12"/>
        <v>17.142857142857142</v>
      </c>
    </row>
    <row r="21" spans="1:8" ht="15.75" thickBot="1" x14ac:dyDescent="0.3">
      <c r="A21" s="30" t="s">
        <v>69</v>
      </c>
      <c r="B21" s="30" t="s">
        <v>78</v>
      </c>
      <c r="C21" s="30">
        <v>1</v>
      </c>
      <c r="D21" s="50">
        <f t="shared" si="0"/>
        <v>1</v>
      </c>
      <c r="E21">
        <f t="shared" si="1"/>
        <v>70</v>
      </c>
      <c r="F21" s="21">
        <f t="shared" ref="F21" si="13">60/E21*C21</f>
        <v>0.8571428571428571</v>
      </c>
      <c r="G21">
        <v>20</v>
      </c>
      <c r="H21" s="20">
        <f t="shared" ref="H21" si="14">D21*F21*G21</f>
        <v>17.142857142857142</v>
      </c>
    </row>
    <row r="22" spans="1:8" ht="15.75" thickBot="1" x14ac:dyDescent="0.3">
      <c r="A22" s="30" t="s">
        <v>69</v>
      </c>
      <c r="B22" s="30" t="s">
        <v>6</v>
      </c>
      <c r="C22" s="30">
        <v>1</v>
      </c>
      <c r="D22" s="50">
        <f t="shared" si="0"/>
        <v>1</v>
      </c>
      <c r="E22">
        <f t="shared" si="1"/>
        <v>70</v>
      </c>
      <c r="F22" s="21">
        <f t="shared" si="11"/>
        <v>0.8571428571428571</v>
      </c>
      <c r="G22">
        <v>20</v>
      </c>
      <c r="H22" s="20">
        <f t="shared" si="12"/>
        <v>17.142857142857142</v>
      </c>
    </row>
    <row r="23" spans="1:8" ht="15.75" thickBot="1" x14ac:dyDescent="0.3">
      <c r="A23" s="30" t="s">
        <v>68</v>
      </c>
      <c r="B23" s="30" t="s">
        <v>64</v>
      </c>
      <c r="C23" s="30">
        <v>1</v>
      </c>
      <c r="D23" s="51">
        <f t="shared" si="0"/>
        <v>2</v>
      </c>
      <c r="E23">
        <f t="shared" si="1"/>
        <v>75</v>
      </c>
      <c r="F23" s="21">
        <f t="shared" si="7"/>
        <v>0.8</v>
      </c>
      <c r="G23">
        <v>20</v>
      </c>
      <c r="H23" s="20">
        <f>D23*F23*G23</f>
        <v>32</v>
      </c>
    </row>
    <row r="24" spans="1:8" ht="15.75" thickBot="1" x14ac:dyDescent="0.3">
      <c r="A24" s="30" t="s">
        <v>68</v>
      </c>
      <c r="B24" s="30" t="s">
        <v>0</v>
      </c>
      <c r="C24" s="30">
        <v>1</v>
      </c>
      <c r="D24" s="51">
        <f t="shared" si="0"/>
        <v>2</v>
      </c>
      <c r="E24">
        <f t="shared" si="1"/>
        <v>75</v>
      </c>
      <c r="F24" s="21">
        <f t="shared" si="7"/>
        <v>0.8</v>
      </c>
      <c r="G24">
        <v>20</v>
      </c>
      <c r="H24" s="20">
        <f t="shared" ref="H24:H28" si="15">D24*F24*G24</f>
        <v>32</v>
      </c>
    </row>
    <row r="25" spans="1:8" ht="15.75" thickBot="1" x14ac:dyDescent="0.3">
      <c r="A25" s="30" t="s">
        <v>68</v>
      </c>
      <c r="B25" s="30" t="s">
        <v>78</v>
      </c>
      <c r="C25" s="30">
        <v>1</v>
      </c>
      <c r="D25" s="51">
        <f t="shared" si="0"/>
        <v>2</v>
      </c>
      <c r="E25">
        <f t="shared" si="1"/>
        <v>75</v>
      </c>
      <c r="F25" s="21">
        <f t="shared" si="7"/>
        <v>0.8</v>
      </c>
      <c r="G25">
        <v>20</v>
      </c>
      <c r="H25" s="20">
        <f t="shared" si="15"/>
        <v>32</v>
      </c>
    </row>
    <row r="26" spans="1:8" ht="15.75" thickBot="1" x14ac:dyDescent="0.3">
      <c r="A26" s="30" t="s">
        <v>68</v>
      </c>
      <c r="B26" s="30" t="s">
        <v>11</v>
      </c>
      <c r="C26" s="30">
        <v>1</v>
      </c>
      <c r="D26" s="51">
        <f t="shared" si="0"/>
        <v>2</v>
      </c>
      <c r="E26">
        <f t="shared" si="1"/>
        <v>75</v>
      </c>
      <c r="F26" s="21">
        <f t="shared" si="7"/>
        <v>0.8</v>
      </c>
      <c r="G26">
        <v>20</v>
      </c>
      <c r="H26" s="20">
        <f t="shared" si="15"/>
        <v>32</v>
      </c>
    </row>
    <row r="27" spans="1:8" ht="15.75" thickBot="1" x14ac:dyDescent="0.3">
      <c r="A27" s="30" t="s">
        <v>68</v>
      </c>
      <c r="B27" s="30" t="s">
        <v>12</v>
      </c>
      <c r="C27" s="30">
        <v>1</v>
      </c>
      <c r="D27" s="51">
        <f t="shared" si="0"/>
        <v>2</v>
      </c>
      <c r="E27">
        <f t="shared" si="1"/>
        <v>75</v>
      </c>
      <c r="F27" s="21">
        <f t="shared" si="7"/>
        <v>0.8</v>
      </c>
      <c r="G27">
        <v>20</v>
      </c>
      <c r="H27" s="20">
        <f t="shared" si="15"/>
        <v>32</v>
      </c>
    </row>
    <row r="28" spans="1:8" ht="15.75" thickBot="1" x14ac:dyDescent="0.3">
      <c r="A28" s="30" t="s">
        <v>68</v>
      </c>
      <c r="B28" s="30" t="s">
        <v>6</v>
      </c>
      <c r="C28" s="30">
        <v>1</v>
      </c>
      <c r="D28" s="51">
        <f t="shared" si="0"/>
        <v>2</v>
      </c>
      <c r="E28">
        <f t="shared" si="1"/>
        <v>75</v>
      </c>
      <c r="F28" s="21">
        <f t="shared" si="7"/>
        <v>0.8</v>
      </c>
      <c r="G28">
        <v>20</v>
      </c>
      <c r="H28" s="20">
        <f t="shared" si="15"/>
        <v>32</v>
      </c>
    </row>
    <row r="29" spans="1:8" x14ac:dyDescent="0.25">
      <c r="A29" s="30" t="s">
        <v>10</v>
      </c>
      <c r="B29" s="30" t="s">
        <v>64</v>
      </c>
      <c r="C29" s="30">
        <v>1</v>
      </c>
      <c r="D29" s="51">
        <f t="shared" si="0"/>
        <v>1</v>
      </c>
      <c r="E29">
        <f t="shared" si="1"/>
        <v>150</v>
      </c>
      <c r="F29" s="21">
        <f t="shared" si="7"/>
        <v>0.4</v>
      </c>
      <c r="G29">
        <v>20</v>
      </c>
      <c r="H29" s="20">
        <f t="shared" ref="H29" si="16">D29*F29*G29</f>
        <v>8</v>
      </c>
    </row>
    <row r="30" spans="1:8" x14ac:dyDescent="0.25">
      <c r="A30" s="30" t="s">
        <v>10</v>
      </c>
      <c r="B30" s="30" t="s">
        <v>0</v>
      </c>
      <c r="C30" s="30">
        <v>1</v>
      </c>
      <c r="D30" s="49">
        <f t="shared" si="0"/>
        <v>1</v>
      </c>
      <c r="E30">
        <f t="shared" si="1"/>
        <v>150</v>
      </c>
      <c r="F30" s="21">
        <f t="shared" si="7"/>
        <v>0.4</v>
      </c>
      <c r="G30">
        <v>20</v>
      </c>
      <c r="H30" s="20">
        <f t="shared" si="8"/>
        <v>8</v>
      </c>
    </row>
    <row r="31" spans="1:8" x14ac:dyDescent="0.25">
      <c r="A31" s="30" t="s">
        <v>10</v>
      </c>
      <c r="B31" s="30" t="s">
        <v>4</v>
      </c>
      <c r="C31" s="30">
        <v>1</v>
      </c>
      <c r="D31" s="49">
        <f t="shared" si="0"/>
        <v>1</v>
      </c>
      <c r="E31">
        <f t="shared" si="1"/>
        <v>150</v>
      </c>
      <c r="F31" s="21">
        <f t="shared" si="7"/>
        <v>0.4</v>
      </c>
      <c r="G31">
        <v>20</v>
      </c>
      <c r="H31" s="20">
        <f t="shared" si="8"/>
        <v>8</v>
      </c>
    </row>
    <row r="32" spans="1:8" ht="15.75" thickBot="1" x14ac:dyDescent="0.3">
      <c r="A32" s="30" t="s">
        <v>10</v>
      </c>
      <c r="B32" s="30" t="s">
        <v>6</v>
      </c>
      <c r="C32" s="30">
        <v>1</v>
      </c>
      <c r="D32" s="50">
        <f t="shared" si="0"/>
        <v>1</v>
      </c>
      <c r="E32">
        <f t="shared" si="1"/>
        <v>150</v>
      </c>
      <c r="F32" s="21">
        <f t="shared" si="7"/>
        <v>0.4</v>
      </c>
      <c r="G32">
        <v>20</v>
      </c>
      <c r="H32" s="20">
        <f t="shared" si="8"/>
        <v>8</v>
      </c>
    </row>
    <row r="34" spans="1:9" ht="15.75" thickBot="1" x14ac:dyDescent="0.3"/>
    <row r="35" spans="1:9" x14ac:dyDescent="0.25">
      <c r="A35" s="75" t="s">
        <v>80</v>
      </c>
      <c r="B35" s="76"/>
    </row>
    <row r="36" spans="1:9" ht="93.75" x14ac:dyDescent="0.3">
      <c r="A36" s="39" t="s">
        <v>79</v>
      </c>
      <c r="B36" s="40" t="s">
        <v>60</v>
      </c>
      <c r="C36" s="38" t="s">
        <v>58</v>
      </c>
      <c r="D36" s="54" t="s">
        <v>59</v>
      </c>
      <c r="E36" s="57"/>
      <c r="F36" s="56" t="s">
        <v>91</v>
      </c>
      <c r="G36" s="29" t="s">
        <v>57</v>
      </c>
      <c r="H36" s="29" t="s">
        <v>61</v>
      </c>
      <c r="I36" s="29" t="s">
        <v>62</v>
      </c>
    </row>
    <row r="37" spans="1:9" ht="37.5" x14ac:dyDescent="0.25">
      <c r="A37" s="39" t="s">
        <v>64</v>
      </c>
      <c r="B37" s="41">
        <v>520</v>
      </c>
      <c r="C37" s="28">
        <f t="shared" ref="C37:C48" si="17">GETPIVOTDATA("Итого",$I$1,"transaction rq",A37)*3</f>
        <v>514.91941711296556</v>
      </c>
      <c r="D37" s="55">
        <f t="shared" ref="D37:D48" si="18">1-B37/C37</f>
        <v>-9.8667533563214782E-3</v>
      </c>
      <c r="E37" s="68" t="s">
        <v>122</v>
      </c>
      <c r="F37" s="52" t="str">
        <f>VLOOKUP(A37,Соответствие!A:B,2,FALSE)</f>
        <v>OpenPage</v>
      </c>
      <c r="G37" s="58">
        <f>C37/3</f>
        <v>171.63980570432184</v>
      </c>
      <c r="H37" s="48">
        <f>VLOOKUP(F37,SummaryReport!A:J,8,FALSE)</f>
        <v>173</v>
      </c>
      <c r="I37" s="26">
        <f t="shared" ref="I37:I48" si="19">1-G37/H37</f>
        <v>7.8623947727061161E-3</v>
      </c>
    </row>
    <row r="38" spans="1:9" ht="18.75" x14ac:dyDescent="0.25">
      <c r="A38" s="42" t="s">
        <v>0</v>
      </c>
      <c r="B38" s="41">
        <v>422</v>
      </c>
      <c r="C38" s="28">
        <f t="shared" si="17"/>
        <v>417.62211981566816</v>
      </c>
      <c r="D38" s="55">
        <f t="shared" si="18"/>
        <v>-1.0482874293785471E-2</v>
      </c>
      <c r="E38" s="70" t="s">
        <v>120</v>
      </c>
      <c r="F38" s="52" t="str">
        <f>VLOOKUP(A38,Соответствие!A:B,2,FALSE)</f>
        <v>logIn</v>
      </c>
      <c r="G38" s="58">
        <f t="shared" ref="G38:G48" si="20">C38/3</f>
        <v>139.2073732718894</v>
      </c>
      <c r="H38" s="48">
        <f>VLOOKUP(F38,SummaryReport!A:J,8,FALSE)</f>
        <v>140</v>
      </c>
      <c r="I38" s="26">
        <f t="shared" si="19"/>
        <v>5.6616194865043434E-3</v>
      </c>
    </row>
    <row r="39" spans="1:9" ht="18.75" x14ac:dyDescent="0.3">
      <c r="A39" s="67" t="s">
        <v>78</v>
      </c>
      <c r="B39" s="41">
        <v>305</v>
      </c>
      <c r="C39" s="28">
        <f t="shared" si="17"/>
        <v>321.62211981566816</v>
      </c>
      <c r="D39" s="55">
        <f t="shared" si="18"/>
        <v>5.1682141219623889E-2</v>
      </c>
      <c r="E39" s="70" t="s">
        <v>114</v>
      </c>
      <c r="F39" s="70" t="s">
        <v>114</v>
      </c>
      <c r="G39" s="58">
        <f t="shared" si="20"/>
        <v>107.20737327188938</v>
      </c>
      <c r="H39" s="48">
        <f>VLOOKUP(F39,SummaryReport!A:J,8,FALSE)</f>
        <v>108</v>
      </c>
      <c r="I39" s="26">
        <f t="shared" si="19"/>
        <v>7.3391363713946056E-3</v>
      </c>
    </row>
    <row r="40" spans="1:9" ht="37.5" x14ac:dyDescent="0.25">
      <c r="A40" s="42" t="s">
        <v>11</v>
      </c>
      <c r="B40" s="41">
        <v>282</v>
      </c>
      <c r="C40" s="28">
        <f t="shared" si="17"/>
        <v>270.19354838709677</v>
      </c>
      <c r="D40" s="55">
        <f t="shared" si="18"/>
        <v>-4.3696275071633206E-2</v>
      </c>
      <c r="E40" s="53" t="s">
        <v>113</v>
      </c>
      <c r="F40" s="52" t="s">
        <v>113</v>
      </c>
      <c r="G40" s="58">
        <f t="shared" si="20"/>
        <v>90.064516129032256</v>
      </c>
      <c r="H40" s="48">
        <f>VLOOKUP(F40,SummaryReport!A:J,8,FALSE)</f>
        <v>91</v>
      </c>
      <c r="I40" s="26">
        <f t="shared" si="19"/>
        <v>1.0280042538107104E-2</v>
      </c>
    </row>
    <row r="41" spans="1:9" ht="37.5" x14ac:dyDescent="0.25">
      <c r="A41" s="42" t="s">
        <v>12</v>
      </c>
      <c r="B41" s="41">
        <v>270</v>
      </c>
      <c r="C41" s="28">
        <f t="shared" si="17"/>
        <v>270.19354838709677</v>
      </c>
      <c r="D41" s="55">
        <f t="shared" si="18"/>
        <v>7.1633237822343876E-4</v>
      </c>
      <c r="E41" s="70" t="s">
        <v>111</v>
      </c>
      <c r="F41" s="70" t="s">
        <v>111</v>
      </c>
      <c r="G41" s="58">
        <f t="shared" si="20"/>
        <v>90.064516129032256</v>
      </c>
      <c r="H41" s="48">
        <f>VLOOKUP(F41,SummaryReport!A:J,8,FALSE)</f>
        <v>89</v>
      </c>
      <c r="I41" s="26">
        <f t="shared" si="19"/>
        <v>-1.1960855382384894E-2</v>
      </c>
    </row>
    <row r="42" spans="1:9" ht="18.75" x14ac:dyDescent="0.25">
      <c r="A42" s="42" t="s">
        <v>3</v>
      </c>
      <c r="B42" s="41">
        <v>175</v>
      </c>
      <c r="C42" s="28">
        <f t="shared" si="17"/>
        <v>174.19354838709677</v>
      </c>
      <c r="D42" s="55">
        <f t="shared" si="18"/>
        <v>-4.6296296296297612E-3</v>
      </c>
      <c r="E42" s="70" t="s">
        <v>118</v>
      </c>
      <c r="F42" s="70" t="s">
        <v>118</v>
      </c>
      <c r="G42" s="58">
        <f t="shared" si="20"/>
        <v>58.064516129032256</v>
      </c>
      <c r="H42" s="48">
        <f>VLOOKUP(F42,SummaryReport!A:J,8,FALSE)</f>
        <v>58</v>
      </c>
      <c r="I42" s="26">
        <f t="shared" si="19"/>
        <v>-1.1123470522802492E-3</v>
      </c>
    </row>
    <row r="43" spans="1:9" ht="18.75" x14ac:dyDescent="0.25">
      <c r="A43" s="42" t="s">
        <v>4</v>
      </c>
      <c r="B43" s="41">
        <v>280</v>
      </c>
      <c r="C43" s="28">
        <f t="shared" si="17"/>
        <v>270.19354838709677</v>
      </c>
      <c r="D43" s="55">
        <f t="shared" si="18"/>
        <v>-3.629417382999045E-2</v>
      </c>
      <c r="E43" s="70" t="s">
        <v>115</v>
      </c>
      <c r="F43" s="70" t="s">
        <v>115</v>
      </c>
      <c r="G43" s="58">
        <f t="shared" si="20"/>
        <v>90.064516129032256</v>
      </c>
      <c r="H43" s="48">
        <f>VLOOKUP(F43,SummaryReport!A:J,8,FALSE)</f>
        <v>90</v>
      </c>
      <c r="I43" s="26">
        <f t="shared" si="19"/>
        <v>-7.1684587813614087E-4</v>
      </c>
    </row>
    <row r="44" spans="1:9" ht="18.75" x14ac:dyDescent="0.25">
      <c r="A44" s="42" t="s">
        <v>13</v>
      </c>
      <c r="B44" s="41">
        <v>73</v>
      </c>
      <c r="C44" s="28">
        <f t="shared" si="17"/>
        <v>72</v>
      </c>
      <c r="D44" s="55">
        <f t="shared" si="18"/>
        <v>-1.388888888888884E-2</v>
      </c>
      <c r="E44" s="70" t="s">
        <v>117</v>
      </c>
      <c r="F44" s="70" t="s">
        <v>117</v>
      </c>
      <c r="G44" s="58">
        <f t="shared" si="20"/>
        <v>24</v>
      </c>
      <c r="H44" s="48">
        <f>VLOOKUP(F44,SummaryReport!A:J,8,FALSE)</f>
        <v>23</v>
      </c>
      <c r="I44" s="26">
        <f t="shared" si="19"/>
        <v>-4.3478260869565188E-2</v>
      </c>
    </row>
    <row r="45" spans="1:9" ht="18.75" x14ac:dyDescent="0.25">
      <c r="A45" s="42" t="s">
        <v>6</v>
      </c>
      <c r="B45" s="41">
        <v>326</v>
      </c>
      <c r="C45" s="28">
        <f t="shared" si="17"/>
        <v>340.72586872586874</v>
      </c>
      <c r="D45" s="55">
        <f t="shared" si="18"/>
        <v>4.3219109781524767E-2</v>
      </c>
      <c r="E45" s="69" t="s">
        <v>121</v>
      </c>
      <c r="F45" s="52" t="str">
        <f>VLOOKUP(A45,Соответствие!A:B,2,FALSE)</f>
        <v>logOut</v>
      </c>
      <c r="G45" s="58">
        <f t="shared" si="20"/>
        <v>113.57528957528957</v>
      </c>
      <c r="H45" s="48">
        <f>VLOOKUP(F45,SummaryReport!A:J,8,FALSE)</f>
        <v>112</v>
      </c>
      <c r="I45" s="26">
        <f t="shared" si="19"/>
        <v>-1.4065085493656815E-2</v>
      </c>
    </row>
    <row r="46" spans="1:9" ht="37.5" x14ac:dyDescent="0.25">
      <c r="A46" s="42" t="s">
        <v>66</v>
      </c>
      <c r="B46" s="41">
        <v>97</v>
      </c>
      <c r="C46" s="28">
        <f t="shared" si="17"/>
        <v>97.297297297297305</v>
      </c>
      <c r="D46" s="55">
        <f t="shared" si="18"/>
        <v>3.0555555555555891E-3</v>
      </c>
      <c r="E46" s="70" t="s">
        <v>116</v>
      </c>
      <c r="F46" s="52" t="str">
        <f>VLOOKUP(A46,Соответствие!A:B,2,FALSE)</f>
        <v>clickSignUp</v>
      </c>
      <c r="G46" s="58">
        <f t="shared" si="20"/>
        <v>32.432432432432435</v>
      </c>
      <c r="H46" s="48">
        <f>VLOOKUP(F46,SummaryReport!A:J,8,FALSE)</f>
        <v>33</v>
      </c>
      <c r="I46" s="26">
        <f t="shared" si="19"/>
        <v>1.7199017199017064E-2</v>
      </c>
    </row>
    <row r="47" spans="1:9" ht="37.5" x14ac:dyDescent="0.25">
      <c r="A47" s="42" t="s">
        <v>65</v>
      </c>
      <c r="B47" s="41">
        <v>97</v>
      </c>
      <c r="C47" s="28">
        <f t="shared" si="17"/>
        <v>97.297297297297305</v>
      </c>
      <c r="D47" s="55">
        <f t="shared" si="18"/>
        <v>3.0555555555555891E-3</v>
      </c>
      <c r="E47" s="70" t="s">
        <v>119</v>
      </c>
      <c r="F47" s="70" t="s">
        <v>119</v>
      </c>
      <c r="G47" s="58">
        <f t="shared" si="20"/>
        <v>32.432432432432435</v>
      </c>
      <c r="H47" s="48">
        <f>VLOOKUP(F47,SummaryReport!A:J,8,FALSE)</f>
        <v>33</v>
      </c>
      <c r="I47" s="26">
        <f t="shared" si="19"/>
        <v>1.7199017199017064E-2</v>
      </c>
    </row>
    <row r="48" spans="1:9" ht="37.5" x14ac:dyDescent="0.25">
      <c r="A48" s="42" t="s">
        <v>67</v>
      </c>
      <c r="B48" s="41">
        <v>97</v>
      </c>
      <c r="C48" s="28">
        <f t="shared" si="17"/>
        <v>97.297297297297305</v>
      </c>
      <c r="D48" s="55">
        <f t="shared" si="18"/>
        <v>3.0555555555555891E-3</v>
      </c>
      <c r="E48" s="70" t="s">
        <v>112</v>
      </c>
      <c r="F48" s="70" t="s">
        <v>112</v>
      </c>
      <c r="G48" s="58">
        <f t="shared" si="20"/>
        <v>32.432432432432435</v>
      </c>
      <c r="H48" s="48">
        <f>VLOOKUP(F48,SummaryReport!A:J,8,FALSE)</f>
        <v>32</v>
      </c>
      <c r="I48" s="26">
        <f t="shared" si="19"/>
        <v>-1.3513513513513598E-2</v>
      </c>
    </row>
    <row r="49" spans="1:10" ht="19.5" thickBot="1" x14ac:dyDescent="0.3">
      <c r="A49" s="43" t="s">
        <v>7</v>
      </c>
      <c r="B49" s="44">
        <f>SUM(B37:B48)</f>
        <v>2944</v>
      </c>
      <c r="C49" s="27">
        <f>SUM(C37:C48)</f>
        <v>2943.5556109104505</v>
      </c>
      <c r="D49" s="25">
        <f t="shared" ref="D49" si="21">1-B49/C49</f>
        <v>-1.5097016951282072E-4</v>
      </c>
    </row>
    <row r="50" spans="1:10" x14ac:dyDescent="0.25">
      <c r="I50" s="33"/>
    </row>
    <row r="51" spans="1:10" x14ac:dyDescent="0.25">
      <c r="C51" s="33" t="s">
        <v>77</v>
      </c>
      <c r="D51" s="33"/>
      <c r="E51" s="33"/>
      <c r="F51" s="33"/>
      <c r="G51" s="33"/>
      <c r="H51" s="33"/>
    </row>
    <row r="52" spans="1:10" x14ac:dyDescent="0.25">
      <c r="B52" t="s">
        <v>93</v>
      </c>
      <c r="C52" t="s">
        <v>76</v>
      </c>
      <c r="D52" t="s">
        <v>72</v>
      </c>
      <c r="E52" t="s">
        <v>74</v>
      </c>
      <c r="F52" t="s">
        <v>73</v>
      </c>
      <c r="G52" t="s">
        <v>75</v>
      </c>
      <c r="H52" t="s">
        <v>92</v>
      </c>
    </row>
    <row r="53" spans="1:10" x14ac:dyDescent="0.25">
      <c r="A53" s="59" t="s">
        <v>8</v>
      </c>
      <c r="B53" s="60">
        <f>124/3</f>
        <v>41.333333333333336</v>
      </c>
      <c r="C53" s="37">
        <v>58</v>
      </c>
      <c r="D53" s="34">
        <f>60/C53</f>
        <v>1.0344827586206897</v>
      </c>
      <c r="E53" s="47">
        <v>20</v>
      </c>
      <c r="F53" s="45">
        <f>B53/(D53*E53)</f>
        <v>1.9977777777777779</v>
      </c>
      <c r="G53" s="20">
        <f>ROUND(F53,0)</f>
        <v>2</v>
      </c>
      <c r="H53" s="20">
        <f>G53*D53*E53</f>
        <v>41.379310344827587</v>
      </c>
      <c r="I53" s="32">
        <f>1-B53/H53</f>
        <v>1.1111111111110628E-3</v>
      </c>
    </row>
    <row r="54" spans="1:10" x14ac:dyDescent="0.25">
      <c r="A54" s="59" t="s">
        <v>101</v>
      </c>
      <c r="B54" s="60">
        <f>150/3</f>
        <v>50</v>
      </c>
      <c r="C54" s="37">
        <v>24</v>
      </c>
      <c r="D54" s="34">
        <f t="shared" ref="D54:D57" si="22">60/C54</f>
        <v>2.5</v>
      </c>
      <c r="E54" s="47">
        <v>20</v>
      </c>
      <c r="F54" s="45">
        <f>B54/(D54*E54)</f>
        <v>1</v>
      </c>
      <c r="G54" s="20">
        <f t="shared" ref="G54:G57" si="23">ROUND(F54,0)</f>
        <v>1</v>
      </c>
      <c r="H54" s="20">
        <f t="shared" ref="H54:H57" si="24">G54*D54*E54</f>
        <v>50</v>
      </c>
      <c r="I54" s="32">
        <f>1-B54/H54</f>
        <v>0</v>
      </c>
    </row>
    <row r="55" spans="1:10" x14ac:dyDescent="0.25">
      <c r="A55" s="59" t="s">
        <v>94</v>
      </c>
      <c r="B55" s="61">
        <f>30/3</f>
        <v>10</v>
      </c>
      <c r="C55" s="46">
        <v>120</v>
      </c>
      <c r="D55" s="34">
        <f t="shared" si="22"/>
        <v>0.5</v>
      </c>
      <c r="E55" s="47">
        <v>20</v>
      </c>
      <c r="F55" s="45">
        <f>B55/(D55*E55)</f>
        <v>1</v>
      </c>
      <c r="G55" s="20">
        <v>1</v>
      </c>
      <c r="H55" s="20">
        <f t="shared" si="24"/>
        <v>10</v>
      </c>
      <c r="I55" s="32">
        <f>1-B55/H55</f>
        <v>0</v>
      </c>
    </row>
    <row r="56" spans="1:10" x14ac:dyDescent="0.25">
      <c r="A56" s="59" t="s">
        <v>70</v>
      </c>
      <c r="B56" s="60">
        <f>20/3</f>
        <v>6.666666666666667</v>
      </c>
      <c r="C56" s="37">
        <v>180</v>
      </c>
      <c r="D56" s="34">
        <f t="shared" si="22"/>
        <v>0.33333333333333331</v>
      </c>
      <c r="E56" s="47">
        <v>20</v>
      </c>
      <c r="F56" s="45">
        <f>B56/(D56*E56)</f>
        <v>1.0000000000000002</v>
      </c>
      <c r="G56" s="20">
        <v>1</v>
      </c>
      <c r="H56" s="20">
        <f t="shared" si="24"/>
        <v>6.6666666666666661</v>
      </c>
      <c r="I56" s="32">
        <f>1-B56/H56</f>
        <v>0</v>
      </c>
    </row>
    <row r="57" spans="1:10" x14ac:dyDescent="0.25">
      <c r="A57" s="59" t="s">
        <v>71</v>
      </c>
      <c r="B57" s="60">
        <f>120/3</f>
        <v>40</v>
      </c>
      <c r="C57" s="37">
        <v>30</v>
      </c>
      <c r="D57" s="34">
        <f t="shared" si="22"/>
        <v>2</v>
      </c>
      <c r="E57" s="47">
        <v>20</v>
      </c>
      <c r="F57" s="45">
        <f>B57/(D57*E57)</f>
        <v>1</v>
      </c>
      <c r="G57" s="20">
        <f t="shared" si="23"/>
        <v>1</v>
      </c>
      <c r="H57" s="20">
        <f t="shared" si="24"/>
        <v>40</v>
      </c>
      <c r="I57" s="32">
        <f>1-B57/H57</f>
        <v>0</v>
      </c>
    </row>
    <row r="58" spans="1:10" x14ac:dyDescent="0.25">
      <c r="G58" s="20">
        <f>SUM(G53:G57)</f>
        <v>6</v>
      </c>
    </row>
    <row r="61" spans="1:10" x14ac:dyDescent="0.25">
      <c r="A61" t="s">
        <v>104</v>
      </c>
      <c r="B61" t="s">
        <v>105</v>
      </c>
      <c r="C61" t="s">
        <v>106</v>
      </c>
      <c r="D61" t="s">
        <v>46</v>
      </c>
      <c r="E61" t="s">
        <v>107</v>
      </c>
      <c r="F61" t="s">
        <v>55</v>
      </c>
      <c r="G61" t="s">
        <v>7</v>
      </c>
      <c r="I61" s="16" t="s">
        <v>40</v>
      </c>
      <c r="J61" t="s">
        <v>52</v>
      </c>
    </row>
    <row r="62" spans="1:10" x14ac:dyDescent="0.25">
      <c r="A62" t="s">
        <v>8</v>
      </c>
      <c r="B62" t="s">
        <v>95</v>
      </c>
      <c r="C62" s="20">
        <f>VLOOKUP(A62,$A$53:$H$57,6,FALSE)</f>
        <v>1.9977777777777779</v>
      </c>
      <c r="D62">
        <f>VLOOKUP(A62,$A$53:$H$57,3,FALSE)</f>
        <v>58</v>
      </c>
      <c r="E62" s="20">
        <f>60/D62</f>
        <v>1.0344827586206897</v>
      </c>
      <c r="F62">
        <v>20</v>
      </c>
      <c r="G62" s="20">
        <f>C62*E62*F62</f>
        <v>41.333333333333336</v>
      </c>
      <c r="I62" s="17" t="s">
        <v>98</v>
      </c>
      <c r="J62" s="20">
        <v>48</v>
      </c>
    </row>
    <row r="63" spans="1:10" x14ac:dyDescent="0.25">
      <c r="A63" t="s">
        <v>8</v>
      </c>
      <c r="B63" t="s">
        <v>69</v>
      </c>
      <c r="C63" s="20">
        <f t="shared" ref="C63:C87" si="25">VLOOKUP(A63,$A$53:$H$57,6,FALSE)</f>
        <v>1.9977777777777779</v>
      </c>
      <c r="D63">
        <f t="shared" ref="D63:D87" si="26">VLOOKUP(A63,$A$53:$H$57,3,FALSE)</f>
        <v>58</v>
      </c>
      <c r="E63" s="20">
        <f t="shared" ref="E63:E87" si="27">60/D63</f>
        <v>1.0344827586206897</v>
      </c>
      <c r="F63">
        <v>20</v>
      </c>
      <c r="G63" s="20">
        <f t="shared" ref="G63:G87" si="28">C63*E63*F63</f>
        <v>41.333333333333336</v>
      </c>
      <c r="I63" s="17" t="s">
        <v>95</v>
      </c>
      <c r="J63" s="20">
        <v>154.66666666666669</v>
      </c>
    </row>
    <row r="64" spans="1:10" x14ac:dyDescent="0.25">
      <c r="A64" t="s">
        <v>8</v>
      </c>
      <c r="B64" t="s">
        <v>96</v>
      </c>
      <c r="C64" s="20">
        <f t="shared" si="25"/>
        <v>1.9977777777777779</v>
      </c>
      <c r="D64">
        <f t="shared" si="26"/>
        <v>58</v>
      </c>
      <c r="E64" s="20">
        <f t="shared" si="27"/>
        <v>1.0344827586206897</v>
      </c>
      <c r="F64">
        <v>20</v>
      </c>
      <c r="G64" s="20">
        <f t="shared" si="28"/>
        <v>41.333333333333336</v>
      </c>
      <c r="I64" s="17" t="s">
        <v>97</v>
      </c>
      <c r="J64" s="20">
        <v>48</v>
      </c>
    </row>
    <row r="65" spans="1:10" x14ac:dyDescent="0.25">
      <c r="A65" t="s">
        <v>8</v>
      </c>
      <c r="B65" t="s">
        <v>97</v>
      </c>
      <c r="C65" s="20">
        <f t="shared" si="25"/>
        <v>1.9977777777777779</v>
      </c>
      <c r="D65">
        <f t="shared" si="26"/>
        <v>58</v>
      </c>
      <c r="E65" s="20">
        <f t="shared" si="27"/>
        <v>1.0344827586206897</v>
      </c>
      <c r="F65">
        <v>20</v>
      </c>
      <c r="G65" s="20">
        <f t="shared" si="28"/>
        <v>41.333333333333336</v>
      </c>
      <c r="I65" s="62" t="s">
        <v>100</v>
      </c>
      <c r="J65" s="20">
        <v>148</v>
      </c>
    </row>
    <row r="66" spans="1:10" x14ac:dyDescent="0.25">
      <c r="A66" t="s">
        <v>8</v>
      </c>
      <c r="B66" t="s">
        <v>98</v>
      </c>
      <c r="C66" s="20">
        <f t="shared" si="25"/>
        <v>1.9977777777777779</v>
      </c>
      <c r="D66">
        <f t="shared" si="26"/>
        <v>58</v>
      </c>
      <c r="E66" s="20">
        <f t="shared" si="27"/>
        <v>1.0344827586206897</v>
      </c>
      <c r="F66">
        <v>20</v>
      </c>
      <c r="G66" s="20">
        <f t="shared" si="28"/>
        <v>41.333333333333336</v>
      </c>
      <c r="I66" s="62" t="s">
        <v>69</v>
      </c>
      <c r="J66" s="20">
        <v>148</v>
      </c>
    </row>
    <row r="67" spans="1:10" x14ac:dyDescent="0.25">
      <c r="A67" t="s">
        <v>8</v>
      </c>
      <c r="B67" t="s">
        <v>99</v>
      </c>
      <c r="C67" s="20">
        <f t="shared" si="25"/>
        <v>1.9977777777777779</v>
      </c>
      <c r="D67">
        <f t="shared" si="26"/>
        <v>58</v>
      </c>
      <c r="E67" s="20">
        <f t="shared" si="27"/>
        <v>1.0344827586206897</v>
      </c>
      <c r="F67">
        <v>20</v>
      </c>
      <c r="G67" s="20">
        <f t="shared" si="28"/>
        <v>41.333333333333336</v>
      </c>
      <c r="I67" s="17" t="s">
        <v>96</v>
      </c>
      <c r="J67" s="20">
        <v>48</v>
      </c>
    </row>
    <row r="68" spans="1:10" x14ac:dyDescent="0.25">
      <c r="A68" t="s">
        <v>8</v>
      </c>
      <c r="B68" t="s">
        <v>100</v>
      </c>
      <c r="C68" s="20">
        <f t="shared" si="25"/>
        <v>1.9977777777777779</v>
      </c>
      <c r="D68">
        <f t="shared" si="26"/>
        <v>58</v>
      </c>
      <c r="E68" s="20">
        <f t="shared" si="27"/>
        <v>1.0344827586206897</v>
      </c>
      <c r="F68">
        <v>20</v>
      </c>
      <c r="G68" s="20">
        <f t="shared" si="28"/>
        <v>41.333333333333336</v>
      </c>
      <c r="I68" s="62" t="s">
        <v>99</v>
      </c>
      <c r="J68" s="20">
        <v>41.333333333333336</v>
      </c>
    </row>
    <row r="69" spans="1:10" x14ac:dyDescent="0.25">
      <c r="A69" t="s">
        <v>101</v>
      </c>
      <c r="B69" t="s">
        <v>95</v>
      </c>
      <c r="C69" s="20">
        <f t="shared" si="25"/>
        <v>1</v>
      </c>
      <c r="D69">
        <f t="shared" si="26"/>
        <v>24</v>
      </c>
      <c r="E69" s="20">
        <f t="shared" si="27"/>
        <v>2.5</v>
      </c>
      <c r="F69">
        <v>20</v>
      </c>
      <c r="G69" s="20">
        <f t="shared" si="28"/>
        <v>50</v>
      </c>
      <c r="I69" s="17" t="s">
        <v>102</v>
      </c>
      <c r="J69" s="20">
        <v>50</v>
      </c>
    </row>
    <row r="70" spans="1:10" x14ac:dyDescent="0.25">
      <c r="A70" t="s">
        <v>101</v>
      </c>
      <c r="B70" t="s">
        <v>69</v>
      </c>
      <c r="C70" s="20">
        <f t="shared" si="25"/>
        <v>1</v>
      </c>
      <c r="D70">
        <f t="shared" si="26"/>
        <v>24</v>
      </c>
      <c r="E70" s="20">
        <f t="shared" si="27"/>
        <v>2.5</v>
      </c>
      <c r="F70">
        <v>20</v>
      </c>
      <c r="G70" s="20">
        <f t="shared" si="28"/>
        <v>50</v>
      </c>
      <c r="I70" s="62" t="s">
        <v>103</v>
      </c>
      <c r="J70" s="20">
        <v>10</v>
      </c>
    </row>
    <row r="71" spans="1:10" x14ac:dyDescent="0.25">
      <c r="A71" t="s">
        <v>101</v>
      </c>
      <c r="B71" t="s">
        <v>100</v>
      </c>
      <c r="C71" s="20">
        <f t="shared" si="25"/>
        <v>1</v>
      </c>
      <c r="D71">
        <f t="shared" si="26"/>
        <v>24</v>
      </c>
      <c r="E71" s="20">
        <f t="shared" si="27"/>
        <v>2.5</v>
      </c>
      <c r="F71">
        <v>20</v>
      </c>
      <c r="G71" s="20">
        <f t="shared" si="28"/>
        <v>50</v>
      </c>
      <c r="I71" s="17" t="s">
        <v>41</v>
      </c>
      <c r="J71" s="15">
        <v>696.00000000000011</v>
      </c>
    </row>
    <row r="72" spans="1:10" x14ac:dyDescent="0.25">
      <c r="A72" t="s">
        <v>94</v>
      </c>
      <c r="B72" t="s">
        <v>95</v>
      </c>
      <c r="C72" s="20">
        <f t="shared" si="25"/>
        <v>1</v>
      </c>
      <c r="D72">
        <f t="shared" si="26"/>
        <v>120</v>
      </c>
      <c r="E72" s="20">
        <f t="shared" si="27"/>
        <v>0.5</v>
      </c>
      <c r="F72">
        <v>20</v>
      </c>
      <c r="G72" s="20">
        <f t="shared" si="28"/>
        <v>10</v>
      </c>
    </row>
    <row r="73" spans="1:10" x14ac:dyDescent="0.25">
      <c r="A73" t="s">
        <v>94</v>
      </c>
      <c r="B73" t="s">
        <v>69</v>
      </c>
      <c r="C73" s="20">
        <f t="shared" si="25"/>
        <v>1</v>
      </c>
      <c r="D73">
        <f t="shared" si="26"/>
        <v>120</v>
      </c>
      <c r="E73" s="20">
        <f t="shared" si="27"/>
        <v>0.5</v>
      </c>
      <c r="F73">
        <v>20</v>
      </c>
      <c r="G73" s="20">
        <f t="shared" si="28"/>
        <v>10</v>
      </c>
    </row>
    <row r="74" spans="1:10" x14ac:dyDescent="0.25">
      <c r="A74" t="s">
        <v>94</v>
      </c>
      <c r="B74" t="s">
        <v>102</v>
      </c>
      <c r="C74" s="20">
        <f t="shared" si="25"/>
        <v>1</v>
      </c>
      <c r="D74">
        <f t="shared" si="26"/>
        <v>120</v>
      </c>
      <c r="E74" s="20">
        <f t="shared" si="27"/>
        <v>0.5</v>
      </c>
      <c r="F74">
        <v>20</v>
      </c>
      <c r="G74" s="20">
        <f t="shared" si="28"/>
        <v>10</v>
      </c>
    </row>
    <row r="75" spans="1:10" x14ac:dyDescent="0.25">
      <c r="A75" t="s">
        <v>94</v>
      </c>
      <c r="B75" t="s">
        <v>103</v>
      </c>
      <c r="C75" s="20">
        <f t="shared" si="25"/>
        <v>1</v>
      </c>
      <c r="D75">
        <f t="shared" si="26"/>
        <v>120</v>
      </c>
      <c r="E75" s="20">
        <f t="shared" si="27"/>
        <v>0.5</v>
      </c>
      <c r="F75">
        <v>20</v>
      </c>
      <c r="G75" s="20">
        <f t="shared" si="28"/>
        <v>10</v>
      </c>
    </row>
    <row r="76" spans="1:10" x14ac:dyDescent="0.25">
      <c r="A76" t="s">
        <v>94</v>
      </c>
      <c r="B76" t="s">
        <v>100</v>
      </c>
      <c r="C76" s="20">
        <f t="shared" si="25"/>
        <v>1</v>
      </c>
      <c r="D76">
        <f t="shared" si="26"/>
        <v>120</v>
      </c>
      <c r="E76" s="20">
        <f t="shared" si="27"/>
        <v>0.5</v>
      </c>
      <c r="F76">
        <v>20</v>
      </c>
      <c r="G76" s="20">
        <f t="shared" si="28"/>
        <v>10</v>
      </c>
    </row>
    <row r="77" spans="1:10" x14ac:dyDescent="0.25">
      <c r="A77" t="s">
        <v>70</v>
      </c>
      <c r="B77" t="s">
        <v>95</v>
      </c>
      <c r="C77" s="20">
        <f t="shared" si="25"/>
        <v>1.0000000000000002</v>
      </c>
      <c r="D77">
        <f t="shared" si="26"/>
        <v>180</v>
      </c>
      <c r="E77" s="20">
        <f t="shared" si="27"/>
        <v>0.33333333333333331</v>
      </c>
      <c r="F77">
        <v>20</v>
      </c>
      <c r="G77" s="20">
        <f t="shared" si="28"/>
        <v>6.6666666666666679</v>
      </c>
    </row>
    <row r="78" spans="1:10" x14ac:dyDescent="0.25">
      <c r="A78" t="s">
        <v>70</v>
      </c>
      <c r="B78" t="s">
        <v>95</v>
      </c>
      <c r="C78" s="20">
        <f t="shared" si="25"/>
        <v>1.0000000000000002</v>
      </c>
      <c r="D78">
        <f t="shared" si="26"/>
        <v>180</v>
      </c>
      <c r="E78" s="20">
        <f>60/D78</f>
        <v>0.33333333333333331</v>
      </c>
      <c r="F78">
        <v>20</v>
      </c>
      <c r="G78" s="20">
        <f t="shared" si="28"/>
        <v>6.6666666666666679</v>
      </c>
    </row>
    <row r="79" spans="1:10" x14ac:dyDescent="0.25">
      <c r="A79" t="s">
        <v>70</v>
      </c>
      <c r="B79" t="s">
        <v>69</v>
      </c>
      <c r="C79" s="20">
        <f t="shared" si="25"/>
        <v>1.0000000000000002</v>
      </c>
      <c r="D79">
        <f t="shared" si="26"/>
        <v>180</v>
      </c>
      <c r="E79" s="20">
        <f t="shared" si="27"/>
        <v>0.33333333333333331</v>
      </c>
      <c r="F79">
        <v>20</v>
      </c>
      <c r="G79" s="20">
        <f t="shared" si="28"/>
        <v>6.6666666666666679</v>
      </c>
    </row>
    <row r="80" spans="1:10" x14ac:dyDescent="0.25">
      <c r="A80" t="s">
        <v>70</v>
      </c>
      <c r="B80" t="s">
        <v>96</v>
      </c>
      <c r="C80" s="20">
        <f t="shared" si="25"/>
        <v>1.0000000000000002</v>
      </c>
      <c r="D80">
        <f t="shared" si="26"/>
        <v>180</v>
      </c>
      <c r="E80" s="20">
        <f t="shared" si="27"/>
        <v>0.33333333333333331</v>
      </c>
      <c r="F80">
        <v>20</v>
      </c>
      <c r="G80" s="20">
        <f t="shared" si="28"/>
        <v>6.6666666666666679</v>
      </c>
    </row>
    <row r="81" spans="1:7" x14ac:dyDescent="0.25">
      <c r="A81" t="s">
        <v>70</v>
      </c>
      <c r="B81" t="s">
        <v>97</v>
      </c>
      <c r="C81" s="20">
        <f t="shared" si="25"/>
        <v>1.0000000000000002</v>
      </c>
      <c r="D81">
        <f t="shared" si="26"/>
        <v>180</v>
      </c>
      <c r="E81" s="20">
        <f t="shared" si="27"/>
        <v>0.33333333333333331</v>
      </c>
      <c r="F81">
        <v>20</v>
      </c>
      <c r="G81" s="20">
        <f t="shared" si="28"/>
        <v>6.6666666666666679</v>
      </c>
    </row>
    <row r="82" spans="1:7" x14ac:dyDescent="0.25">
      <c r="A82" t="s">
        <v>70</v>
      </c>
      <c r="B82" t="s">
        <v>98</v>
      </c>
      <c r="C82" s="20">
        <f t="shared" si="25"/>
        <v>1.0000000000000002</v>
      </c>
      <c r="D82">
        <f t="shared" si="26"/>
        <v>180</v>
      </c>
      <c r="E82" s="20">
        <f t="shared" si="27"/>
        <v>0.33333333333333331</v>
      </c>
      <c r="F82">
        <v>20</v>
      </c>
      <c r="G82" s="20">
        <f t="shared" si="28"/>
        <v>6.6666666666666679</v>
      </c>
    </row>
    <row r="83" spans="1:7" x14ac:dyDescent="0.25">
      <c r="A83" t="s">
        <v>70</v>
      </c>
      <c r="B83" t="s">
        <v>100</v>
      </c>
      <c r="C83" s="20">
        <f t="shared" si="25"/>
        <v>1.0000000000000002</v>
      </c>
      <c r="D83">
        <f t="shared" si="26"/>
        <v>180</v>
      </c>
      <c r="E83" s="20">
        <f t="shared" si="27"/>
        <v>0.33333333333333331</v>
      </c>
      <c r="F83">
        <v>20</v>
      </c>
      <c r="G83" s="20">
        <f t="shared" si="28"/>
        <v>6.6666666666666679</v>
      </c>
    </row>
    <row r="84" spans="1:7" x14ac:dyDescent="0.25">
      <c r="A84" t="s">
        <v>71</v>
      </c>
      <c r="B84" t="s">
        <v>95</v>
      </c>
      <c r="C84" s="20">
        <f t="shared" si="25"/>
        <v>1</v>
      </c>
      <c r="D84">
        <f t="shared" si="26"/>
        <v>30</v>
      </c>
      <c r="E84" s="20">
        <f t="shared" si="27"/>
        <v>2</v>
      </c>
      <c r="F84">
        <v>20</v>
      </c>
      <c r="G84" s="20">
        <f t="shared" si="28"/>
        <v>40</v>
      </c>
    </row>
    <row r="85" spans="1:7" x14ac:dyDescent="0.25">
      <c r="A85" t="s">
        <v>71</v>
      </c>
      <c r="B85" t="s">
        <v>69</v>
      </c>
      <c r="C85" s="20">
        <f t="shared" si="25"/>
        <v>1</v>
      </c>
      <c r="D85">
        <f t="shared" si="26"/>
        <v>30</v>
      </c>
      <c r="E85" s="20">
        <f t="shared" si="27"/>
        <v>2</v>
      </c>
      <c r="F85">
        <v>20</v>
      </c>
      <c r="G85" s="20">
        <f t="shared" si="28"/>
        <v>40</v>
      </c>
    </row>
    <row r="86" spans="1:7" x14ac:dyDescent="0.25">
      <c r="A86" t="s">
        <v>71</v>
      </c>
      <c r="B86" t="s">
        <v>102</v>
      </c>
      <c r="C86" s="20">
        <f t="shared" si="25"/>
        <v>1</v>
      </c>
      <c r="D86">
        <f t="shared" si="26"/>
        <v>30</v>
      </c>
      <c r="E86" s="20">
        <f t="shared" si="27"/>
        <v>2</v>
      </c>
      <c r="F86">
        <v>20</v>
      </c>
      <c r="G86" s="20">
        <f t="shared" si="28"/>
        <v>40</v>
      </c>
    </row>
    <row r="87" spans="1:7" x14ac:dyDescent="0.25">
      <c r="A87" t="s">
        <v>71</v>
      </c>
      <c r="B87" t="s">
        <v>100</v>
      </c>
      <c r="C87" s="20">
        <f t="shared" si="25"/>
        <v>1</v>
      </c>
      <c r="D87">
        <f t="shared" si="26"/>
        <v>30</v>
      </c>
      <c r="E87" s="20">
        <f t="shared" si="27"/>
        <v>2</v>
      </c>
      <c r="F87">
        <v>20</v>
      </c>
      <c r="G87" s="20">
        <f t="shared" si="28"/>
        <v>40</v>
      </c>
    </row>
    <row r="101" spans="1:10" x14ac:dyDescent="0.25">
      <c r="A101" s="72" t="s">
        <v>130</v>
      </c>
    </row>
    <row r="102" spans="1:10" x14ac:dyDescent="0.25">
      <c r="A102" t="s">
        <v>27</v>
      </c>
      <c r="B102" t="s">
        <v>83</v>
      </c>
      <c r="C102" t="s">
        <v>84</v>
      </c>
      <c r="D102" t="s">
        <v>85</v>
      </c>
      <c r="E102" t="s">
        <v>86</v>
      </c>
      <c r="F102" t="s">
        <v>87</v>
      </c>
      <c r="G102" t="s">
        <v>88</v>
      </c>
      <c r="H102" t="s">
        <v>28</v>
      </c>
      <c r="I102" t="s">
        <v>29</v>
      </c>
      <c r="J102" t="s">
        <v>30</v>
      </c>
    </row>
    <row r="103" spans="1:10" x14ac:dyDescent="0.25">
      <c r="A103" t="s">
        <v>110</v>
      </c>
      <c r="B103" t="s">
        <v>89</v>
      </c>
      <c r="C103">
        <v>0.27400000000000002</v>
      </c>
      <c r="D103">
        <v>1.9139999999999999</v>
      </c>
      <c r="E103">
        <v>7.6449999999999996</v>
      </c>
      <c r="F103">
        <v>1.476</v>
      </c>
      <c r="G103">
        <v>4.0919999999999996</v>
      </c>
      <c r="H103">
        <v>686</v>
      </c>
      <c r="I103">
        <v>1</v>
      </c>
      <c r="J103">
        <v>0</v>
      </c>
    </row>
    <row r="104" spans="1:10" x14ac:dyDescent="0.25">
      <c r="A104" t="s">
        <v>111</v>
      </c>
      <c r="B104" t="s">
        <v>89</v>
      </c>
      <c r="C104">
        <v>3.9E-2</v>
      </c>
      <c r="D104">
        <v>4.2000000000000003E-2</v>
      </c>
      <c r="E104">
        <v>7.0000000000000007E-2</v>
      </c>
      <c r="F104">
        <v>3.0000000000000001E-3</v>
      </c>
      <c r="G104">
        <v>4.3999999999999997E-2</v>
      </c>
      <c r="H104">
        <v>358</v>
      </c>
      <c r="I104">
        <v>0</v>
      </c>
      <c r="J104">
        <v>0</v>
      </c>
    </row>
    <row r="105" spans="1:10" x14ac:dyDescent="0.25">
      <c r="A105" t="s">
        <v>112</v>
      </c>
      <c r="B105" t="s">
        <v>89</v>
      </c>
      <c r="C105">
        <v>7.5999999999999998E-2</v>
      </c>
      <c r="D105">
        <v>1.0549999999999999</v>
      </c>
      <c r="E105">
        <v>3.0750000000000002</v>
      </c>
      <c r="F105">
        <v>0.81599999999999995</v>
      </c>
      <c r="G105">
        <v>2.1920000000000002</v>
      </c>
      <c r="H105">
        <v>131</v>
      </c>
      <c r="I105">
        <v>0</v>
      </c>
      <c r="J105">
        <v>0</v>
      </c>
    </row>
    <row r="106" spans="1:10" x14ac:dyDescent="0.25">
      <c r="A106" t="s">
        <v>113</v>
      </c>
      <c r="B106" t="s">
        <v>89</v>
      </c>
      <c r="C106">
        <v>3.7999999999999999E-2</v>
      </c>
      <c r="D106">
        <v>0.124</v>
      </c>
      <c r="E106">
        <v>1.9890000000000001</v>
      </c>
      <c r="F106">
        <v>0.26900000000000002</v>
      </c>
      <c r="G106">
        <v>0.21099999999999999</v>
      </c>
      <c r="H106">
        <v>360</v>
      </c>
      <c r="I106">
        <v>0</v>
      </c>
      <c r="J106">
        <v>0</v>
      </c>
    </row>
    <row r="107" spans="1:10" x14ac:dyDescent="0.25">
      <c r="A107" t="s">
        <v>114</v>
      </c>
      <c r="B107" t="s">
        <v>89</v>
      </c>
      <c r="C107">
        <v>8.4000000000000005E-2</v>
      </c>
      <c r="D107">
        <v>0.41199999999999998</v>
      </c>
      <c r="E107">
        <v>4.6230000000000002</v>
      </c>
      <c r="F107">
        <v>0.68400000000000005</v>
      </c>
      <c r="G107">
        <v>1.4490000000000001</v>
      </c>
      <c r="H107">
        <v>430</v>
      </c>
      <c r="I107">
        <v>1</v>
      </c>
      <c r="J107">
        <v>0</v>
      </c>
    </row>
    <row r="108" spans="1:10" x14ac:dyDescent="0.25">
      <c r="A108" t="s">
        <v>115</v>
      </c>
      <c r="B108" t="s">
        <v>89</v>
      </c>
      <c r="C108">
        <v>8.6999999999999994E-2</v>
      </c>
      <c r="D108">
        <v>0.499</v>
      </c>
      <c r="E108">
        <v>3.0979999999999999</v>
      </c>
      <c r="F108">
        <v>0.64400000000000002</v>
      </c>
      <c r="G108">
        <v>1.4810000000000001</v>
      </c>
      <c r="H108">
        <v>360</v>
      </c>
      <c r="I108">
        <v>0</v>
      </c>
      <c r="J108">
        <v>0</v>
      </c>
    </row>
    <row r="109" spans="1:10" x14ac:dyDescent="0.25">
      <c r="A109" t="s">
        <v>116</v>
      </c>
      <c r="B109" t="s">
        <v>89</v>
      </c>
      <c r="C109">
        <v>3.5000000000000003E-2</v>
      </c>
      <c r="D109">
        <v>7.9000000000000001E-2</v>
      </c>
      <c r="E109">
        <v>1.855</v>
      </c>
      <c r="F109">
        <v>0.23599999999999999</v>
      </c>
      <c r="G109">
        <v>3.7999999999999999E-2</v>
      </c>
      <c r="H109">
        <v>129</v>
      </c>
      <c r="I109">
        <v>0</v>
      </c>
      <c r="J109">
        <v>0</v>
      </c>
    </row>
    <row r="110" spans="1:10" x14ac:dyDescent="0.25">
      <c r="A110" t="s">
        <v>117</v>
      </c>
      <c r="B110" t="s">
        <v>89</v>
      </c>
      <c r="C110">
        <v>3.7999999999999999E-2</v>
      </c>
      <c r="D110">
        <v>0.105</v>
      </c>
      <c r="E110">
        <v>1.1220000000000001</v>
      </c>
      <c r="F110">
        <v>0.19800000000000001</v>
      </c>
      <c r="G110">
        <v>9.5000000000000001E-2</v>
      </c>
      <c r="H110">
        <v>96</v>
      </c>
      <c r="I110">
        <v>0</v>
      </c>
      <c r="J110">
        <v>0</v>
      </c>
    </row>
    <row r="111" spans="1:10" x14ac:dyDescent="0.25">
      <c r="A111" t="s">
        <v>118</v>
      </c>
      <c r="B111" t="s">
        <v>89</v>
      </c>
      <c r="C111">
        <v>3.9E-2</v>
      </c>
      <c r="D111">
        <v>0.251</v>
      </c>
      <c r="E111">
        <v>2.1520000000000001</v>
      </c>
      <c r="F111">
        <v>0.42</v>
      </c>
      <c r="G111">
        <v>0.78</v>
      </c>
      <c r="H111">
        <v>232</v>
      </c>
      <c r="I111">
        <v>0</v>
      </c>
      <c r="J111">
        <v>0</v>
      </c>
    </row>
    <row r="112" spans="1:10" x14ac:dyDescent="0.25">
      <c r="A112" t="s">
        <v>119</v>
      </c>
      <c r="B112" t="s">
        <v>89</v>
      </c>
      <c r="C112">
        <v>3.3000000000000002E-2</v>
      </c>
      <c r="D112">
        <v>4.9000000000000002E-2</v>
      </c>
      <c r="E112">
        <v>1.627</v>
      </c>
      <c r="F112">
        <v>0.13900000000000001</v>
      </c>
      <c r="G112">
        <v>0.04</v>
      </c>
      <c r="H112">
        <v>130</v>
      </c>
      <c r="I112">
        <v>0</v>
      </c>
      <c r="J112">
        <v>0</v>
      </c>
    </row>
    <row r="113" spans="1:10" x14ac:dyDescent="0.25">
      <c r="A113" t="s">
        <v>120</v>
      </c>
      <c r="B113" t="s">
        <v>89</v>
      </c>
      <c r="C113">
        <v>7.9000000000000001E-2</v>
      </c>
      <c r="D113">
        <v>0.38400000000000001</v>
      </c>
      <c r="E113">
        <v>2.9510000000000001</v>
      </c>
      <c r="F113">
        <v>0.59799999999999998</v>
      </c>
      <c r="G113">
        <v>1.329</v>
      </c>
      <c r="H113">
        <v>557</v>
      </c>
      <c r="I113">
        <v>0</v>
      </c>
      <c r="J113">
        <v>0</v>
      </c>
    </row>
    <row r="114" spans="1:10" x14ac:dyDescent="0.25">
      <c r="A114" t="s">
        <v>121</v>
      </c>
      <c r="B114" t="s">
        <v>89</v>
      </c>
      <c r="C114">
        <v>6.2E-2</v>
      </c>
      <c r="D114">
        <v>0.36699999999999999</v>
      </c>
      <c r="E114">
        <v>2.6829999999999998</v>
      </c>
      <c r="F114">
        <v>0.55700000000000005</v>
      </c>
      <c r="G114">
        <v>1.2629999999999999</v>
      </c>
      <c r="H114">
        <v>454</v>
      </c>
      <c r="I114">
        <v>0</v>
      </c>
      <c r="J114">
        <v>0</v>
      </c>
    </row>
    <row r="115" spans="1:10" x14ac:dyDescent="0.25">
      <c r="A115" t="s">
        <v>122</v>
      </c>
      <c r="B115" t="s">
        <v>89</v>
      </c>
      <c r="C115">
        <v>6.3E-2</v>
      </c>
      <c r="D115">
        <v>0.46100000000000002</v>
      </c>
      <c r="E115">
        <v>2.8180000000000001</v>
      </c>
      <c r="F115">
        <v>0.67</v>
      </c>
      <c r="G115">
        <v>1.669</v>
      </c>
      <c r="H115">
        <v>686</v>
      </c>
      <c r="I115">
        <v>0</v>
      </c>
      <c r="J115">
        <v>0</v>
      </c>
    </row>
    <row r="116" spans="1:10" x14ac:dyDescent="0.25">
      <c r="A116" t="s">
        <v>123</v>
      </c>
      <c r="B116" t="s">
        <v>89</v>
      </c>
      <c r="C116">
        <v>0.46400000000000002</v>
      </c>
      <c r="D116">
        <v>2.1070000000000002</v>
      </c>
      <c r="E116">
        <v>6.9349999999999996</v>
      </c>
      <c r="F116">
        <v>1.4350000000000001</v>
      </c>
      <c r="G116">
        <v>4.2350000000000003</v>
      </c>
      <c r="H116">
        <v>232</v>
      </c>
      <c r="I116">
        <v>0</v>
      </c>
      <c r="J116">
        <v>0</v>
      </c>
    </row>
    <row r="117" spans="1:10" x14ac:dyDescent="0.25">
      <c r="A117" t="s">
        <v>124</v>
      </c>
      <c r="B117" t="s">
        <v>89</v>
      </c>
      <c r="C117">
        <v>0.36499999999999999</v>
      </c>
      <c r="D117">
        <v>1.954</v>
      </c>
      <c r="E117">
        <v>7.2030000000000003</v>
      </c>
      <c r="F117">
        <v>1.61</v>
      </c>
      <c r="G117">
        <v>4.3040000000000003</v>
      </c>
      <c r="H117">
        <v>96</v>
      </c>
      <c r="I117">
        <v>0</v>
      </c>
      <c r="J117">
        <v>0</v>
      </c>
    </row>
    <row r="118" spans="1:10" x14ac:dyDescent="0.25">
      <c r="A118" t="s">
        <v>125</v>
      </c>
      <c r="B118" t="s">
        <v>89</v>
      </c>
      <c r="C118">
        <v>0.27400000000000002</v>
      </c>
      <c r="D118">
        <v>2.2170000000000001</v>
      </c>
      <c r="E118">
        <v>7.6440000000000001</v>
      </c>
      <c r="F118">
        <v>1.282</v>
      </c>
      <c r="G118">
        <v>3.7919999999999998</v>
      </c>
      <c r="H118">
        <v>132</v>
      </c>
      <c r="I118">
        <v>0</v>
      </c>
      <c r="J118">
        <v>0</v>
      </c>
    </row>
    <row r="119" spans="1:10" x14ac:dyDescent="0.25">
      <c r="A119" t="s">
        <v>126</v>
      </c>
      <c r="B119" t="s">
        <v>89</v>
      </c>
      <c r="C119">
        <v>0.32200000000000001</v>
      </c>
      <c r="D119">
        <v>1.7250000000000001</v>
      </c>
      <c r="E119">
        <v>6.516</v>
      </c>
      <c r="F119">
        <v>1.76</v>
      </c>
      <c r="G119">
        <v>4.3529999999999998</v>
      </c>
      <c r="H119">
        <v>67</v>
      </c>
      <c r="I119">
        <v>1</v>
      </c>
      <c r="J119">
        <v>0</v>
      </c>
    </row>
    <row r="120" spans="1:10" x14ac:dyDescent="0.25">
      <c r="A120" t="s">
        <v>127</v>
      </c>
      <c r="B120" t="s">
        <v>89</v>
      </c>
      <c r="C120">
        <v>0.38900000000000001</v>
      </c>
      <c r="D120">
        <v>1.3819999999999999</v>
      </c>
      <c r="E120">
        <v>7.1769999999999996</v>
      </c>
      <c r="F120">
        <v>1.3440000000000001</v>
      </c>
      <c r="G120">
        <v>3.2610000000000001</v>
      </c>
      <c r="H120">
        <v>128</v>
      </c>
      <c r="I120">
        <v>0</v>
      </c>
      <c r="J120">
        <v>0</v>
      </c>
    </row>
    <row r="121" spans="1:10" x14ac:dyDescent="0.25">
      <c r="A121" t="s">
        <v>128</v>
      </c>
      <c r="B121" t="s">
        <v>89</v>
      </c>
      <c r="C121">
        <v>0.32700000000000001</v>
      </c>
      <c r="D121">
        <v>1.673</v>
      </c>
      <c r="E121">
        <v>4.6310000000000002</v>
      </c>
      <c r="F121">
        <v>1.2749999999999999</v>
      </c>
      <c r="G121">
        <v>3.657</v>
      </c>
      <c r="H121">
        <v>31</v>
      </c>
      <c r="I121">
        <v>0</v>
      </c>
      <c r="J121">
        <v>0</v>
      </c>
    </row>
    <row r="122" spans="1:10" x14ac:dyDescent="0.25">
      <c r="A122" t="s">
        <v>129</v>
      </c>
      <c r="B122" t="s">
        <v>89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1</v>
      </c>
      <c r="I122">
        <v>0</v>
      </c>
      <c r="J122">
        <v>0</v>
      </c>
    </row>
    <row r="123" spans="1:10" x14ac:dyDescent="0.25">
      <c r="E123">
        <f>MAX(E105:E115)</f>
        <v>4.6230000000000002</v>
      </c>
    </row>
    <row r="124" spans="1:10" x14ac:dyDescent="0.25">
      <c r="A124" t="s">
        <v>131</v>
      </c>
      <c r="B124" t="s">
        <v>135</v>
      </c>
      <c r="D124" t="s">
        <v>132</v>
      </c>
      <c r="E124" t="s">
        <v>136</v>
      </c>
      <c r="H124">
        <v>0</v>
      </c>
    </row>
    <row r="125" spans="1:10" x14ac:dyDescent="0.25">
      <c r="A125" t="s">
        <v>111</v>
      </c>
      <c r="B125">
        <f>IF(E104&gt;2.5,1,0)</f>
        <v>0</v>
      </c>
      <c r="D125" t="s">
        <v>123</v>
      </c>
      <c r="E125">
        <f>IF(E116&gt;P2,1,0)</f>
        <v>0</v>
      </c>
    </row>
    <row r="126" spans="1:10" x14ac:dyDescent="0.25">
      <c r="A126" t="s">
        <v>112</v>
      </c>
      <c r="B126">
        <f t="shared" ref="B126:B136" si="29">IF(E105&gt;2.5,1,0)</f>
        <v>1</v>
      </c>
      <c r="D126" t="s">
        <v>124</v>
      </c>
      <c r="E126">
        <f t="shared" ref="E126:E127" si="30">IF(E117&gt;P3,1,0)</f>
        <v>0</v>
      </c>
      <c r="G126" s="73" t="s">
        <v>139</v>
      </c>
      <c r="H126" s="74">
        <f>SUM(H104:H121)</f>
        <v>4609</v>
      </c>
    </row>
    <row r="127" spans="1:10" x14ac:dyDescent="0.25">
      <c r="A127" t="s">
        <v>113</v>
      </c>
      <c r="B127">
        <f t="shared" si="29"/>
        <v>0</v>
      </c>
      <c r="D127" t="s">
        <v>125</v>
      </c>
      <c r="E127">
        <f t="shared" si="30"/>
        <v>0</v>
      </c>
      <c r="G127" t="s">
        <v>142</v>
      </c>
      <c r="H127">
        <f>SUM(H116:H121)*3</f>
        <v>2058</v>
      </c>
    </row>
    <row r="128" spans="1:10" ht="15.75" x14ac:dyDescent="0.25">
      <c r="A128" t="s">
        <v>114</v>
      </c>
      <c r="B128">
        <f t="shared" si="29"/>
        <v>1</v>
      </c>
      <c r="D128" t="s">
        <v>126</v>
      </c>
      <c r="E128">
        <f>IF(E119&gt;P7,1,0)</f>
        <v>0</v>
      </c>
      <c r="G128" s="78" t="s">
        <v>143</v>
      </c>
      <c r="H128">
        <f>SUM(H104:H115)*3</f>
        <v>11769</v>
      </c>
      <c r="I128">
        <f>H128/2944*100</f>
        <v>399.76222826086956</v>
      </c>
    </row>
    <row r="129" spans="1:10" x14ac:dyDescent="0.25">
      <c r="A129" t="s">
        <v>115</v>
      </c>
      <c r="B129">
        <f t="shared" si="29"/>
        <v>1</v>
      </c>
      <c r="D129" t="s">
        <v>127</v>
      </c>
      <c r="E129">
        <f>IF(E120&gt;P5,1,0)</f>
        <v>0</v>
      </c>
    </row>
    <row r="130" spans="1:10" x14ac:dyDescent="0.25">
      <c r="A130" t="s">
        <v>116</v>
      </c>
      <c r="B130">
        <f t="shared" si="29"/>
        <v>0</v>
      </c>
      <c r="D130" t="s">
        <v>128</v>
      </c>
      <c r="E130">
        <f>IF(E121&gt;P6,1,0)</f>
        <v>0</v>
      </c>
    </row>
    <row r="131" spans="1:10" x14ac:dyDescent="0.25">
      <c r="A131" t="s">
        <v>117</v>
      </c>
      <c r="B131">
        <f t="shared" si="29"/>
        <v>0</v>
      </c>
      <c r="D131" t="s">
        <v>133</v>
      </c>
      <c r="E131" t="b">
        <f>K118=SUM(E125,E130)</f>
        <v>1</v>
      </c>
      <c r="G131" s="73" t="s">
        <v>141</v>
      </c>
      <c r="H131" t="s">
        <v>130</v>
      </c>
    </row>
    <row r="132" spans="1:10" x14ac:dyDescent="0.25">
      <c r="A132" t="s">
        <v>118</v>
      </c>
      <c r="B132">
        <f t="shared" si="29"/>
        <v>0</v>
      </c>
    </row>
    <row r="133" spans="1:10" x14ac:dyDescent="0.25">
      <c r="A133" t="s">
        <v>119</v>
      </c>
      <c r="B133">
        <f t="shared" si="29"/>
        <v>0</v>
      </c>
    </row>
    <row r="134" spans="1:10" x14ac:dyDescent="0.25">
      <c r="A134" t="s">
        <v>120</v>
      </c>
      <c r="B134">
        <f t="shared" si="29"/>
        <v>1</v>
      </c>
    </row>
    <row r="135" spans="1:10" x14ac:dyDescent="0.25">
      <c r="A135" t="s">
        <v>121</v>
      </c>
      <c r="B135">
        <f t="shared" si="29"/>
        <v>1</v>
      </c>
    </row>
    <row r="136" spans="1:10" x14ac:dyDescent="0.25">
      <c r="A136" t="s">
        <v>122</v>
      </c>
      <c r="B136">
        <f t="shared" si="29"/>
        <v>1</v>
      </c>
    </row>
    <row r="137" spans="1:10" x14ac:dyDescent="0.25">
      <c r="A137" t="s">
        <v>133</v>
      </c>
      <c r="B137" t="b">
        <f>H124=SUM(B125,B136)</f>
        <v>0</v>
      </c>
    </row>
    <row r="141" spans="1:10" x14ac:dyDescent="0.25">
      <c r="A141" s="73" t="s">
        <v>134</v>
      </c>
    </row>
    <row r="142" spans="1:10" x14ac:dyDescent="0.25">
      <c r="A142" t="s">
        <v>110</v>
      </c>
      <c r="B142" t="s">
        <v>89</v>
      </c>
      <c r="C142">
        <v>0.27800000000000002</v>
      </c>
      <c r="D142">
        <v>0.42299999999999999</v>
      </c>
      <c r="E142">
        <v>1.123</v>
      </c>
      <c r="F142">
        <v>9.4E-2</v>
      </c>
      <c r="G142">
        <v>0.53200000000000003</v>
      </c>
      <c r="H142">
        <v>512</v>
      </c>
      <c r="I142">
        <v>1</v>
      </c>
      <c r="J142">
        <v>0</v>
      </c>
    </row>
    <row r="143" spans="1:10" x14ac:dyDescent="0.25">
      <c r="A143" t="s">
        <v>111</v>
      </c>
      <c r="B143" t="s">
        <v>89</v>
      </c>
      <c r="C143">
        <v>0.04</v>
      </c>
      <c r="D143">
        <v>4.2000000000000003E-2</v>
      </c>
      <c r="E143">
        <v>0.06</v>
      </c>
      <c r="F143">
        <v>3.0000000000000001E-3</v>
      </c>
      <c r="G143">
        <v>4.3999999999999997E-2</v>
      </c>
      <c r="H143">
        <v>268</v>
      </c>
      <c r="I143">
        <v>0</v>
      </c>
      <c r="J143">
        <v>0</v>
      </c>
    </row>
    <row r="144" spans="1:10" x14ac:dyDescent="0.25">
      <c r="A144" t="s">
        <v>112</v>
      </c>
      <c r="B144" t="s">
        <v>89</v>
      </c>
      <c r="C144">
        <v>7.6999999999999999E-2</v>
      </c>
      <c r="D144">
        <v>0.09</v>
      </c>
      <c r="E144">
        <v>0.42199999999999999</v>
      </c>
      <c r="F144">
        <v>4.7E-2</v>
      </c>
      <c r="G144">
        <v>9.4E-2</v>
      </c>
      <c r="H144">
        <v>96</v>
      </c>
      <c r="I144">
        <v>0</v>
      </c>
      <c r="J144">
        <v>0</v>
      </c>
    </row>
    <row r="145" spans="1:10" x14ac:dyDescent="0.25">
      <c r="A145" t="s">
        <v>113</v>
      </c>
      <c r="B145" t="s">
        <v>89</v>
      </c>
      <c r="C145">
        <v>3.9E-2</v>
      </c>
      <c r="D145">
        <v>4.1000000000000002E-2</v>
      </c>
      <c r="E145">
        <v>6.3E-2</v>
      </c>
      <c r="F145">
        <v>3.0000000000000001E-3</v>
      </c>
      <c r="G145">
        <v>4.3999999999999997E-2</v>
      </c>
      <c r="H145">
        <v>270</v>
      </c>
      <c r="I145">
        <v>0</v>
      </c>
      <c r="J145">
        <v>0</v>
      </c>
    </row>
    <row r="146" spans="1:10" x14ac:dyDescent="0.25">
      <c r="A146" t="s">
        <v>114</v>
      </c>
      <c r="B146" t="s">
        <v>89</v>
      </c>
      <c r="C146">
        <v>7.9000000000000001E-2</v>
      </c>
      <c r="D146">
        <v>0.121</v>
      </c>
      <c r="E146">
        <v>0.14199999999999999</v>
      </c>
      <c r="F146">
        <v>8.0000000000000002E-3</v>
      </c>
      <c r="G146">
        <v>0.127</v>
      </c>
      <c r="H146">
        <v>321</v>
      </c>
      <c r="I146">
        <v>1</v>
      </c>
      <c r="J146">
        <v>0</v>
      </c>
    </row>
    <row r="147" spans="1:10" x14ac:dyDescent="0.25">
      <c r="A147" t="s">
        <v>115</v>
      </c>
      <c r="B147" t="s">
        <v>89</v>
      </c>
      <c r="C147">
        <v>7.8E-2</v>
      </c>
      <c r="D147">
        <v>0.12</v>
      </c>
      <c r="E147">
        <v>0.71699999999999997</v>
      </c>
      <c r="F147">
        <v>3.7999999999999999E-2</v>
      </c>
      <c r="G147">
        <v>0.124</v>
      </c>
      <c r="H147">
        <v>269</v>
      </c>
      <c r="I147">
        <v>0</v>
      </c>
      <c r="J147">
        <v>0</v>
      </c>
    </row>
    <row r="148" spans="1:10" x14ac:dyDescent="0.25">
      <c r="A148" t="s">
        <v>116</v>
      </c>
      <c r="B148" t="s">
        <v>89</v>
      </c>
      <c r="C148">
        <v>3.5000000000000003E-2</v>
      </c>
      <c r="D148">
        <v>3.6999999999999998E-2</v>
      </c>
      <c r="E148">
        <v>5.6000000000000001E-2</v>
      </c>
      <c r="F148">
        <v>2E-3</v>
      </c>
      <c r="G148">
        <v>3.7999999999999999E-2</v>
      </c>
      <c r="H148">
        <v>96</v>
      </c>
      <c r="I148">
        <v>0</v>
      </c>
      <c r="J148">
        <v>0</v>
      </c>
    </row>
    <row r="149" spans="1:10" x14ac:dyDescent="0.25">
      <c r="A149" t="s">
        <v>117</v>
      </c>
      <c r="B149" t="s">
        <v>89</v>
      </c>
      <c r="C149">
        <v>3.9E-2</v>
      </c>
      <c r="D149">
        <v>4.7E-2</v>
      </c>
      <c r="E149">
        <v>7.0000000000000007E-2</v>
      </c>
      <c r="F149">
        <v>5.0000000000000001E-3</v>
      </c>
      <c r="G149">
        <v>4.9000000000000002E-2</v>
      </c>
      <c r="H149">
        <v>72</v>
      </c>
      <c r="I149">
        <v>0</v>
      </c>
      <c r="J149">
        <v>0</v>
      </c>
    </row>
    <row r="150" spans="1:10" x14ac:dyDescent="0.25">
      <c r="A150" t="s">
        <v>118</v>
      </c>
      <c r="B150" t="s">
        <v>89</v>
      </c>
      <c r="C150">
        <v>0.04</v>
      </c>
      <c r="D150">
        <v>4.1000000000000002E-2</v>
      </c>
      <c r="E150">
        <v>5.3999999999999999E-2</v>
      </c>
      <c r="F150">
        <v>2E-3</v>
      </c>
      <c r="G150">
        <v>4.2000000000000003E-2</v>
      </c>
      <c r="H150">
        <v>173</v>
      </c>
      <c r="I150">
        <v>0</v>
      </c>
      <c r="J150">
        <v>0</v>
      </c>
    </row>
    <row r="151" spans="1:10" x14ac:dyDescent="0.25">
      <c r="A151" t="s">
        <v>119</v>
      </c>
      <c r="B151" t="s">
        <v>89</v>
      </c>
      <c r="C151">
        <v>3.4000000000000002E-2</v>
      </c>
      <c r="D151">
        <v>3.5000000000000003E-2</v>
      </c>
      <c r="E151">
        <v>3.9E-2</v>
      </c>
      <c r="F151">
        <v>1E-3</v>
      </c>
      <c r="G151">
        <v>3.6999999999999998E-2</v>
      </c>
      <c r="H151">
        <v>96</v>
      </c>
      <c r="I151">
        <v>0</v>
      </c>
      <c r="J151">
        <v>0</v>
      </c>
    </row>
    <row r="152" spans="1:10" x14ac:dyDescent="0.25">
      <c r="A152" t="s">
        <v>120</v>
      </c>
      <c r="B152" t="s">
        <v>89</v>
      </c>
      <c r="C152">
        <v>7.9000000000000001E-2</v>
      </c>
      <c r="D152">
        <v>9.4E-2</v>
      </c>
      <c r="E152">
        <v>0.127</v>
      </c>
      <c r="F152">
        <v>5.0000000000000001E-3</v>
      </c>
      <c r="G152">
        <v>9.5000000000000001E-2</v>
      </c>
      <c r="H152">
        <v>417</v>
      </c>
      <c r="I152">
        <v>0</v>
      </c>
      <c r="J152">
        <v>0</v>
      </c>
    </row>
    <row r="153" spans="1:10" x14ac:dyDescent="0.25">
      <c r="A153" t="s">
        <v>121</v>
      </c>
      <c r="B153" t="s">
        <v>89</v>
      </c>
      <c r="C153">
        <v>6.2E-2</v>
      </c>
      <c r="D153">
        <v>6.6000000000000003E-2</v>
      </c>
      <c r="E153">
        <v>0.1</v>
      </c>
      <c r="F153">
        <v>5.0000000000000001E-3</v>
      </c>
      <c r="G153">
        <v>7.0999999999999994E-2</v>
      </c>
      <c r="H153">
        <v>339</v>
      </c>
      <c r="I153">
        <v>0</v>
      </c>
      <c r="J153">
        <v>0</v>
      </c>
    </row>
    <row r="154" spans="1:10" x14ac:dyDescent="0.25">
      <c r="A154" t="s">
        <v>122</v>
      </c>
      <c r="B154" t="s">
        <v>89</v>
      </c>
      <c r="C154">
        <v>6.4000000000000001E-2</v>
      </c>
      <c r="D154">
        <v>6.8000000000000005E-2</v>
      </c>
      <c r="E154">
        <v>0.1</v>
      </c>
      <c r="F154">
        <v>5.0000000000000001E-3</v>
      </c>
      <c r="G154">
        <v>7.2999999999999995E-2</v>
      </c>
      <c r="H154">
        <v>514</v>
      </c>
      <c r="I154">
        <v>0</v>
      </c>
      <c r="J154">
        <v>0</v>
      </c>
    </row>
    <row r="155" spans="1:10" x14ac:dyDescent="0.25">
      <c r="A155" t="s">
        <v>123</v>
      </c>
      <c r="B155" t="s">
        <v>89</v>
      </c>
      <c r="C155">
        <v>0.47499999999999998</v>
      </c>
      <c r="D155">
        <v>0.52600000000000002</v>
      </c>
      <c r="E155">
        <v>1.123</v>
      </c>
      <c r="F155">
        <v>4.8000000000000001E-2</v>
      </c>
      <c r="G155">
        <v>0.54200000000000004</v>
      </c>
      <c r="H155">
        <v>173</v>
      </c>
      <c r="I155">
        <v>1</v>
      </c>
      <c r="J155">
        <v>0</v>
      </c>
    </row>
    <row r="156" spans="1:10" x14ac:dyDescent="0.25">
      <c r="A156" t="s">
        <v>124</v>
      </c>
      <c r="B156" t="s">
        <v>89</v>
      </c>
      <c r="C156">
        <v>0.35099999999999998</v>
      </c>
      <c r="D156">
        <v>0.39800000000000002</v>
      </c>
      <c r="E156">
        <v>0.47099999999999997</v>
      </c>
      <c r="F156">
        <v>1.7000000000000001E-2</v>
      </c>
      <c r="G156">
        <v>0.41199999999999998</v>
      </c>
      <c r="H156">
        <v>72</v>
      </c>
      <c r="I156">
        <v>0</v>
      </c>
      <c r="J156">
        <v>0</v>
      </c>
    </row>
    <row r="157" spans="1:10" x14ac:dyDescent="0.25">
      <c r="A157" t="s">
        <v>125</v>
      </c>
      <c r="B157" t="s">
        <v>89</v>
      </c>
      <c r="C157">
        <v>0.27800000000000002</v>
      </c>
      <c r="D157">
        <v>0.29499999999999998</v>
      </c>
      <c r="E157">
        <v>0.623</v>
      </c>
      <c r="F157">
        <v>4.7E-2</v>
      </c>
      <c r="G157">
        <v>0.30299999999999999</v>
      </c>
      <c r="H157">
        <v>96</v>
      </c>
      <c r="I157">
        <v>0</v>
      </c>
      <c r="J157">
        <v>0</v>
      </c>
    </row>
    <row r="158" spans="1:10" x14ac:dyDescent="0.25">
      <c r="A158" t="s">
        <v>126</v>
      </c>
      <c r="B158" t="s">
        <v>89</v>
      </c>
      <c r="C158">
        <v>0.33600000000000002</v>
      </c>
      <c r="D158">
        <v>0.35299999999999998</v>
      </c>
      <c r="E158">
        <v>0.40500000000000003</v>
      </c>
      <c r="F158">
        <v>1.0999999999999999E-2</v>
      </c>
      <c r="G158">
        <v>0.36499999999999999</v>
      </c>
      <c r="H158">
        <v>51</v>
      </c>
      <c r="I158">
        <v>0</v>
      </c>
      <c r="J158">
        <v>0</v>
      </c>
    </row>
    <row r="159" spans="1:10" x14ac:dyDescent="0.25">
      <c r="A159" t="s">
        <v>127</v>
      </c>
      <c r="B159" t="s">
        <v>89</v>
      </c>
      <c r="C159">
        <v>0.39500000000000002</v>
      </c>
      <c r="D159">
        <v>0.437</v>
      </c>
      <c r="E159">
        <v>0.48199999999999998</v>
      </c>
      <c r="F159">
        <v>1.7000000000000001E-2</v>
      </c>
      <c r="G159">
        <v>0.46</v>
      </c>
      <c r="H159">
        <v>96</v>
      </c>
      <c r="I159">
        <v>0</v>
      </c>
      <c r="J159">
        <v>0</v>
      </c>
    </row>
    <row r="160" spans="1:10" x14ac:dyDescent="0.25">
      <c r="A160" t="s">
        <v>128</v>
      </c>
      <c r="B160" t="s">
        <v>89</v>
      </c>
      <c r="C160">
        <v>0.33500000000000002</v>
      </c>
      <c r="D160">
        <v>0.35199999999999998</v>
      </c>
      <c r="E160">
        <v>0.375</v>
      </c>
      <c r="F160">
        <v>8.0000000000000002E-3</v>
      </c>
      <c r="G160">
        <v>0.36499999999999999</v>
      </c>
      <c r="H160">
        <v>24</v>
      </c>
      <c r="I160">
        <v>0</v>
      </c>
      <c r="J160">
        <v>0</v>
      </c>
    </row>
    <row r="161" spans="1:9" x14ac:dyDescent="0.25">
      <c r="C161">
        <f>MIN(C143:C154)</f>
        <v>3.4000000000000002E-2</v>
      </c>
      <c r="E161">
        <f>MAX(E143:E154)</f>
        <v>0.71699999999999997</v>
      </c>
    </row>
    <row r="163" spans="1:9" x14ac:dyDescent="0.25">
      <c r="A163" t="s">
        <v>131</v>
      </c>
      <c r="B163" t="s">
        <v>135</v>
      </c>
      <c r="D163" t="s">
        <v>132</v>
      </c>
      <c r="E163" t="s">
        <v>136</v>
      </c>
    </row>
    <row r="164" spans="1:9" ht="15.75" x14ac:dyDescent="0.25">
      <c r="A164" t="s">
        <v>111</v>
      </c>
      <c r="B164">
        <f>IF(E143&gt;2.5,1,0)</f>
        <v>0</v>
      </c>
      <c r="D164" t="s">
        <v>123</v>
      </c>
      <c r="E164">
        <f>IF(E155&gt;P2,1,0)</f>
        <v>0</v>
      </c>
      <c r="G164" s="80" t="s">
        <v>143</v>
      </c>
      <c r="H164">
        <f>SUM(H143:H154)*3</f>
        <v>8793</v>
      </c>
      <c r="I164">
        <f>8793/2944*100</f>
        <v>298.67527173913044</v>
      </c>
    </row>
    <row r="165" spans="1:9" x14ac:dyDescent="0.25">
      <c r="A165" t="s">
        <v>112</v>
      </c>
      <c r="B165">
        <f t="shared" ref="B165:B174" si="31">IF(E144&gt;2.5,1,0)</f>
        <v>0</v>
      </c>
      <c r="D165" t="s">
        <v>124</v>
      </c>
      <c r="E165">
        <f t="shared" ref="E165:E166" si="32">IF(E156&gt;P3,1,0)</f>
        <v>0</v>
      </c>
      <c r="G165" s="73" t="s">
        <v>142</v>
      </c>
      <c r="H165">
        <f>SUM(H155:H160)*3</f>
        <v>1536</v>
      </c>
    </row>
    <row r="166" spans="1:9" x14ac:dyDescent="0.25">
      <c r="A166" t="s">
        <v>113</v>
      </c>
      <c r="B166">
        <f t="shared" si="31"/>
        <v>0</v>
      </c>
      <c r="D166" t="s">
        <v>125</v>
      </c>
      <c r="E166">
        <f t="shared" si="32"/>
        <v>0</v>
      </c>
    </row>
    <row r="167" spans="1:9" x14ac:dyDescent="0.25">
      <c r="A167" t="s">
        <v>114</v>
      </c>
      <c r="B167">
        <f t="shared" si="31"/>
        <v>0</v>
      </c>
      <c r="D167" t="s">
        <v>126</v>
      </c>
      <c r="E167">
        <f>IF(E158&gt;P7,1,0)</f>
        <v>0</v>
      </c>
    </row>
    <row r="168" spans="1:9" x14ac:dyDescent="0.25">
      <c r="A168" t="s">
        <v>115</v>
      </c>
      <c r="B168">
        <f t="shared" si="31"/>
        <v>0</v>
      </c>
      <c r="D168" t="s">
        <v>127</v>
      </c>
      <c r="E168">
        <f>IF(E159&gt;P5,1,0)</f>
        <v>0</v>
      </c>
    </row>
    <row r="169" spans="1:9" x14ac:dyDescent="0.25">
      <c r="A169" t="s">
        <v>116</v>
      </c>
      <c r="B169">
        <f t="shared" si="31"/>
        <v>0</v>
      </c>
      <c r="D169" t="s">
        <v>128</v>
      </c>
      <c r="E169">
        <f>IF(E160&gt;P6,1,0)</f>
        <v>0</v>
      </c>
    </row>
    <row r="170" spans="1:9" x14ac:dyDescent="0.25">
      <c r="A170" t="s">
        <v>117</v>
      </c>
      <c r="B170">
        <f t="shared" si="31"/>
        <v>0</v>
      </c>
      <c r="D170" t="s">
        <v>133</v>
      </c>
      <c r="E170" t="b">
        <f>K157=SUM(E164,E169)</f>
        <v>1</v>
      </c>
    </row>
    <row r="171" spans="1:9" x14ac:dyDescent="0.25">
      <c r="A171" t="s">
        <v>118</v>
      </c>
      <c r="B171">
        <f t="shared" si="31"/>
        <v>0</v>
      </c>
    </row>
    <row r="172" spans="1:9" x14ac:dyDescent="0.25">
      <c r="A172" t="s">
        <v>119</v>
      </c>
      <c r="B172">
        <f t="shared" si="31"/>
        <v>0</v>
      </c>
    </row>
    <row r="173" spans="1:9" x14ac:dyDescent="0.25">
      <c r="A173" t="s">
        <v>120</v>
      </c>
      <c r="B173">
        <f t="shared" si="31"/>
        <v>0</v>
      </c>
    </row>
    <row r="174" spans="1:9" x14ac:dyDescent="0.25">
      <c r="A174" t="s">
        <v>121</v>
      </c>
      <c r="B174">
        <f t="shared" si="31"/>
        <v>0</v>
      </c>
    </row>
    <row r="175" spans="1:9" x14ac:dyDescent="0.25">
      <c r="A175" t="s">
        <v>122</v>
      </c>
      <c r="B175">
        <f>IF(E154&gt;2.5,1,0)</f>
        <v>0</v>
      </c>
    </row>
    <row r="176" spans="1:9" x14ac:dyDescent="0.25">
      <c r="A176" t="s">
        <v>133</v>
      </c>
      <c r="B176" t="b">
        <f>H163=SUM(B164,B175)</f>
        <v>1</v>
      </c>
    </row>
    <row r="179" spans="1:10" x14ac:dyDescent="0.25">
      <c r="A179" s="73" t="s">
        <v>144</v>
      </c>
    </row>
    <row r="180" spans="1:10" x14ac:dyDescent="0.25">
      <c r="A180" t="s">
        <v>110</v>
      </c>
      <c r="B180" t="s">
        <v>89</v>
      </c>
      <c r="C180">
        <v>0.27400000000000002</v>
      </c>
      <c r="D180">
        <v>0.41599999999999998</v>
      </c>
      <c r="E180">
        <v>0.996</v>
      </c>
      <c r="F180">
        <v>9.2999999999999999E-2</v>
      </c>
      <c r="G180">
        <v>0.53300000000000003</v>
      </c>
      <c r="H180" t="s">
        <v>137</v>
      </c>
      <c r="I180">
        <v>12</v>
      </c>
      <c r="J180">
        <v>0</v>
      </c>
    </row>
    <row r="181" spans="1:10" x14ac:dyDescent="0.25">
      <c r="A181" t="s">
        <v>111</v>
      </c>
      <c r="B181" t="s">
        <v>89</v>
      </c>
      <c r="C181">
        <v>3.9E-2</v>
      </c>
      <c r="D181">
        <v>4.2000000000000003E-2</v>
      </c>
      <c r="E181">
        <v>8.7999999999999995E-2</v>
      </c>
      <c r="F181">
        <v>4.0000000000000001E-3</v>
      </c>
      <c r="G181">
        <v>4.4999999999999998E-2</v>
      </c>
      <c r="H181">
        <v>807</v>
      </c>
      <c r="I181">
        <v>0</v>
      </c>
      <c r="J181">
        <v>0</v>
      </c>
    </row>
    <row r="182" spans="1:10" x14ac:dyDescent="0.25">
      <c r="A182" t="s">
        <v>112</v>
      </c>
      <c r="B182" t="s">
        <v>89</v>
      </c>
      <c r="C182">
        <v>7.5999999999999998E-2</v>
      </c>
      <c r="D182">
        <v>8.2000000000000003E-2</v>
      </c>
      <c r="E182">
        <v>0.126</v>
      </c>
      <c r="F182">
        <v>7.0000000000000001E-3</v>
      </c>
      <c r="G182">
        <v>9.2999999999999999E-2</v>
      </c>
      <c r="H182">
        <v>291</v>
      </c>
      <c r="I182">
        <v>0</v>
      </c>
      <c r="J182">
        <v>0</v>
      </c>
    </row>
    <row r="183" spans="1:10" x14ac:dyDescent="0.25">
      <c r="A183" t="s">
        <v>113</v>
      </c>
      <c r="B183" t="s">
        <v>89</v>
      </c>
      <c r="C183">
        <v>3.9E-2</v>
      </c>
      <c r="D183">
        <v>4.1000000000000002E-2</v>
      </c>
      <c r="E183">
        <v>8.3000000000000004E-2</v>
      </c>
      <c r="F183">
        <v>4.0000000000000001E-3</v>
      </c>
      <c r="G183">
        <v>4.3999999999999997E-2</v>
      </c>
      <c r="H183">
        <v>807</v>
      </c>
      <c r="I183">
        <v>0</v>
      </c>
      <c r="J183">
        <v>0</v>
      </c>
    </row>
    <row r="184" spans="1:10" x14ac:dyDescent="0.25">
      <c r="A184" t="s">
        <v>114</v>
      </c>
      <c r="B184" t="s">
        <v>89</v>
      </c>
      <c r="C184">
        <v>8.1000000000000003E-2</v>
      </c>
      <c r="D184">
        <v>0.11899999999999999</v>
      </c>
      <c r="E184">
        <v>0.14299999999999999</v>
      </c>
      <c r="F184">
        <v>8.0000000000000002E-3</v>
      </c>
      <c r="G184">
        <v>0.127</v>
      </c>
      <c r="H184">
        <v>961</v>
      </c>
      <c r="I184">
        <v>3</v>
      </c>
      <c r="J184">
        <v>0</v>
      </c>
    </row>
    <row r="185" spans="1:10" x14ac:dyDescent="0.25">
      <c r="A185" t="s">
        <v>115</v>
      </c>
      <c r="B185" t="s">
        <v>89</v>
      </c>
      <c r="C185">
        <v>0.1</v>
      </c>
      <c r="D185">
        <v>0.11799999999999999</v>
      </c>
      <c r="E185">
        <v>0.17199999999999999</v>
      </c>
      <c r="F185">
        <v>8.9999999999999993E-3</v>
      </c>
      <c r="G185">
        <v>0.127</v>
      </c>
      <c r="H185">
        <v>803</v>
      </c>
      <c r="I185">
        <v>3</v>
      </c>
      <c r="J185">
        <v>0</v>
      </c>
    </row>
    <row r="186" spans="1:10" x14ac:dyDescent="0.25">
      <c r="A186" t="s">
        <v>116</v>
      </c>
      <c r="B186" t="s">
        <v>89</v>
      </c>
      <c r="C186">
        <v>3.5000000000000003E-2</v>
      </c>
      <c r="D186">
        <v>3.6999999999999998E-2</v>
      </c>
      <c r="E186">
        <v>5.0999999999999997E-2</v>
      </c>
      <c r="F186">
        <v>3.0000000000000001E-3</v>
      </c>
      <c r="G186">
        <v>3.9E-2</v>
      </c>
      <c r="H186">
        <v>291</v>
      </c>
      <c r="I186">
        <v>0</v>
      </c>
      <c r="J186">
        <v>0</v>
      </c>
    </row>
    <row r="187" spans="1:10" x14ac:dyDescent="0.25">
      <c r="A187" t="s">
        <v>117</v>
      </c>
      <c r="B187" t="s">
        <v>89</v>
      </c>
      <c r="C187">
        <v>0.04</v>
      </c>
      <c r="D187">
        <v>5.5E-2</v>
      </c>
      <c r="E187">
        <v>9.9000000000000005E-2</v>
      </c>
      <c r="F187">
        <v>6.0000000000000001E-3</v>
      </c>
      <c r="G187">
        <v>0.06</v>
      </c>
      <c r="H187">
        <v>212</v>
      </c>
      <c r="I187">
        <v>3</v>
      </c>
      <c r="J187">
        <v>0</v>
      </c>
    </row>
    <row r="188" spans="1:10" x14ac:dyDescent="0.25">
      <c r="A188" t="s">
        <v>118</v>
      </c>
      <c r="B188" t="s">
        <v>89</v>
      </c>
      <c r="C188">
        <v>3.9E-2</v>
      </c>
      <c r="D188">
        <v>4.2000000000000003E-2</v>
      </c>
      <c r="E188">
        <v>7.8E-2</v>
      </c>
      <c r="F188">
        <v>3.0000000000000001E-3</v>
      </c>
      <c r="G188">
        <v>4.3999999999999997E-2</v>
      </c>
      <c r="H188">
        <v>521</v>
      </c>
      <c r="I188">
        <v>0</v>
      </c>
      <c r="J188">
        <v>0</v>
      </c>
    </row>
    <row r="189" spans="1:10" x14ac:dyDescent="0.25">
      <c r="A189" t="s">
        <v>119</v>
      </c>
      <c r="B189" t="s">
        <v>89</v>
      </c>
      <c r="C189">
        <v>3.4000000000000002E-2</v>
      </c>
      <c r="D189">
        <v>3.5999999999999997E-2</v>
      </c>
      <c r="E189">
        <v>5.8999999999999997E-2</v>
      </c>
      <c r="F189">
        <v>3.0000000000000001E-3</v>
      </c>
      <c r="G189">
        <v>3.7999999999999999E-2</v>
      </c>
      <c r="H189">
        <v>291</v>
      </c>
      <c r="I189">
        <v>0</v>
      </c>
      <c r="J189">
        <v>0</v>
      </c>
    </row>
    <row r="190" spans="1:10" x14ac:dyDescent="0.25">
      <c r="A190" t="s">
        <v>120</v>
      </c>
      <c r="B190" t="s">
        <v>89</v>
      </c>
      <c r="C190">
        <v>7.9000000000000001E-2</v>
      </c>
      <c r="D190">
        <v>9.2999999999999999E-2</v>
      </c>
      <c r="E190">
        <v>0.56000000000000005</v>
      </c>
      <c r="F190">
        <v>1.4999999999999999E-2</v>
      </c>
      <c r="G190">
        <v>9.5000000000000001E-2</v>
      </c>
      <c r="H190" s="79">
        <v>1252</v>
      </c>
      <c r="I190">
        <v>3</v>
      </c>
      <c r="J190">
        <v>0</v>
      </c>
    </row>
    <row r="191" spans="1:10" x14ac:dyDescent="0.25">
      <c r="A191" t="s">
        <v>121</v>
      </c>
      <c r="B191" t="s">
        <v>89</v>
      </c>
      <c r="C191">
        <v>6.0999999999999999E-2</v>
      </c>
      <c r="D191">
        <v>6.4000000000000001E-2</v>
      </c>
      <c r="E191">
        <v>9.5000000000000001E-2</v>
      </c>
      <c r="F191">
        <v>4.0000000000000001E-3</v>
      </c>
      <c r="G191">
        <v>6.7000000000000004E-2</v>
      </c>
      <c r="H191" s="79">
        <v>1014</v>
      </c>
      <c r="I191">
        <v>0</v>
      </c>
      <c r="J191">
        <v>0</v>
      </c>
    </row>
    <row r="192" spans="1:10" x14ac:dyDescent="0.25">
      <c r="A192" t="s">
        <v>122</v>
      </c>
      <c r="B192" t="s">
        <v>89</v>
      </c>
      <c r="C192">
        <v>6.3E-2</v>
      </c>
      <c r="D192">
        <v>6.7000000000000004E-2</v>
      </c>
      <c r="E192">
        <v>0.11799999999999999</v>
      </c>
      <c r="F192">
        <v>4.0000000000000001E-3</v>
      </c>
      <c r="G192">
        <v>6.9000000000000006E-2</v>
      </c>
      <c r="H192" s="79">
        <v>1544</v>
      </c>
      <c r="I192">
        <v>0</v>
      </c>
      <c r="J192">
        <v>0</v>
      </c>
    </row>
    <row r="193" spans="1:10" x14ac:dyDescent="0.25">
      <c r="A193" t="s">
        <v>123</v>
      </c>
      <c r="B193" t="s">
        <v>89</v>
      </c>
      <c r="C193">
        <v>0.46899999999999997</v>
      </c>
      <c r="D193">
        <v>0.52800000000000002</v>
      </c>
      <c r="E193">
        <v>0.996</v>
      </c>
      <c r="F193">
        <v>2.5999999999999999E-2</v>
      </c>
      <c r="G193">
        <v>0.54500000000000004</v>
      </c>
      <c r="H193">
        <v>518</v>
      </c>
      <c r="I193">
        <v>4</v>
      </c>
      <c r="J193">
        <v>0</v>
      </c>
    </row>
    <row r="194" spans="1:10" x14ac:dyDescent="0.25">
      <c r="A194" t="s">
        <v>124</v>
      </c>
      <c r="B194" t="s">
        <v>89</v>
      </c>
      <c r="C194">
        <v>0.35699999999999998</v>
      </c>
      <c r="D194">
        <v>0.39100000000000001</v>
      </c>
      <c r="E194">
        <v>0.47699999999999998</v>
      </c>
      <c r="F194">
        <v>1.4E-2</v>
      </c>
      <c r="G194">
        <v>0.40600000000000003</v>
      </c>
      <c r="H194">
        <v>212</v>
      </c>
      <c r="I194">
        <v>4</v>
      </c>
      <c r="J194">
        <v>0</v>
      </c>
    </row>
    <row r="195" spans="1:10" x14ac:dyDescent="0.25">
      <c r="A195" t="s">
        <v>125</v>
      </c>
      <c r="B195" t="s">
        <v>89</v>
      </c>
      <c r="C195">
        <v>0.27400000000000002</v>
      </c>
      <c r="D195">
        <v>0.28599999999999998</v>
      </c>
      <c r="E195">
        <v>0.36099999999999999</v>
      </c>
      <c r="F195">
        <v>1.2E-2</v>
      </c>
      <c r="G195">
        <v>0.30099999999999999</v>
      </c>
      <c r="H195">
        <v>291</v>
      </c>
      <c r="I195">
        <v>0</v>
      </c>
      <c r="J195">
        <v>0</v>
      </c>
    </row>
    <row r="196" spans="1:10" x14ac:dyDescent="0.25">
      <c r="A196" t="s">
        <v>126</v>
      </c>
      <c r="B196" t="s">
        <v>89</v>
      </c>
      <c r="C196">
        <v>0.318</v>
      </c>
      <c r="D196">
        <v>0.34399999999999997</v>
      </c>
      <c r="E196">
        <v>0.39700000000000002</v>
      </c>
      <c r="F196">
        <v>1.4E-2</v>
      </c>
      <c r="G196">
        <v>0.35899999999999999</v>
      </c>
      <c r="H196">
        <v>153</v>
      </c>
      <c r="I196">
        <v>2</v>
      </c>
      <c r="J196">
        <v>0</v>
      </c>
    </row>
    <row r="197" spans="1:10" x14ac:dyDescent="0.25">
      <c r="A197" t="s">
        <v>127</v>
      </c>
      <c r="B197" t="s">
        <v>89</v>
      </c>
      <c r="C197">
        <v>0.39800000000000002</v>
      </c>
      <c r="D197">
        <v>0.42399999999999999</v>
      </c>
      <c r="E197">
        <v>0.49</v>
      </c>
      <c r="F197">
        <v>1.2999999999999999E-2</v>
      </c>
      <c r="G197">
        <v>0.44</v>
      </c>
      <c r="H197">
        <v>287</v>
      </c>
      <c r="I197">
        <v>1</v>
      </c>
      <c r="J197">
        <v>0</v>
      </c>
    </row>
    <row r="198" spans="1:10" x14ac:dyDescent="0.25">
      <c r="A198" t="s">
        <v>128</v>
      </c>
      <c r="B198" t="s">
        <v>89</v>
      </c>
      <c r="C198">
        <v>0.311</v>
      </c>
      <c r="D198">
        <v>0.33700000000000002</v>
      </c>
      <c r="E198">
        <v>0.373</v>
      </c>
      <c r="F198">
        <v>1.2E-2</v>
      </c>
      <c r="G198">
        <v>0.35099999999999998</v>
      </c>
      <c r="H198">
        <v>71</v>
      </c>
      <c r="I198">
        <v>1</v>
      </c>
      <c r="J198">
        <v>0</v>
      </c>
    </row>
    <row r="199" spans="1:10" x14ac:dyDescent="0.25">
      <c r="C199">
        <f>MIN(C181:C191)</f>
        <v>3.4000000000000002E-2</v>
      </c>
      <c r="E199">
        <f>MAX(E181:E192)</f>
        <v>0.56000000000000005</v>
      </c>
    </row>
    <row r="201" spans="1:10" ht="15.75" x14ac:dyDescent="0.25">
      <c r="G201" s="80" t="s">
        <v>143</v>
      </c>
      <c r="H201">
        <f>SUM(H181:H192)</f>
        <v>8794</v>
      </c>
      <c r="I201">
        <f>H201/2944*100</f>
        <v>298.70923913043475</v>
      </c>
    </row>
    <row r="202" spans="1:10" x14ac:dyDescent="0.25">
      <c r="A202" t="s">
        <v>131</v>
      </c>
      <c r="B202" t="s">
        <v>135</v>
      </c>
      <c r="D202" t="s">
        <v>132</v>
      </c>
      <c r="E202" t="s">
        <v>136</v>
      </c>
      <c r="G202" s="73" t="s">
        <v>142</v>
      </c>
      <c r="H202">
        <f>SUM(H193:H198)</f>
        <v>1532</v>
      </c>
    </row>
    <row r="203" spans="1:10" x14ac:dyDescent="0.25">
      <c r="A203" t="s">
        <v>111</v>
      </c>
      <c r="B203">
        <f>IF(E182&gt;2.5,1,0)</f>
        <v>0</v>
      </c>
      <c r="D203" t="s">
        <v>123</v>
      </c>
      <c r="E203">
        <f>IF(E194&gt;P2,1,0)</f>
        <v>0</v>
      </c>
    </row>
    <row r="204" spans="1:10" x14ac:dyDescent="0.25">
      <c r="A204" t="s">
        <v>112</v>
      </c>
      <c r="B204">
        <f t="shared" ref="B204:B213" si="33">IF(E183&gt;2.5,1,0)</f>
        <v>0</v>
      </c>
      <c r="D204" t="s">
        <v>124</v>
      </c>
      <c r="E204">
        <f t="shared" ref="E204:E205" si="34">IF(E195&gt;P3,1,0)</f>
        <v>0</v>
      </c>
    </row>
    <row r="205" spans="1:10" x14ac:dyDescent="0.25">
      <c r="A205" t="s">
        <v>113</v>
      </c>
      <c r="B205">
        <f t="shared" si="33"/>
        <v>0</v>
      </c>
      <c r="D205" t="s">
        <v>125</v>
      </c>
      <c r="E205">
        <f t="shared" si="34"/>
        <v>0</v>
      </c>
    </row>
    <row r="206" spans="1:10" x14ac:dyDescent="0.25">
      <c r="A206" t="s">
        <v>114</v>
      </c>
      <c r="B206">
        <f t="shared" si="33"/>
        <v>0</v>
      </c>
      <c r="D206" t="s">
        <v>126</v>
      </c>
      <c r="E206">
        <f>IF(E197&gt;P7,1,0)</f>
        <v>0</v>
      </c>
    </row>
    <row r="207" spans="1:10" x14ac:dyDescent="0.25">
      <c r="A207" t="s">
        <v>115</v>
      </c>
      <c r="B207">
        <f t="shared" si="33"/>
        <v>0</v>
      </c>
      <c r="D207" t="s">
        <v>127</v>
      </c>
      <c r="E207">
        <f>IF(E198&gt;P5,1,0)</f>
        <v>0</v>
      </c>
    </row>
    <row r="208" spans="1:10" x14ac:dyDescent="0.25">
      <c r="A208" t="s">
        <v>116</v>
      </c>
      <c r="B208">
        <f t="shared" si="33"/>
        <v>0</v>
      </c>
      <c r="D208" t="s">
        <v>128</v>
      </c>
      <c r="E208">
        <f>IF(E199&gt;P6,1,0)</f>
        <v>0</v>
      </c>
    </row>
    <row r="209" spans="1:10" x14ac:dyDescent="0.25">
      <c r="A209" t="s">
        <v>117</v>
      </c>
      <c r="B209">
        <f t="shared" si="33"/>
        <v>0</v>
      </c>
      <c r="D209" t="s">
        <v>133</v>
      </c>
      <c r="E209" t="b">
        <f>K196=SUM(E203,E208)</f>
        <v>1</v>
      </c>
    </row>
    <row r="210" spans="1:10" x14ac:dyDescent="0.25">
      <c r="A210" t="s">
        <v>118</v>
      </c>
      <c r="B210">
        <f t="shared" si="33"/>
        <v>0</v>
      </c>
    </row>
    <row r="211" spans="1:10" x14ac:dyDescent="0.25">
      <c r="A211" t="s">
        <v>119</v>
      </c>
      <c r="B211">
        <f t="shared" si="33"/>
        <v>0</v>
      </c>
    </row>
    <row r="212" spans="1:10" x14ac:dyDescent="0.25">
      <c r="A212" t="s">
        <v>120</v>
      </c>
      <c r="B212">
        <f t="shared" si="33"/>
        <v>0</v>
      </c>
    </row>
    <row r="213" spans="1:10" x14ac:dyDescent="0.25">
      <c r="A213" t="s">
        <v>121</v>
      </c>
      <c r="B213">
        <f t="shared" si="33"/>
        <v>0</v>
      </c>
    </row>
    <row r="214" spans="1:10" x14ac:dyDescent="0.25">
      <c r="A214" t="s">
        <v>122</v>
      </c>
      <c r="B214">
        <f>IF(E193&gt;2.5,1,0)</f>
        <v>0</v>
      </c>
    </row>
    <row r="215" spans="1:10" x14ac:dyDescent="0.25">
      <c r="A215" t="s">
        <v>133</v>
      </c>
      <c r="B215" t="b">
        <f>H124=SUM(B203,B214)</f>
        <v>1</v>
      </c>
    </row>
    <row r="220" spans="1:10" x14ac:dyDescent="0.25">
      <c r="A220" s="73" t="s">
        <v>138</v>
      </c>
    </row>
    <row r="221" spans="1:10" x14ac:dyDescent="0.25">
      <c r="A221" t="s">
        <v>110</v>
      </c>
      <c r="B221" t="s">
        <v>89</v>
      </c>
      <c r="C221">
        <v>13.667999999999999</v>
      </c>
      <c r="D221">
        <v>54.639000000000003</v>
      </c>
      <c r="E221">
        <v>75.995999999999995</v>
      </c>
      <c r="F221">
        <v>12.132</v>
      </c>
      <c r="G221">
        <v>71.480999999999995</v>
      </c>
      <c r="H221">
        <v>680</v>
      </c>
      <c r="I221">
        <v>5</v>
      </c>
      <c r="J221">
        <v>0</v>
      </c>
    </row>
    <row r="222" spans="1:10" x14ac:dyDescent="0.25">
      <c r="A222" t="s">
        <v>111</v>
      </c>
      <c r="B222" t="s">
        <v>89</v>
      </c>
      <c r="C222">
        <v>0.04</v>
      </c>
      <c r="D222">
        <v>4.2000000000000003E-2</v>
      </c>
      <c r="E222">
        <v>6.8000000000000005E-2</v>
      </c>
      <c r="F222">
        <v>3.0000000000000001E-3</v>
      </c>
      <c r="G222">
        <v>4.2999999999999997E-2</v>
      </c>
      <c r="H222">
        <v>326</v>
      </c>
      <c r="I222">
        <v>0</v>
      </c>
      <c r="J222">
        <v>0</v>
      </c>
    </row>
    <row r="223" spans="1:10" x14ac:dyDescent="0.25">
      <c r="A223" t="s">
        <v>112</v>
      </c>
      <c r="B223" t="s">
        <v>89</v>
      </c>
      <c r="C223">
        <v>7.8849999999999998</v>
      </c>
      <c r="D223">
        <v>10.55</v>
      </c>
      <c r="E223">
        <v>12.154999999999999</v>
      </c>
      <c r="F223">
        <v>0.70299999999999996</v>
      </c>
      <c r="G223">
        <v>11.331</v>
      </c>
      <c r="H223">
        <v>160</v>
      </c>
      <c r="I223">
        <v>0</v>
      </c>
      <c r="J223">
        <v>0</v>
      </c>
    </row>
    <row r="224" spans="1:10" x14ac:dyDescent="0.25">
      <c r="A224" t="s">
        <v>113</v>
      </c>
      <c r="B224" t="s">
        <v>89</v>
      </c>
      <c r="C224">
        <v>3.9E-2</v>
      </c>
      <c r="D224">
        <v>4.82</v>
      </c>
      <c r="E224">
        <v>6.4119999999999999</v>
      </c>
      <c r="F224">
        <v>0.94199999999999995</v>
      </c>
      <c r="G224">
        <v>5.6189999999999998</v>
      </c>
      <c r="H224">
        <v>327</v>
      </c>
      <c r="I224">
        <v>0</v>
      </c>
      <c r="J224">
        <v>0</v>
      </c>
    </row>
    <row r="225" spans="1:10" x14ac:dyDescent="0.25">
      <c r="A225" t="s">
        <v>114</v>
      </c>
      <c r="B225" t="s">
        <v>89</v>
      </c>
      <c r="C225">
        <v>4.9829999999999997</v>
      </c>
      <c r="D225">
        <v>15.003</v>
      </c>
      <c r="E225">
        <v>21.28</v>
      </c>
      <c r="F225">
        <v>1.617</v>
      </c>
      <c r="G225">
        <v>16.265999999999998</v>
      </c>
      <c r="H225">
        <v>404</v>
      </c>
      <c r="I225">
        <v>0</v>
      </c>
      <c r="J225">
        <v>0</v>
      </c>
    </row>
    <row r="226" spans="1:10" x14ac:dyDescent="0.25">
      <c r="A226" t="s">
        <v>115</v>
      </c>
      <c r="B226" t="s">
        <v>89</v>
      </c>
      <c r="C226">
        <v>1.835</v>
      </c>
      <c r="D226">
        <v>14.295</v>
      </c>
      <c r="E226">
        <v>17.998999999999999</v>
      </c>
      <c r="F226">
        <v>2.597</v>
      </c>
      <c r="G226">
        <v>16.356999999999999</v>
      </c>
      <c r="H226">
        <v>297</v>
      </c>
      <c r="I226">
        <v>0</v>
      </c>
      <c r="J226">
        <v>0</v>
      </c>
    </row>
    <row r="227" spans="1:10" x14ac:dyDescent="0.25">
      <c r="A227" t="s">
        <v>116</v>
      </c>
      <c r="B227" t="s">
        <v>89</v>
      </c>
      <c r="C227">
        <v>3.5000000000000003E-2</v>
      </c>
      <c r="D227">
        <v>4.0739999999999998</v>
      </c>
      <c r="E227">
        <v>11.792999999999999</v>
      </c>
      <c r="F227">
        <v>4.7489999999999997</v>
      </c>
      <c r="G227">
        <v>10.686</v>
      </c>
      <c r="H227">
        <v>160</v>
      </c>
      <c r="I227">
        <v>0</v>
      </c>
      <c r="J227">
        <v>0</v>
      </c>
    </row>
    <row r="228" spans="1:10" x14ac:dyDescent="0.25">
      <c r="A228" t="s">
        <v>117</v>
      </c>
      <c r="B228" t="s">
        <v>89</v>
      </c>
      <c r="C228">
        <v>2.2389999999999999</v>
      </c>
      <c r="D228">
        <v>4.9429999999999996</v>
      </c>
      <c r="E228">
        <v>6.3860000000000001</v>
      </c>
      <c r="F228">
        <v>0.68200000000000005</v>
      </c>
      <c r="G228">
        <v>5.516</v>
      </c>
      <c r="H228">
        <v>74</v>
      </c>
      <c r="I228">
        <v>4</v>
      </c>
      <c r="J228">
        <v>0</v>
      </c>
    </row>
    <row r="229" spans="1:10" x14ac:dyDescent="0.25">
      <c r="A229" t="s">
        <v>118</v>
      </c>
      <c r="B229" t="s">
        <v>89</v>
      </c>
      <c r="C229">
        <v>2.6749999999999998</v>
      </c>
      <c r="D229">
        <v>5.0780000000000003</v>
      </c>
      <c r="E229">
        <v>6.5679999999999996</v>
      </c>
      <c r="F229">
        <v>0.623</v>
      </c>
      <c r="G229">
        <v>5.8520000000000003</v>
      </c>
      <c r="H229">
        <v>180</v>
      </c>
      <c r="I229">
        <v>0</v>
      </c>
      <c r="J229">
        <v>0</v>
      </c>
    </row>
    <row r="230" spans="1:10" x14ac:dyDescent="0.25">
      <c r="A230" t="s">
        <v>119</v>
      </c>
      <c r="B230" t="s">
        <v>89</v>
      </c>
      <c r="C230">
        <v>3.4000000000000002E-2</v>
      </c>
      <c r="D230">
        <v>2.2919999999999998</v>
      </c>
      <c r="E230">
        <v>6.5060000000000002</v>
      </c>
      <c r="F230">
        <v>2.5430000000000001</v>
      </c>
      <c r="G230">
        <v>5.3129999999999997</v>
      </c>
      <c r="H230">
        <v>160</v>
      </c>
      <c r="I230">
        <v>0</v>
      </c>
      <c r="J230">
        <v>0</v>
      </c>
    </row>
    <row r="231" spans="1:10" x14ac:dyDescent="0.25">
      <c r="A231" t="s">
        <v>120</v>
      </c>
      <c r="B231" t="s">
        <v>89</v>
      </c>
      <c r="C231">
        <v>3.1030000000000002</v>
      </c>
      <c r="D231">
        <v>15.019</v>
      </c>
      <c r="E231">
        <v>18.645</v>
      </c>
      <c r="F231">
        <v>1.6319999999999999</v>
      </c>
      <c r="G231">
        <v>16.315999999999999</v>
      </c>
      <c r="H231">
        <v>531</v>
      </c>
      <c r="I231">
        <v>1</v>
      </c>
      <c r="J231">
        <v>0</v>
      </c>
    </row>
    <row r="232" spans="1:10" x14ac:dyDescent="0.25">
      <c r="A232" t="s">
        <v>121</v>
      </c>
      <c r="B232" t="s">
        <v>89</v>
      </c>
      <c r="C232">
        <v>0.28599999999999998</v>
      </c>
      <c r="D232">
        <v>7.7519999999999998</v>
      </c>
      <c r="E232">
        <v>11.574999999999999</v>
      </c>
      <c r="F232">
        <v>2.5539999999999998</v>
      </c>
      <c r="G232">
        <v>10.528</v>
      </c>
      <c r="H232">
        <v>501</v>
      </c>
      <c r="I232">
        <v>0</v>
      </c>
      <c r="J232">
        <v>0</v>
      </c>
    </row>
    <row r="233" spans="1:10" x14ac:dyDescent="0.25">
      <c r="A233" t="s">
        <v>122</v>
      </c>
      <c r="B233" t="s">
        <v>89</v>
      </c>
      <c r="C233">
        <v>1.4330000000000001</v>
      </c>
      <c r="D233">
        <v>14.923</v>
      </c>
      <c r="E233">
        <v>17.994</v>
      </c>
      <c r="F233">
        <v>1.6839999999999999</v>
      </c>
      <c r="G233">
        <v>16.34</v>
      </c>
      <c r="H233">
        <v>696</v>
      </c>
      <c r="I233">
        <v>0</v>
      </c>
      <c r="J233">
        <v>0</v>
      </c>
    </row>
    <row r="234" spans="1:10" x14ac:dyDescent="0.25">
      <c r="A234" t="s">
        <v>123</v>
      </c>
      <c r="B234" t="s">
        <v>89</v>
      </c>
      <c r="C234">
        <v>22.178000000000001</v>
      </c>
      <c r="D234">
        <v>67.465000000000003</v>
      </c>
      <c r="E234">
        <v>75.995999999999995</v>
      </c>
      <c r="F234">
        <v>9.7970000000000006</v>
      </c>
      <c r="G234">
        <v>73.542000000000002</v>
      </c>
      <c r="H234">
        <v>179</v>
      </c>
      <c r="I234">
        <v>0</v>
      </c>
      <c r="J234">
        <v>0</v>
      </c>
    </row>
    <row r="235" spans="1:10" x14ac:dyDescent="0.25">
      <c r="A235" t="s">
        <v>124</v>
      </c>
      <c r="B235" t="s">
        <v>89</v>
      </c>
      <c r="C235">
        <v>14.218999999999999</v>
      </c>
      <c r="D235">
        <v>53.976999999999997</v>
      </c>
      <c r="E235">
        <v>58.51</v>
      </c>
      <c r="F235">
        <v>7.8890000000000002</v>
      </c>
      <c r="G235">
        <v>57.396999999999998</v>
      </c>
      <c r="H235">
        <v>75</v>
      </c>
      <c r="I235">
        <v>4</v>
      </c>
      <c r="J235">
        <v>0</v>
      </c>
    </row>
    <row r="236" spans="1:10" x14ac:dyDescent="0.25">
      <c r="A236" t="s">
        <v>125</v>
      </c>
      <c r="B236" t="s">
        <v>89</v>
      </c>
      <c r="C236">
        <v>18.506</v>
      </c>
      <c r="D236">
        <v>41.387</v>
      </c>
      <c r="E236">
        <v>53.171999999999997</v>
      </c>
      <c r="F236">
        <v>6.9050000000000002</v>
      </c>
      <c r="G236">
        <v>50.914999999999999</v>
      </c>
      <c r="H236">
        <v>160</v>
      </c>
      <c r="I236">
        <v>0</v>
      </c>
      <c r="J236">
        <v>0</v>
      </c>
    </row>
    <row r="237" spans="1:10" x14ac:dyDescent="0.25">
      <c r="A237" t="s">
        <v>126</v>
      </c>
      <c r="B237" t="s">
        <v>89</v>
      </c>
      <c r="C237">
        <v>13.786</v>
      </c>
      <c r="D237">
        <v>54.624000000000002</v>
      </c>
      <c r="E237">
        <v>60.497999999999998</v>
      </c>
      <c r="F237">
        <v>5.4729999999999999</v>
      </c>
      <c r="G237">
        <v>57.34</v>
      </c>
      <c r="H237">
        <v>80</v>
      </c>
      <c r="I237">
        <v>1</v>
      </c>
      <c r="J237">
        <v>0</v>
      </c>
    </row>
    <row r="238" spans="1:10" x14ac:dyDescent="0.25">
      <c r="A238" t="s">
        <v>127</v>
      </c>
      <c r="B238" t="s">
        <v>89</v>
      </c>
      <c r="C238">
        <v>13.667999999999999</v>
      </c>
      <c r="D238">
        <v>53.834000000000003</v>
      </c>
      <c r="E238">
        <v>58.902999999999999</v>
      </c>
      <c r="F238">
        <v>7.7549999999999999</v>
      </c>
      <c r="G238">
        <v>57.677</v>
      </c>
      <c r="H238">
        <v>147</v>
      </c>
      <c r="I238">
        <v>0</v>
      </c>
      <c r="J238">
        <v>0</v>
      </c>
    </row>
    <row r="239" spans="1:10" x14ac:dyDescent="0.25">
      <c r="A239" t="s">
        <v>128</v>
      </c>
      <c r="B239" t="s">
        <v>89</v>
      </c>
      <c r="C239">
        <v>15.58</v>
      </c>
      <c r="D239">
        <v>54.468000000000004</v>
      </c>
      <c r="E239">
        <v>57.991999999999997</v>
      </c>
      <c r="F239">
        <v>6.5789999999999997</v>
      </c>
      <c r="G239">
        <v>57.377000000000002</v>
      </c>
      <c r="H239">
        <v>39</v>
      </c>
      <c r="I239">
        <v>0</v>
      </c>
      <c r="J239">
        <v>0</v>
      </c>
    </row>
    <row r="240" spans="1:10" x14ac:dyDescent="0.25">
      <c r="A240" t="s">
        <v>129</v>
      </c>
      <c r="B240" t="s">
        <v>89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4</v>
      </c>
      <c r="I240">
        <v>0</v>
      </c>
      <c r="J240">
        <v>0</v>
      </c>
    </row>
    <row r="242" spans="7:8" x14ac:dyDescent="0.25">
      <c r="G242" s="73" t="s">
        <v>140</v>
      </c>
      <c r="H242">
        <f>SUM(H222:H239)</f>
        <v>4496</v>
      </c>
    </row>
  </sheetData>
  <mergeCells count="1">
    <mergeCell ref="A35:B35"/>
  </mergeCells>
  <pageMargins left="0.7" right="0.7" top="0.75" bottom="0.75" header="0.3" footer="0.3"/>
  <pageSetup paperSize="9" orientation="portrait"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D14" sqref="D14"/>
    </sheetView>
  </sheetViews>
  <sheetFormatPr defaultRowHeight="15" x14ac:dyDescent="0.25"/>
  <cols>
    <col min="1" max="1" width="47.42578125" bestFit="1" customWidth="1"/>
    <col min="2" max="2" width="14.140625" bestFit="1" customWidth="1"/>
  </cols>
  <sheetData>
    <row r="1" spans="1:2" x14ac:dyDescent="0.25">
      <c r="A1" t="s">
        <v>81</v>
      </c>
      <c r="B1" t="s">
        <v>82</v>
      </c>
    </row>
    <row r="2" spans="1:2" x14ac:dyDescent="0.25">
      <c r="A2" t="str">
        <f>'Автоматизированный расчет'!A37</f>
        <v>Главная Welcome страница</v>
      </c>
      <c r="B2" s="68" t="s">
        <v>122</v>
      </c>
    </row>
    <row r="3" spans="1:2" x14ac:dyDescent="0.25">
      <c r="A3" t="str">
        <f>'Автоматизированный расчет'!A38</f>
        <v>Вход в систему</v>
      </c>
      <c r="B3" s="68" t="s">
        <v>120</v>
      </c>
    </row>
    <row r="4" spans="1:2" x14ac:dyDescent="0.25">
      <c r="A4" t="str">
        <f>'Автоматизированный расчет'!A39</f>
        <v>Переход на страницу поиска билетов</v>
      </c>
      <c r="B4" s="70" t="s">
        <v>114</v>
      </c>
    </row>
    <row r="5" spans="1:2" x14ac:dyDescent="0.25">
      <c r="A5" t="str">
        <f>'Автоматизированный расчет'!A40</f>
        <v xml:space="preserve">Заполнение полей для поиска билета </v>
      </c>
      <c r="B5" t="s">
        <v>90</v>
      </c>
    </row>
    <row r="6" spans="1:2" x14ac:dyDescent="0.25">
      <c r="A6" t="str">
        <f>'Автоматизированный расчет'!A41</f>
        <v xml:space="preserve">Выбор рейса из найденных </v>
      </c>
      <c r="B6" s="70" t="s">
        <v>111</v>
      </c>
    </row>
    <row r="7" spans="1:2" x14ac:dyDescent="0.25">
      <c r="A7" t="str">
        <f>'Автоматизированный расчет'!A42</f>
        <v>Оплата билета</v>
      </c>
      <c r="B7" s="70" t="s">
        <v>118</v>
      </c>
    </row>
    <row r="8" spans="1:2" x14ac:dyDescent="0.25">
      <c r="A8" t="str">
        <f>'Автоматизированный расчет'!A43</f>
        <v>Просмотр квитанций</v>
      </c>
      <c r="B8" s="70" t="s">
        <v>115</v>
      </c>
    </row>
    <row r="9" spans="1:2" x14ac:dyDescent="0.25">
      <c r="A9" t="str">
        <f>'Автоматизированный расчет'!A44</f>
        <v xml:space="preserve">Отмена бронирования </v>
      </c>
      <c r="B9" s="70" t="s">
        <v>117</v>
      </c>
    </row>
    <row r="10" spans="1:2" x14ac:dyDescent="0.25">
      <c r="A10" t="str">
        <f>'Автоматизированный расчет'!A45</f>
        <v>Выход из системы</v>
      </c>
      <c r="B10" s="70" t="s">
        <v>121</v>
      </c>
    </row>
    <row r="11" spans="1:2" x14ac:dyDescent="0.25">
      <c r="A11" t="str">
        <f>'Автоматизированный расчет'!A46</f>
        <v>Перход на страницу регистрации</v>
      </c>
      <c r="B11" s="70" t="s">
        <v>116</v>
      </c>
    </row>
    <row r="12" spans="1:2" x14ac:dyDescent="0.25">
      <c r="A12" t="str">
        <f>'Автоматизированный расчет'!A47</f>
        <v>Заполнение полей регистарции</v>
      </c>
      <c r="B12" s="70" t="s">
        <v>119</v>
      </c>
    </row>
    <row r="13" spans="1:2" x14ac:dyDescent="0.25">
      <c r="A13" t="str">
        <f>'Автоматизированный расчет'!A48</f>
        <v>Переход на следуюущий эран после регистарции</v>
      </c>
      <c r="B13" s="70" t="s">
        <v>112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3" sqref="A3:J20"/>
    </sheetView>
  </sheetViews>
  <sheetFormatPr defaultRowHeight="15" x14ac:dyDescent="0.25"/>
  <cols>
    <col min="1" max="1" width="36.42578125" bestFit="1" customWidth="1"/>
  </cols>
  <sheetData>
    <row r="1" spans="1:10" x14ac:dyDescent="0.25">
      <c r="A1" t="s">
        <v>27</v>
      </c>
      <c r="B1" t="s">
        <v>83</v>
      </c>
      <c r="C1" t="s">
        <v>84</v>
      </c>
      <c r="D1" t="s">
        <v>85</v>
      </c>
      <c r="E1" t="s">
        <v>86</v>
      </c>
      <c r="F1" t="s">
        <v>87</v>
      </c>
      <c r="G1" t="s">
        <v>88</v>
      </c>
      <c r="H1" t="s">
        <v>28</v>
      </c>
      <c r="I1" t="s">
        <v>29</v>
      </c>
      <c r="J1" t="s">
        <v>30</v>
      </c>
    </row>
    <row r="2" spans="1:10" x14ac:dyDescent="0.25">
      <c r="A2" s="71" t="s">
        <v>110</v>
      </c>
      <c r="B2" s="71" t="s">
        <v>89</v>
      </c>
      <c r="C2" s="71">
        <v>0.27300000000000002</v>
      </c>
      <c r="D2" s="71">
        <v>0.40699999999999997</v>
      </c>
      <c r="E2" s="71">
        <v>0.53700000000000003</v>
      </c>
      <c r="F2" s="71">
        <v>8.8999999999999996E-2</v>
      </c>
      <c r="G2" s="71">
        <v>0.51800000000000002</v>
      </c>
      <c r="H2" s="71">
        <v>170</v>
      </c>
      <c r="I2" s="71">
        <v>1</v>
      </c>
      <c r="J2" s="71">
        <v>0</v>
      </c>
    </row>
    <row r="3" spans="1:10" x14ac:dyDescent="0.25">
      <c r="A3" s="71" t="s">
        <v>111</v>
      </c>
      <c r="B3" s="71" t="s">
        <v>89</v>
      </c>
      <c r="C3" s="71">
        <v>0.04</v>
      </c>
      <c r="D3" s="71">
        <v>4.1000000000000002E-2</v>
      </c>
      <c r="E3" s="71">
        <v>5.8000000000000003E-2</v>
      </c>
      <c r="F3" s="71">
        <v>3.0000000000000001E-3</v>
      </c>
      <c r="G3" s="71">
        <v>4.2999999999999997E-2</v>
      </c>
      <c r="H3" s="71">
        <v>89</v>
      </c>
      <c r="I3" s="71">
        <v>0</v>
      </c>
      <c r="J3" s="71">
        <v>0</v>
      </c>
    </row>
    <row r="4" spans="1:10" x14ac:dyDescent="0.25">
      <c r="A4" s="71" t="s">
        <v>112</v>
      </c>
      <c r="B4" s="71" t="s">
        <v>89</v>
      </c>
      <c r="C4" s="71">
        <v>7.6999999999999999E-2</v>
      </c>
      <c r="D4" s="71">
        <v>8.1000000000000003E-2</v>
      </c>
      <c r="E4" s="71">
        <v>9.4E-2</v>
      </c>
      <c r="F4" s="71">
        <v>6.0000000000000001E-3</v>
      </c>
      <c r="G4" s="71">
        <v>9.2999999999999999E-2</v>
      </c>
      <c r="H4" s="71">
        <v>32</v>
      </c>
      <c r="I4" s="71">
        <v>0</v>
      </c>
      <c r="J4" s="71">
        <v>0</v>
      </c>
    </row>
    <row r="5" spans="1:10" x14ac:dyDescent="0.25">
      <c r="A5" s="71" t="s">
        <v>113</v>
      </c>
      <c r="B5" s="71" t="s">
        <v>89</v>
      </c>
      <c r="C5" s="71">
        <v>3.9E-2</v>
      </c>
      <c r="D5" s="71">
        <v>0.04</v>
      </c>
      <c r="E5" s="71">
        <v>8.5999999999999993E-2</v>
      </c>
      <c r="F5" s="71">
        <v>5.0000000000000001E-3</v>
      </c>
      <c r="G5" s="71">
        <v>0.04</v>
      </c>
      <c r="H5" s="71">
        <v>91</v>
      </c>
      <c r="I5" s="71">
        <v>0</v>
      </c>
      <c r="J5" s="71">
        <v>0</v>
      </c>
    </row>
    <row r="6" spans="1:10" x14ac:dyDescent="0.25">
      <c r="A6" s="71" t="s">
        <v>114</v>
      </c>
      <c r="B6" s="71" t="s">
        <v>89</v>
      </c>
      <c r="C6" s="71">
        <v>0.108</v>
      </c>
      <c r="D6" s="71">
        <v>0.11600000000000001</v>
      </c>
      <c r="E6" s="71">
        <v>0.13100000000000001</v>
      </c>
      <c r="F6" s="71">
        <v>7.0000000000000001E-3</v>
      </c>
      <c r="G6" s="71">
        <v>0.126</v>
      </c>
      <c r="H6" s="71">
        <v>108</v>
      </c>
      <c r="I6" s="71">
        <v>0</v>
      </c>
      <c r="J6" s="71">
        <v>0</v>
      </c>
    </row>
    <row r="7" spans="1:10" x14ac:dyDescent="0.25">
      <c r="A7" s="71" t="s">
        <v>115</v>
      </c>
      <c r="B7" s="71" t="s">
        <v>89</v>
      </c>
      <c r="C7" s="71">
        <v>7.8E-2</v>
      </c>
      <c r="D7" s="71">
        <v>0.113</v>
      </c>
      <c r="E7" s="71">
        <v>0.125</v>
      </c>
      <c r="F7" s="71">
        <v>8.0000000000000002E-3</v>
      </c>
      <c r="G7" s="71">
        <v>0.124</v>
      </c>
      <c r="H7" s="71">
        <v>90</v>
      </c>
      <c r="I7" s="71">
        <v>0</v>
      </c>
      <c r="J7" s="71">
        <v>0</v>
      </c>
    </row>
    <row r="8" spans="1:10" x14ac:dyDescent="0.25">
      <c r="A8" s="71" t="s">
        <v>116</v>
      </c>
      <c r="B8" s="71" t="s">
        <v>89</v>
      </c>
      <c r="C8" s="71">
        <v>3.5000000000000003E-2</v>
      </c>
      <c r="D8" s="71">
        <v>3.6999999999999998E-2</v>
      </c>
      <c r="E8" s="71">
        <v>4.5999999999999999E-2</v>
      </c>
      <c r="F8" s="71">
        <v>3.0000000000000001E-3</v>
      </c>
      <c r="G8" s="71">
        <v>0.04</v>
      </c>
      <c r="H8" s="71">
        <v>33</v>
      </c>
      <c r="I8" s="71">
        <v>0</v>
      </c>
      <c r="J8" s="71">
        <v>0</v>
      </c>
    </row>
    <row r="9" spans="1:10" x14ac:dyDescent="0.25">
      <c r="A9" s="71" t="s">
        <v>117</v>
      </c>
      <c r="B9" s="71" t="s">
        <v>89</v>
      </c>
      <c r="C9" s="71">
        <v>0.04</v>
      </c>
      <c r="D9" s="71">
        <v>4.2999999999999997E-2</v>
      </c>
      <c r="E9" s="71">
        <v>5.2999999999999999E-2</v>
      </c>
      <c r="F9" s="71">
        <v>4.0000000000000001E-3</v>
      </c>
      <c r="G9" s="71">
        <v>4.9000000000000002E-2</v>
      </c>
      <c r="H9" s="71">
        <v>23</v>
      </c>
      <c r="I9" s="71">
        <v>1</v>
      </c>
      <c r="J9" s="71">
        <v>0</v>
      </c>
    </row>
    <row r="10" spans="1:10" x14ac:dyDescent="0.25">
      <c r="A10" s="71" t="s">
        <v>118</v>
      </c>
      <c r="B10" s="71" t="s">
        <v>89</v>
      </c>
      <c r="C10" s="71">
        <v>0.04</v>
      </c>
      <c r="D10" s="71">
        <v>4.1000000000000002E-2</v>
      </c>
      <c r="E10" s="71">
        <v>4.8000000000000001E-2</v>
      </c>
      <c r="F10" s="71">
        <v>1E-3</v>
      </c>
      <c r="G10" s="71">
        <v>4.2000000000000003E-2</v>
      </c>
      <c r="H10" s="71">
        <v>58</v>
      </c>
      <c r="I10" s="71">
        <v>0</v>
      </c>
      <c r="J10" s="71">
        <v>0</v>
      </c>
    </row>
    <row r="11" spans="1:10" x14ac:dyDescent="0.25">
      <c r="A11" s="71" t="s">
        <v>119</v>
      </c>
      <c r="B11" s="71" t="s">
        <v>89</v>
      </c>
      <c r="C11" s="71">
        <v>3.4000000000000002E-2</v>
      </c>
      <c r="D11" s="71">
        <v>3.5000000000000003E-2</v>
      </c>
      <c r="E11" s="71">
        <v>4.5999999999999999E-2</v>
      </c>
      <c r="F11" s="71">
        <v>2E-3</v>
      </c>
      <c r="G11" s="71">
        <v>3.5000000000000003E-2</v>
      </c>
      <c r="H11" s="71">
        <v>33</v>
      </c>
      <c r="I11" s="71">
        <v>0</v>
      </c>
      <c r="J11" s="71">
        <v>0</v>
      </c>
    </row>
    <row r="12" spans="1:10" x14ac:dyDescent="0.25">
      <c r="A12" s="71" t="s">
        <v>120</v>
      </c>
      <c r="B12" s="71" t="s">
        <v>89</v>
      </c>
      <c r="C12" s="71">
        <v>7.9000000000000001E-2</v>
      </c>
      <c r="D12" s="71">
        <v>9.2999999999999999E-2</v>
      </c>
      <c r="E12" s="71">
        <v>9.6000000000000002E-2</v>
      </c>
      <c r="F12" s="71">
        <v>4.0000000000000001E-3</v>
      </c>
      <c r="G12" s="71">
        <v>9.5000000000000001E-2</v>
      </c>
      <c r="H12" s="71">
        <v>140</v>
      </c>
      <c r="I12" s="71">
        <v>0</v>
      </c>
      <c r="J12" s="71">
        <v>0</v>
      </c>
    </row>
    <row r="13" spans="1:10" x14ac:dyDescent="0.25">
      <c r="A13" s="71" t="s">
        <v>121</v>
      </c>
      <c r="B13" s="71" t="s">
        <v>89</v>
      </c>
      <c r="C13" s="71">
        <v>6.2E-2</v>
      </c>
      <c r="D13" s="71">
        <v>6.4000000000000001E-2</v>
      </c>
      <c r="E13" s="71">
        <v>8.1000000000000003E-2</v>
      </c>
      <c r="F13" s="71">
        <v>3.0000000000000001E-3</v>
      </c>
      <c r="G13" s="71">
        <v>6.5000000000000002E-2</v>
      </c>
      <c r="H13" s="71">
        <v>112</v>
      </c>
      <c r="I13" s="71">
        <v>0</v>
      </c>
      <c r="J13" s="71">
        <v>0</v>
      </c>
    </row>
    <row r="14" spans="1:10" x14ac:dyDescent="0.25">
      <c r="A14" s="71" t="s">
        <v>122</v>
      </c>
      <c r="B14" s="71" t="s">
        <v>89</v>
      </c>
      <c r="C14" s="71">
        <v>6.4000000000000001E-2</v>
      </c>
      <c r="D14" s="71">
        <v>6.5000000000000002E-2</v>
      </c>
      <c r="E14" s="71">
        <v>8.5000000000000006E-2</v>
      </c>
      <c r="F14" s="71">
        <v>3.0000000000000001E-3</v>
      </c>
      <c r="G14" s="71">
        <v>6.6000000000000003E-2</v>
      </c>
      <c r="H14" s="71">
        <v>173</v>
      </c>
      <c r="I14" s="71">
        <v>0</v>
      </c>
      <c r="J14" s="71">
        <v>0</v>
      </c>
    </row>
    <row r="15" spans="1:10" x14ac:dyDescent="0.25">
      <c r="A15" s="71" t="s">
        <v>123</v>
      </c>
      <c r="B15" s="71" t="s">
        <v>89</v>
      </c>
      <c r="C15" s="71">
        <v>0.46899999999999997</v>
      </c>
      <c r="D15" s="71">
        <v>0.51300000000000001</v>
      </c>
      <c r="E15" s="71">
        <v>0.53700000000000003</v>
      </c>
      <c r="F15" s="71">
        <v>1.2E-2</v>
      </c>
      <c r="G15" s="71">
        <v>0.53</v>
      </c>
      <c r="H15" s="71">
        <v>58</v>
      </c>
      <c r="I15" s="71">
        <v>0</v>
      </c>
      <c r="J15" s="71">
        <v>0</v>
      </c>
    </row>
    <row r="16" spans="1:10" x14ac:dyDescent="0.25">
      <c r="A16" s="71" t="s">
        <v>124</v>
      </c>
      <c r="B16" s="71" t="s">
        <v>89</v>
      </c>
      <c r="C16" s="71">
        <v>0.36899999999999999</v>
      </c>
      <c r="D16" s="71">
        <v>0.376</v>
      </c>
      <c r="E16" s="71">
        <v>0.39</v>
      </c>
      <c r="F16" s="71">
        <v>7.0000000000000001E-3</v>
      </c>
      <c r="G16" s="71">
        <v>0.38700000000000001</v>
      </c>
      <c r="H16" s="71">
        <v>23</v>
      </c>
      <c r="I16" s="71">
        <v>1</v>
      </c>
      <c r="J16" s="71">
        <v>0</v>
      </c>
    </row>
    <row r="17" spans="1:10" x14ac:dyDescent="0.25">
      <c r="A17" s="71" t="s">
        <v>125</v>
      </c>
      <c r="B17" s="71" t="s">
        <v>89</v>
      </c>
      <c r="C17" s="71">
        <v>0.27300000000000002</v>
      </c>
      <c r="D17" s="71">
        <v>0.28100000000000003</v>
      </c>
      <c r="E17" s="71">
        <v>0.29899999999999999</v>
      </c>
      <c r="F17" s="71">
        <v>7.0000000000000001E-3</v>
      </c>
      <c r="G17" s="71">
        <v>0.29099999999999998</v>
      </c>
      <c r="H17" s="71">
        <v>32</v>
      </c>
      <c r="I17" s="71">
        <v>0</v>
      </c>
      <c r="J17" s="71">
        <v>0</v>
      </c>
    </row>
    <row r="18" spans="1:10" x14ac:dyDescent="0.25">
      <c r="A18" s="71" t="s">
        <v>126</v>
      </c>
      <c r="B18" s="71" t="s">
        <v>89</v>
      </c>
      <c r="C18" s="71">
        <v>0.317</v>
      </c>
      <c r="D18" s="71">
        <v>0.33400000000000002</v>
      </c>
      <c r="E18" s="71">
        <v>0.34799999999999998</v>
      </c>
      <c r="F18" s="71">
        <v>8.9999999999999993E-3</v>
      </c>
      <c r="G18" s="71">
        <v>0.34699999999999998</v>
      </c>
      <c r="H18" s="71">
        <v>17</v>
      </c>
      <c r="I18" s="71">
        <v>0</v>
      </c>
      <c r="J18" s="71">
        <v>0</v>
      </c>
    </row>
    <row r="19" spans="1:10" x14ac:dyDescent="0.25">
      <c r="A19" s="71" t="s">
        <v>127</v>
      </c>
      <c r="B19" s="71" t="s">
        <v>89</v>
      </c>
      <c r="C19" s="71">
        <v>0.40899999999999997</v>
      </c>
      <c r="D19" s="71">
        <v>0.41899999999999998</v>
      </c>
      <c r="E19" s="71">
        <v>0.439</v>
      </c>
      <c r="F19" s="71">
        <v>8.9999999999999993E-3</v>
      </c>
      <c r="G19" s="71">
        <v>0.43099999999999999</v>
      </c>
      <c r="H19" s="71">
        <v>32</v>
      </c>
      <c r="I19" s="71">
        <v>0</v>
      </c>
      <c r="J19" s="71">
        <v>0</v>
      </c>
    </row>
    <row r="20" spans="1:10" x14ac:dyDescent="0.25">
      <c r="A20" s="71" t="s">
        <v>128</v>
      </c>
      <c r="B20" s="71" t="s">
        <v>89</v>
      </c>
      <c r="C20" s="71">
        <v>0.315</v>
      </c>
      <c r="D20" s="71">
        <v>0.32900000000000001</v>
      </c>
      <c r="E20" s="71">
        <v>0.34399999999999997</v>
      </c>
      <c r="F20" s="71">
        <v>8.9999999999999993E-3</v>
      </c>
      <c r="G20" s="71">
        <v>0.34399999999999997</v>
      </c>
      <c r="H20" s="71">
        <v>8</v>
      </c>
      <c r="I20" s="71">
        <v>0</v>
      </c>
      <c r="J20" s="7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9:O44"/>
  <sheetViews>
    <sheetView topLeftCell="A22" workbookViewId="0">
      <selection activeCell="H17" sqref="H17"/>
    </sheetView>
  </sheetViews>
  <sheetFormatPr defaultColWidth="8.85546875" defaultRowHeight="15" x14ac:dyDescent="0.25"/>
  <cols>
    <col min="2" max="2" width="4.42578125" customWidth="1"/>
    <col min="3" max="4" width="9.140625" hidden="1" customWidth="1"/>
    <col min="5" max="5" width="20.42578125" customWidth="1"/>
    <col min="6" max="6" width="18.85546875" customWidth="1"/>
    <col min="7" max="7" width="15.28515625" customWidth="1"/>
    <col min="8" max="8" width="15.140625" customWidth="1"/>
    <col min="9" max="9" width="14" customWidth="1"/>
    <col min="11" max="11" width="1.42578125" customWidth="1"/>
    <col min="12" max="12" width="40.28515625" customWidth="1"/>
    <col min="13" max="13" width="6" bestFit="1" customWidth="1"/>
    <col min="14" max="14" width="4.140625" bestFit="1" customWidth="1"/>
    <col min="15" max="15" width="5" bestFit="1" customWidth="1"/>
    <col min="16" max="16" width="14.140625" bestFit="1" customWidth="1"/>
    <col min="17" max="17" width="19.42578125" bestFit="1" customWidth="1"/>
  </cols>
  <sheetData>
    <row r="9" spans="5:9" x14ac:dyDescent="0.25">
      <c r="E9" s="77" t="s">
        <v>33</v>
      </c>
      <c r="F9" s="77"/>
      <c r="G9" s="77"/>
      <c r="H9" s="77"/>
      <c r="I9" s="77"/>
    </row>
    <row r="11" spans="5:9" ht="28.5" x14ac:dyDescent="0.25">
      <c r="E11" s="1" t="s">
        <v>14</v>
      </c>
      <c r="F11" s="1" t="s">
        <v>15</v>
      </c>
      <c r="G11" s="1" t="s">
        <v>16</v>
      </c>
      <c r="H11" s="1" t="s">
        <v>17</v>
      </c>
      <c r="I11" s="1" t="s">
        <v>18</v>
      </c>
    </row>
    <row r="12" spans="5:9" ht="15.75" x14ac:dyDescent="0.25">
      <c r="E12" s="2" t="s">
        <v>0</v>
      </c>
      <c r="F12" s="3" t="s">
        <v>24</v>
      </c>
      <c r="G12" s="4">
        <v>368</v>
      </c>
      <c r="H12" s="3">
        <f>121*3</f>
        <v>363</v>
      </c>
      <c r="I12" s="5">
        <f>1-G12/H12</f>
        <v>-1.377410468319562E-2</v>
      </c>
    </row>
    <row r="13" spans="5:9" ht="31.5" x14ac:dyDescent="0.25">
      <c r="E13" s="2" t="s">
        <v>1</v>
      </c>
      <c r="F13" s="3" t="s">
        <v>23</v>
      </c>
      <c r="G13" s="4">
        <v>251</v>
      </c>
      <c r="H13" s="3">
        <f>82*3</f>
        <v>246</v>
      </c>
      <c r="I13" s="5">
        <f t="shared" ref="I13:I18" si="0">1-G13/H13</f>
        <v>-2.0325203252032464E-2</v>
      </c>
    </row>
    <row r="14" spans="5:9" ht="31.5" x14ac:dyDescent="0.25">
      <c r="E14" s="2" t="s">
        <v>2</v>
      </c>
      <c r="F14" s="3" t="s">
        <v>26</v>
      </c>
      <c r="G14" s="4">
        <v>251</v>
      </c>
      <c r="H14" s="3">
        <f>82*3</f>
        <v>246</v>
      </c>
      <c r="I14" s="5">
        <f t="shared" si="0"/>
        <v>-2.0325203252032464E-2</v>
      </c>
    </row>
    <row r="15" spans="5:9" ht="15.75" x14ac:dyDescent="0.25">
      <c r="E15" s="2" t="s">
        <v>3</v>
      </c>
      <c r="F15" s="3" t="s">
        <v>19</v>
      </c>
      <c r="G15" s="4">
        <v>175</v>
      </c>
      <c r="H15" s="3">
        <f>56*3</f>
        <v>168</v>
      </c>
      <c r="I15" s="6">
        <f t="shared" si="0"/>
        <v>-4.1666666666666741E-2</v>
      </c>
    </row>
    <row r="16" spans="5:9" ht="31.5" x14ac:dyDescent="0.25">
      <c r="E16" s="2" t="s">
        <v>20</v>
      </c>
      <c r="F16" s="3" t="s">
        <v>22</v>
      </c>
      <c r="G16" s="4">
        <v>159</v>
      </c>
      <c r="H16" s="4">
        <f>56*3</f>
        <v>168</v>
      </c>
      <c r="I16" s="5">
        <f t="shared" si="0"/>
        <v>5.3571428571428603E-2</v>
      </c>
    </row>
    <row r="17" spans="5:9" ht="47.25" x14ac:dyDescent="0.25">
      <c r="E17" s="2" t="s">
        <v>5</v>
      </c>
      <c r="F17" s="3" t="s">
        <v>21</v>
      </c>
      <c r="G17" s="4">
        <v>73</v>
      </c>
      <c r="H17" s="3">
        <f>25*3</f>
        <v>75</v>
      </c>
      <c r="I17" s="5">
        <f t="shared" si="0"/>
        <v>2.6666666666666616E-2</v>
      </c>
    </row>
    <row r="18" spans="5:9" ht="15.75" x14ac:dyDescent="0.25">
      <c r="E18" s="2" t="s">
        <v>6</v>
      </c>
      <c r="F18" s="3" t="s">
        <v>25</v>
      </c>
      <c r="G18" s="4">
        <v>326</v>
      </c>
      <c r="H18" s="3">
        <f>104*3</f>
        <v>312</v>
      </c>
      <c r="I18" s="5">
        <f t="shared" si="0"/>
        <v>-4.4871794871794934E-2</v>
      </c>
    </row>
    <row r="23" spans="5:9" x14ac:dyDescent="0.25">
      <c r="E23" s="77" t="s">
        <v>31</v>
      </c>
      <c r="F23" s="77"/>
      <c r="G23" s="77"/>
      <c r="H23" s="77"/>
      <c r="I23" s="77"/>
    </row>
    <row r="25" spans="5:9" x14ac:dyDescent="0.25">
      <c r="E25" s="8" t="s">
        <v>14</v>
      </c>
      <c r="F25" s="8" t="s">
        <v>15</v>
      </c>
      <c r="G25" s="8" t="s">
        <v>16</v>
      </c>
      <c r="H25" s="8" t="s">
        <v>17</v>
      </c>
      <c r="I25" s="8" t="s">
        <v>18</v>
      </c>
    </row>
    <row r="26" spans="5:9" ht="15.75" x14ac:dyDescent="0.25">
      <c r="E26" s="13" t="s">
        <v>0</v>
      </c>
      <c r="F26" s="12" t="s">
        <v>24</v>
      </c>
      <c r="G26" s="10">
        <f>5*368</f>
        <v>1840</v>
      </c>
      <c r="H26" s="9">
        <f>721*3</f>
        <v>2163</v>
      </c>
      <c r="I26" s="11">
        <f>1-G26/H26</f>
        <v>0.14932963476652794</v>
      </c>
    </row>
    <row r="27" spans="5:9" ht="15.75" x14ac:dyDescent="0.25">
      <c r="E27" s="13" t="s">
        <v>1</v>
      </c>
      <c r="F27" s="12" t="s">
        <v>23</v>
      </c>
      <c r="G27" s="10">
        <f>5*251</f>
        <v>1255</v>
      </c>
      <c r="H27" s="9">
        <f>3*464</f>
        <v>1392</v>
      </c>
      <c r="I27" s="11">
        <f t="shared" ref="I27:I32" si="1">1-G27/H27</f>
        <v>9.8419540229885083E-2</v>
      </c>
    </row>
    <row r="28" spans="5:9" ht="15.75" x14ac:dyDescent="0.25">
      <c r="E28" s="13" t="s">
        <v>2</v>
      </c>
      <c r="F28" s="12" t="s">
        <v>26</v>
      </c>
      <c r="G28" s="10">
        <f>5*251</f>
        <v>1255</v>
      </c>
      <c r="H28" s="9">
        <f>3*462</f>
        <v>1386</v>
      </c>
      <c r="I28" s="11">
        <f t="shared" si="1"/>
        <v>9.4516594516594554E-2</v>
      </c>
    </row>
    <row r="29" spans="5:9" ht="15.75" x14ac:dyDescent="0.25">
      <c r="E29" s="13" t="s">
        <v>3</v>
      </c>
      <c r="F29" s="12" t="s">
        <v>19</v>
      </c>
      <c r="G29" s="10">
        <f>5*175</f>
        <v>875</v>
      </c>
      <c r="H29" s="9">
        <f>3*314</f>
        <v>942</v>
      </c>
      <c r="I29" s="7">
        <f t="shared" si="1"/>
        <v>7.1125265392781301E-2</v>
      </c>
    </row>
    <row r="30" spans="5:9" ht="15.75" x14ac:dyDescent="0.25">
      <c r="E30" s="13" t="s">
        <v>20</v>
      </c>
      <c r="F30" s="12" t="s">
        <v>22</v>
      </c>
      <c r="G30" s="10">
        <f>5*159</f>
        <v>795</v>
      </c>
      <c r="H30" s="9">
        <f>3*330</f>
        <v>990</v>
      </c>
      <c r="I30" s="11">
        <f t="shared" si="1"/>
        <v>0.19696969696969702</v>
      </c>
    </row>
    <row r="31" spans="5:9" ht="15.75" x14ac:dyDescent="0.25">
      <c r="E31" s="13" t="s">
        <v>5</v>
      </c>
      <c r="F31" s="12" t="s">
        <v>21</v>
      </c>
      <c r="G31" s="10">
        <f>5*73</f>
        <v>365</v>
      </c>
      <c r="H31" s="9">
        <f>3*141</f>
        <v>423</v>
      </c>
      <c r="I31" s="11">
        <f t="shared" si="1"/>
        <v>0.13711583924349879</v>
      </c>
    </row>
    <row r="32" spans="5:9" ht="15.75" x14ac:dyDescent="0.25">
      <c r="E32" s="13" t="s">
        <v>6</v>
      </c>
      <c r="F32" s="12" t="s">
        <v>25</v>
      </c>
      <c r="G32" s="10">
        <f>5*326</f>
        <v>1630</v>
      </c>
      <c r="H32" s="9">
        <f>3*599</f>
        <v>1797</v>
      </c>
      <c r="I32" s="11">
        <f t="shared" si="1"/>
        <v>9.2932665553700611E-2</v>
      </c>
    </row>
    <row r="35" spans="5:15" x14ac:dyDescent="0.25">
      <c r="E35" s="77" t="s">
        <v>32</v>
      </c>
      <c r="F35" s="77"/>
      <c r="G35" s="77"/>
      <c r="H35" s="77"/>
      <c r="I35" s="77"/>
    </row>
    <row r="37" spans="5:15" x14ac:dyDescent="0.25">
      <c r="E37" s="8" t="s">
        <v>14</v>
      </c>
      <c r="F37" s="8" t="s">
        <v>15</v>
      </c>
      <c r="G37" s="8" t="s">
        <v>16</v>
      </c>
      <c r="H37" s="8" t="s">
        <v>17</v>
      </c>
      <c r="I37" s="8" t="s">
        <v>18</v>
      </c>
      <c r="L37" s="14" t="s">
        <v>27</v>
      </c>
      <c r="M37" s="14" t="s">
        <v>28</v>
      </c>
      <c r="N37" s="14" t="s">
        <v>29</v>
      </c>
      <c r="O37" s="14" t="s">
        <v>30</v>
      </c>
    </row>
    <row r="38" spans="5:15" ht="15.75" x14ac:dyDescent="0.25">
      <c r="E38" s="13" t="s">
        <v>0</v>
      </c>
      <c r="F38" s="12" t="s">
        <v>24</v>
      </c>
      <c r="G38" s="10">
        <f>5*368</f>
        <v>1840</v>
      </c>
      <c r="H38" s="9">
        <v>2109</v>
      </c>
      <c r="I38" s="11">
        <f>1-G38/H38</f>
        <v>0.12754860123281175</v>
      </c>
      <c r="L38" s="14" t="s">
        <v>21</v>
      </c>
      <c r="M38" s="14">
        <v>377</v>
      </c>
      <c r="N38" s="14">
        <v>27</v>
      </c>
      <c r="O38" s="14">
        <v>0</v>
      </c>
    </row>
    <row r="39" spans="5:15" ht="15.75" x14ac:dyDescent="0.25">
      <c r="E39" s="13" t="s">
        <v>1</v>
      </c>
      <c r="F39" s="12" t="s">
        <v>23</v>
      </c>
      <c r="G39" s="10">
        <f>5*251</f>
        <v>1255</v>
      </c>
      <c r="H39" s="14">
        <v>1315</v>
      </c>
      <c r="I39" s="11">
        <f t="shared" ref="I39:I44" si="2">1-G39/H39</f>
        <v>4.5627376425855459E-2</v>
      </c>
      <c r="L39" s="14" t="s">
        <v>22</v>
      </c>
      <c r="M39" s="14">
        <v>998</v>
      </c>
      <c r="N39" s="14">
        <v>1</v>
      </c>
      <c r="O39" s="14">
        <v>0</v>
      </c>
    </row>
    <row r="40" spans="5:15" ht="15.75" x14ac:dyDescent="0.25">
      <c r="E40" s="13" t="s">
        <v>2</v>
      </c>
      <c r="F40" s="12" t="s">
        <v>26</v>
      </c>
      <c r="G40" s="10">
        <f>5*251</f>
        <v>1255</v>
      </c>
      <c r="H40" s="9">
        <v>1315</v>
      </c>
      <c r="I40" s="11">
        <f t="shared" si="2"/>
        <v>4.5627376425855459E-2</v>
      </c>
      <c r="L40" s="14" t="s">
        <v>23</v>
      </c>
      <c r="M40" s="14" t="s">
        <v>34</v>
      </c>
      <c r="N40" s="14">
        <v>0</v>
      </c>
      <c r="O40" s="14">
        <v>0</v>
      </c>
    </row>
    <row r="41" spans="5:15" ht="15.75" x14ac:dyDescent="0.25">
      <c r="E41" s="13" t="s">
        <v>3</v>
      </c>
      <c r="F41" s="12" t="s">
        <v>19</v>
      </c>
      <c r="G41" s="10">
        <f>5*175</f>
        <v>875</v>
      </c>
      <c r="H41" s="14">
        <v>924</v>
      </c>
      <c r="I41" s="7">
        <f t="shared" si="2"/>
        <v>5.3030303030302983E-2</v>
      </c>
      <c r="L41" s="14" t="s">
        <v>24</v>
      </c>
      <c r="M41" s="14" t="s">
        <v>35</v>
      </c>
      <c r="N41" s="14">
        <v>139</v>
      </c>
      <c r="O41" s="14">
        <v>0</v>
      </c>
    </row>
    <row r="42" spans="5:15" ht="15.75" x14ac:dyDescent="0.25">
      <c r="E42" s="13" t="s">
        <v>20</v>
      </c>
      <c r="F42" s="12" t="s">
        <v>22</v>
      </c>
      <c r="G42" s="10">
        <f>5*159</f>
        <v>795</v>
      </c>
      <c r="H42" s="14">
        <v>998</v>
      </c>
      <c r="I42" s="11">
        <f t="shared" si="2"/>
        <v>0.20340681362725455</v>
      </c>
      <c r="L42" s="14" t="s">
        <v>25</v>
      </c>
      <c r="M42" s="14" t="s">
        <v>36</v>
      </c>
      <c r="N42" s="14">
        <v>1</v>
      </c>
      <c r="O42" s="14">
        <v>0</v>
      </c>
    </row>
    <row r="43" spans="5:15" ht="15.75" x14ac:dyDescent="0.25">
      <c r="E43" s="13" t="s">
        <v>5</v>
      </c>
      <c r="F43" s="12" t="s">
        <v>21</v>
      </c>
      <c r="G43" s="10">
        <f>5*73</f>
        <v>365</v>
      </c>
      <c r="H43" s="14">
        <v>404</v>
      </c>
      <c r="I43" s="11">
        <f t="shared" si="2"/>
        <v>9.6534653465346509E-2</v>
      </c>
      <c r="L43" s="14" t="s">
        <v>19</v>
      </c>
      <c r="M43" s="14">
        <v>924</v>
      </c>
      <c r="N43" s="14">
        <v>0</v>
      </c>
      <c r="O43" s="14">
        <v>0</v>
      </c>
    </row>
    <row r="44" spans="5:15" ht="15.75" x14ac:dyDescent="0.25">
      <c r="E44" s="13" t="s">
        <v>6</v>
      </c>
      <c r="F44" s="12" t="s">
        <v>25</v>
      </c>
      <c r="G44" s="10">
        <f>5*326</f>
        <v>1630</v>
      </c>
      <c r="H44" s="9">
        <v>1675</v>
      </c>
      <c r="I44" s="11">
        <f t="shared" si="2"/>
        <v>2.68656716417911E-2</v>
      </c>
      <c r="L44" s="14" t="s">
        <v>26</v>
      </c>
      <c r="M44" s="14" t="s">
        <v>34</v>
      </c>
      <c r="N44" s="14">
        <v>0</v>
      </c>
      <c r="O44" s="14">
        <v>0</v>
      </c>
    </row>
  </sheetData>
  <mergeCells count="3">
    <mergeCell ref="E23:I23"/>
    <mergeCell ref="E35:I35"/>
    <mergeCell ref="E9:I9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Автоматизированный расчет</vt:lpstr>
      <vt:lpstr>Соответствие</vt:lpstr>
      <vt:lpstr>SummaryReport</vt:lpstr>
      <vt:lpstr>Шаблоны соотвествие профилю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Назар Грехов</dc:creator>
  <cp:lastModifiedBy>Desu</cp:lastModifiedBy>
  <dcterms:created xsi:type="dcterms:W3CDTF">2015-06-05T18:19:34Z</dcterms:created>
  <dcterms:modified xsi:type="dcterms:W3CDTF">2022-10-24T09:46:29Z</dcterms:modified>
</cp:coreProperties>
</file>