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04"/>
  <workbookPr defaultThemeVersion="124226"/>
  <xr:revisionPtr revIDLastSave="0" documentId="11_F6AF3818E6DF7D1DC9213AAB77385545E88F982C" xr6:coauthVersionLast="47" xr6:coauthVersionMax="47" xr10:uidLastSave="{00000000-0000-0000-0000-000000000000}"/>
  <bookViews>
    <workbookView xWindow="0" yWindow="90" windowWidth="14235" windowHeight="7680" xr2:uid="{00000000-000D-0000-FFFF-FFFF00000000}"/>
  </bookViews>
  <sheets>
    <sheet name="Afmeting cilinder" sheetId="1" r:id="rId1"/>
    <sheet name="Calibratie" sheetId="2" r:id="rId2"/>
    <sheet name="Kracht detergent" sheetId="3" r:id="rId3"/>
    <sheet name="Kracht water" sheetId="4" r:id="rId4"/>
    <sheet name="Oppervlaktespanning" sheetId="5" r:id="rId5"/>
  </sheets>
  <calcPr calcId="145621"/>
</workbook>
</file>

<file path=xl/calcChain.xml><?xml version="1.0" encoding="utf-8"?>
<calcChain xmlns="http://schemas.openxmlformats.org/spreadsheetml/2006/main">
  <c r="H8" i="5" l="1"/>
  <c r="H2" i="5"/>
  <c r="K6" i="4" l="1"/>
  <c r="J6" i="4"/>
  <c r="D6" i="4"/>
  <c r="K5" i="4"/>
  <c r="J5" i="4"/>
  <c r="D5" i="4"/>
  <c r="K4" i="4"/>
  <c r="J4" i="4"/>
  <c r="D4" i="4"/>
  <c r="K3" i="4"/>
  <c r="J3" i="4"/>
  <c r="D3" i="4"/>
  <c r="K2" i="4"/>
  <c r="J2" i="4"/>
  <c r="D2" i="4"/>
  <c r="J3" i="3"/>
  <c r="K3" i="3" s="1"/>
  <c r="J4" i="3"/>
  <c r="J5" i="3"/>
  <c r="J6" i="3"/>
  <c r="K6" i="3" s="1"/>
  <c r="J2" i="3"/>
  <c r="K2" i="3" s="1"/>
  <c r="D3" i="3"/>
  <c r="D4" i="3"/>
  <c r="D5" i="3"/>
  <c r="D6" i="3"/>
  <c r="D2" i="3"/>
  <c r="V5" i="2"/>
  <c r="C7" i="2"/>
  <c r="B7" i="2"/>
  <c r="R5" i="2"/>
  <c r="R6" i="2"/>
  <c r="F3" i="2"/>
  <c r="F4" i="2"/>
  <c r="F5" i="2"/>
  <c r="F6" i="2"/>
  <c r="F2" i="2"/>
  <c r="G3" i="2"/>
  <c r="V3" i="2" s="1"/>
  <c r="G4" i="2"/>
  <c r="V4" i="2" s="1"/>
  <c r="G5" i="2"/>
  <c r="G6" i="2"/>
  <c r="V6" i="2" s="1"/>
  <c r="G2" i="2"/>
  <c r="G7" i="2" s="1"/>
  <c r="F7" i="1"/>
  <c r="F8" i="1" s="1"/>
  <c r="G3" i="1" s="1"/>
  <c r="H3" i="1" s="1"/>
  <c r="B7" i="1"/>
  <c r="B8" i="1" s="1"/>
  <c r="C6" i="1" l="1"/>
  <c r="D6" i="1" s="1"/>
  <c r="C3" i="1"/>
  <c r="D3" i="1" s="1"/>
  <c r="C2" i="1"/>
  <c r="D2" i="1" s="1"/>
  <c r="C4" i="1"/>
  <c r="D4" i="1" s="1"/>
  <c r="C5" i="1"/>
  <c r="D5" i="1" s="1"/>
  <c r="T7" i="2"/>
  <c r="X7" i="2"/>
  <c r="AM7" i="2" s="1"/>
  <c r="G5" i="1"/>
  <c r="H5" i="1" s="1"/>
  <c r="R4" i="2"/>
  <c r="V2" i="2"/>
  <c r="V7" i="2" s="1"/>
  <c r="K5" i="3"/>
  <c r="G6" i="1"/>
  <c r="H6" i="1" s="1"/>
  <c r="G4" i="1"/>
  <c r="H4" i="1" s="1"/>
  <c r="R2" i="2"/>
  <c r="R3" i="2"/>
  <c r="K4" i="3"/>
  <c r="G2" i="1"/>
  <c r="H2" i="1" s="1"/>
  <c r="W7" i="2" l="1"/>
  <c r="Y7" i="2" s="1"/>
  <c r="AI7" i="2"/>
  <c r="AJ7" i="2" s="1"/>
  <c r="AN7" i="2"/>
  <c r="AC7" i="2" s="1"/>
  <c r="H7" i="1"/>
  <c r="H9" i="1" s="1"/>
  <c r="H10" i="1" s="1"/>
  <c r="R7" i="2"/>
  <c r="S7" i="2" s="1"/>
  <c r="U7" i="2" s="1"/>
  <c r="D7" i="1"/>
  <c r="D9" i="1" s="1"/>
  <c r="D10" i="1" s="1"/>
  <c r="Z7" i="2" l="1"/>
  <c r="E2" i="4" l="1"/>
  <c r="AF3" i="2"/>
  <c r="AG3" i="2" s="1"/>
  <c r="AF2" i="2"/>
  <c r="AG2" i="2" s="1"/>
  <c r="E6" i="4"/>
  <c r="E5" i="4"/>
  <c r="E4" i="4"/>
  <c r="E3" i="4"/>
  <c r="AF4" i="2"/>
  <c r="AG4" i="2" s="1"/>
  <c r="AF5" i="2"/>
  <c r="AG5" i="2" s="1"/>
  <c r="AF6" i="2"/>
  <c r="AG6" i="2" s="1"/>
  <c r="E4" i="3"/>
  <c r="E3" i="3"/>
  <c r="E5" i="3"/>
  <c r="E6" i="3"/>
  <c r="E2" i="3"/>
  <c r="AG7" i="2" l="1"/>
  <c r="AH7" i="2" s="1"/>
  <c r="AA5" i="2" l="1"/>
  <c r="AB5" i="2" s="1"/>
  <c r="AA4" i="2"/>
  <c r="AB4" i="2" s="1"/>
  <c r="AA3" i="2"/>
  <c r="AB3" i="2" s="1"/>
  <c r="AA2" i="2"/>
  <c r="AB2" i="2" s="1"/>
  <c r="AB7" i="2" s="1"/>
  <c r="AD7" i="2" s="1"/>
  <c r="AA6" i="2"/>
  <c r="AB6" i="2" s="1"/>
  <c r="H2" i="3" l="1"/>
  <c r="I2" i="3" s="1"/>
  <c r="H2" i="4"/>
  <c r="I2" i="4" s="1"/>
  <c r="AK7" i="2"/>
  <c r="L4" i="4" l="1"/>
  <c r="M4" i="4" s="1"/>
  <c r="L5" i="4"/>
  <c r="M5" i="4" s="1"/>
  <c r="L2" i="4"/>
  <c r="M2" i="4" s="1"/>
  <c r="L6" i="4"/>
  <c r="M6" i="4" s="1"/>
  <c r="L3" i="4"/>
  <c r="M3" i="4" s="1"/>
  <c r="L6" i="3"/>
  <c r="M6" i="3" s="1"/>
  <c r="L2" i="3"/>
  <c r="M2" i="3" s="1"/>
  <c r="L3" i="3"/>
  <c r="M3" i="3" s="1"/>
  <c r="L5" i="3"/>
  <c r="M5" i="3" s="1"/>
  <c r="L4" i="3"/>
  <c r="M4" i="3" s="1"/>
  <c r="C14" i="4" l="1"/>
  <c r="B14" i="4"/>
  <c r="C10" i="3"/>
  <c r="B10" i="3"/>
  <c r="C10" i="4"/>
  <c r="B10" i="4"/>
  <c r="C12" i="3"/>
  <c r="B12" i="3"/>
  <c r="C14" i="3"/>
  <c r="B14" i="3"/>
  <c r="C13" i="4"/>
  <c r="B13" i="4"/>
  <c r="C11" i="3"/>
  <c r="B11" i="3"/>
  <c r="C13" i="3"/>
  <c r="B13" i="3"/>
  <c r="C11" i="4"/>
  <c r="B11" i="4"/>
  <c r="C12" i="4"/>
  <c r="B12" i="4"/>
  <c r="B15" i="3" l="1"/>
  <c r="C15" i="3"/>
  <c r="E15" i="3" s="1"/>
  <c r="C8" i="5" s="1"/>
  <c r="B15" i="4"/>
  <c r="C15" i="4"/>
  <c r="E15" i="4" s="1"/>
  <c r="C2" i="5" s="1"/>
  <c r="D15" i="4" l="1"/>
  <c r="B2" i="5" s="1"/>
  <c r="F2" i="5" s="1"/>
  <c r="D15" i="3"/>
  <c r="B8" i="5" s="1"/>
  <c r="F8" i="5" s="1"/>
  <c r="G8" i="5" l="1"/>
  <c r="I8" i="5" s="1"/>
  <c r="J8" i="5" s="1"/>
  <c r="G2" i="5"/>
  <c r="I2" i="5" s="1"/>
  <c r="J2" i="5" s="1"/>
</calcChain>
</file>

<file path=xl/sharedStrings.xml><?xml version="1.0" encoding="utf-8"?>
<sst xmlns="http://schemas.openxmlformats.org/spreadsheetml/2006/main" count="89" uniqueCount="63">
  <si>
    <t>Buitendiameter (mm)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</si>
  <si>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-X</t>
    </r>
  </si>
  <si>
    <r>
      <t>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-x)²</t>
    </r>
  </si>
  <si>
    <t>Binnendiameter (mm)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</si>
  <si>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-x</t>
    </r>
  </si>
  <si>
    <t>Som</t>
  </si>
  <si>
    <t>Gemiddelde</t>
  </si>
  <si>
    <t>MF</t>
  </si>
  <si>
    <t>17,99 ± 0,01</t>
  </si>
  <si>
    <t>16,30 ± 0,01</t>
  </si>
  <si>
    <t>Massa (kg)</t>
  </si>
  <si>
    <t>Spanning (V)</t>
  </si>
  <si>
    <t>Standaardafwijking</t>
  </si>
  <si>
    <t>Aantal metingen</t>
  </si>
  <si>
    <t>MF (op U)</t>
  </si>
  <si>
    <t>Kracht (N)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</si>
  <si>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.y</t>
    </r>
    <r>
      <rPr>
        <vertAlign val="subscript"/>
        <sz val="11"/>
        <color theme="1"/>
        <rFont val="Calibri"/>
        <family val="2"/>
        <scheme val="minor"/>
      </rPr>
      <t>i</t>
    </r>
  </si>
  <si>
    <r>
      <t>N(∑X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.y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</si>
  <si>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∑X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.∑y</t>
    </r>
    <r>
      <rPr>
        <vertAlign val="subscript"/>
        <sz val="11"/>
        <color theme="1"/>
        <rFont val="Calibri"/>
        <family val="2"/>
        <scheme val="minor"/>
      </rPr>
      <t>i</t>
    </r>
  </si>
  <si>
    <r>
      <t>N(∑X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.y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)-∑Xi.∑yi</t>
    </r>
  </si>
  <si>
    <t>xi²</t>
  </si>
  <si>
    <t>N.∑xi²</t>
  </si>
  <si>
    <t>(∑xi)²</t>
  </si>
  <si>
    <t>N.∑xi²-(∑xi)²</t>
  </si>
  <si>
    <t>a</t>
  </si>
  <si>
    <t>yi-axi-b</t>
  </si>
  <si>
    <t>(yi-axi-b)²</t>
  </si>
  <si>
    <t>(N-2).∆x</t>
  </si>
  <si>
    <t>MFa</t>
  </si>
  <si>
    <t>a.xi</t>
  </si>
  <si>
    <t>yi-a.xi</t>
  </si>
  <si>
    <t>b</t>
  </si>
  <si>
    <t>(∑xi²)/N</t>
  </si>
  <si>
    <t>wortel((∑xi²)/N)</t>
  </si>
  <si>
    <t>MFb</t>
  </si>
  <si>
    <t>(∑xi)²/N</t>
  </si>
  <si>
    <t>∆x</t>
  </si>
  <si>
    <t>som</t>
  </si>
  <si>
    <t>Ubegin</t>
  </si>
  <si>
    <t>Umax</t>
  </si>
  <si>
    <t>Umax-Ubegin</t>
  </si>
  <si>
    <t>(Umax-Ubegin)/a</t>
  </si>
  <si>
    <r>
      <t>MF</t>
    </r>
    <r>
      <rPr>
        <vertAlign val="subscript"/>
        <sz val="11"/>
        <color theme="1"/>
        <rFont val="Calibri"/>
        <family val="2"/>
        <scheme val="minor"/>
      </rPr>
      <t>Ubegin</t>
    </r>
  </si>
  <si>
    <r>
      <t>MF</t>
    </r>
    <r>
      <rPr>
        <vertAlign val="subscript"/>
        <sz val="11"/>
        <color theme="1"/>
        <rFont val="Calibri"/>
        <family val="2"/>
        <scheme val="minor"/>
      </rPr>
      <t>Umax</t>
    </r>
  </si>
  <si>
    <r>
      <t>MF</t>
    </r>
    <r>
      <rPr>
        <vertAlign val="subscript"/>
        <sz val="11"/>
        <color theme="1"/>
        <rFont val="Calibri"/>
        <family val="2"/>
        <scheme val="minor"/>
      </rPr>
      <t>a</t>
    </r>
  </si>
  <si>
    <t>RFa</t>
  </si>
  <si>
    <r>
      <t>MF</t>
    </r>
    <r>
      <rPr>
        <vertAlign val="subscript"/>
        <sz val="11"/>
        <color theme="1"/>
        <rFont val="Calibri"/>
        <family val="2"/>
        <scheme val="minor"/>
      </rPr>
      <t>Umax-Ubegin</t>
    </r>
  </si>
  <si>
    <t>RFi</t>
  </si>
  <si>
    <r>
      <t>RF</t>
    </r>
    <r>
      <rPr>
        <vertAlign val="subscript"/>
        <sz val="11"/>
        <color theme="1"/>
        <rFont val="Calibri"/>
        <family val="2"/>
        <scheme val="minor"/>
      </rPr>
      <t>F</t>
    </r>
  </si>
  <si>
    <r>
      <t>MF</t>
    </r>
    <r>
      <rPr>
        <vertAlign val="subscript"/>
        <sz val="11"/>
        <color theme="1"/>
        <rFont val="Calibri"/>
        <family val="2"/>
        <scheme val="minor"/>
      </rPr>
      <t>F</t>
    </r>
  </si>
  <si>
    <t>Gemiddelde Kracht</t>
  </si>
  <si>
    <t>xi/(MFi)²</t>
  </si>
  <si>
    <t>1/(MFi)²</t>
  </si>
  <si>
    <t>F</t>
  </si>
  <si>
    <t>Water</t>
  </si>
  <si>
    <t>L</t>
  </si>
  <si>
    <r>
      <t>MF</t>
    </r>
    <r>
      <rPr>
        <vertAlign val="subscript"/>
        <sz val="11"/>
        <color theme="1"/>
        <rFont val="Calibri"/>
        <family val="2"/>
        <scheme val="minor"/>
      </rPr>
      <t>L</t>
    </r>
  </si>
  <si>
    <t>ɣ</t>
  </si>
  <si>
    <r>
      <t>RF</t>
    </r>
    <r>
      <rPr>
        <vertAlign val="subscript"/>
        <sz val="11"/>
        <color theme="1"/>
        <rFont val="Calibri"/>
        <family val="2"/>
      </rPr>
      <t>F</t>
    </r>
  </si>
  <si>
    <r>
      <t>RF</t>
    </r>
    <r>
      <rPr>
        <vertAlign val="subscript"/>
        <sz val="11"/>
        <color theme="1"/>
        <rFont val="Calibri"/>
        <family val="2"/>
      </rPr>
      <t>L</t>
    </r>
  </si>
  <si>
    <r>
      <t>RF</t>
    </r>
    <r>
      <rPr>
        <vertAlign val="subscript"/>
        <sz val="11"/>
        <color theme="1"/>
        <rFont val="Calibri"/>
        <family val="2"/>
      </rPr>
      <t>ɣ</t>
    </r>
  </si>
  <si>
    <r>
      <t>MF</t>
    </r>
    <r>
      <rPr>
        <vertAlign val="subscript"/>
        <sz val="11"/>
        <color theme="1"/>
        <rFont val="Calibri"/>
        <family val="2"/>
      </rPr>
      <t>ɣ</t>
    </r>
  </si>
  <si>
    <t>Detergent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</si>
</sst>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Calibratie!$C$1</c:f>
              <c:strCache>
                <c:ptCount val="1"/>
                <c:pt idx="0">
                  <c:v>Spanning (V)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44760172263458"/>
                  <c:y val="0.1096578016582036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5.000000000000001E-3"/>
          </c:errBars>
          <c:xVal>
            <c:numRef>
              <c:f>Calibratie!$G$2:$G$6</c:f>
              <c:numCache>
                <c:formatCode>General</c:formatCode>
                <c:ptCount val="5"/>
                <c:pt idx="0">
                  <c:v>0</c:v>
                </c:pt>
                <c:pt idx="1">
                  <c:v>4.9050000000000005E-4</c:v>
                </c:pt>
                <c:pt idx="2">
                  <c:v>9.810000000000001E-4</c:v>
                </c:pt>
                <c:pt idx="3">
                  <c:v>1.9620000000000002E-3</c:v>
                </c:pt>
                <c:pt idx="4">
                  <c:v>1.9620000000000002E-2</c:v>
                </c:pt>
              </c:numCache>
            </c:numRef>
          </c:xVal>
          <c:yVal>
            <c:numRef>
              <c:f>Calibratie!$C$2:$C$6</c:f>
              <c:numCache>
                <c:formatCode>General</c:formatCode>
                <c:ptCount val="5"/>
                <c:pt idx="0">
                  <c:v>0.106</c:v>
                </c:pt>
                <c:pt idx="1">
                  <c:v>0.153</c:v>
                </c:pt>
                <c:pt idx="2">
                  <c:v>0.2</c:v>
                </c:pt>
                <c:pt idx="3">
                  <c:v>0.318</c:v>
                </c:pt>
                <c:pt idx="4">
                  <c:v>2.2010000000000001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D-492C-B41A-1777ADCC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28032"/>
        <c:axId val="93230208"/>
      </c:scatterChart>
      <c:valAx>
        <c:axId val="932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Zwaartekracht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30208"/>
        <c:crosses val="autoZero"/>
        <c:crossBetween val="midCat"/>
      </c:valAx>
      <c:valAx>
        <c:axId val="932302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Spanning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2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Oppervlaktespanning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Oppervlaktespanning Water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Oppervlaktespanning!$J$2</c:f>
                <c:numCache>
                  <c:formatCode>General</c:formatCode>
                  <c:ptCount val="1"/>
                  <c:pt idx="0">
                    <c:v>2.9204710306795438E-4</c:v>
                  </c:pt>
                </c:numCache>
              </c:numRef>
            </c:plus>
            <c:minus>
              <c:numRef>
                <c:f>Oppervlaktespanning!$J$2</c:f>
                <c:numCache>
                  <c:formatCode>General</c:formatCode>
                  <c:ptCount val="1"/>
                  <c:pt idx="0">
                    <c:v>2.9204710306795438E-4</c:v>
                  </c:pt>
                </c:numCache>
              </c:numRef>
            </c:minus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Oppervlaktespanning!$F$2</c:f>
              <c:numCache>
                <c:formatCode>General</c:formatCode>
                <c:ptCount val="1"/>
                <c:pt idx="0">
                  <c:v>6.8482258402879123E-2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E-43A4-9FC7-130A1AF3D8F9}"/>
            </c:ext>
          </c:extLst>
        </c:ser>
        <c:ser>
          <c:idx val="1"/>
          <c:order val="1"/>
          <c:tx>
            <c:v>Oppervlaktespanning detergent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Oppervlaktespanning!$J$8</c:f>
                <c:numCache>
                  <c:formatCode>General</c:formatCode>
                  <c:ptCount val="1"/>
                  <c:pt idx="0">
                    <c:v>2.7818382231974679E-4</c:v>
                  </c:pt>
                </c:numCache>
              </c:numRef>
            </c:plus>
            <c:minus>
              <c:numRef>
                <c:f>Oppervlaktespanning!$J$8</c:f>
                <c:numCache>
                  <c:formatCode>General</c:formatCode>
                  <c:ptCount val="1"/>
                  <c:pt idx="0">
                    <c:v>2.7818382231974679E-4</c:v>
                  </c:pt>
                </c:numCache>
              </c:numRef>
            </c:minus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Oppervlaktespanning!$F$8</c:f>
              <c:numCache>
                <c:formatCode>General</c:formatCode>
                <c:ptCount val="1"/>
                <c:pt idx="0">
                  <c:v>3.1306065073897313E-2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E-43A4-9FC7-130A1AF3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69536"/>
        <c:axId val="95175424"/>
      </c:scatterChart>
      <c:valAx>
        <c:axId val="951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75424"/>
        <c:crosses val="autoZero"/>
        <c:crossBetween val="midCat"/>
      </c:valAx>
      <c:valAx>
        <c:axId val="95175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Oppervlaktespanning (N/m)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6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695324</xdr:colOff>
      <xdr:row>7</xdr:row>
      <xdr:rowOff>142875</xdr:rowOff>
    </xdr:from>
    <xdr:to>
      <xdr:col>14</xdr:col>
      <xdr:colOff>438149</xdr:colOff>
      <xdr:row>24</xdr:row>
      <xdr:rowOff>128587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85725</xdr:rowOff>
    </xdr:from>
    <xdr:to>
      <xdr:col>13</xdr:col>
      <xdr:colOff>600075</xdr:colOff>
      <xdr:row>31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2" sqref="H2"/>
    </sheetView>
  </sheetViews>
  <sheetFormatPr defaultRowHeight="15"/>
  <cols>
    <col min="1" max="1" width="20.28515625" customWidth="1"/>
    <col min="2" max="2" width="22.140625" customWidth="1"/>
    <col min="3" max="3" width="21.85546875" customWidth="1"/>
    <col min="5" max="5" width="12.140625" customWidth="1"/>
    <col min="6" max="6" width="21" customWidth="1"/>
    <col min="10" max="10" width="20.42578125" customWidth="1"/>
  </cols>
  <sheetData>
    <row r="1" spans="1:8" ht="18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2</v>
      </c>
    </row>
    <row r="2" spans="1:8">
      <c r="B2">
        <v>18.04</v>
      </c>
      <c r="C2">
        <f>B2-$B$8</f>
        <v>4.8000000000001819E-2</v>
      </c>
      <c r="D2">
        <f>C2^2</f>
        <v>2.3040000000001748E-3</v>
      </c>
      <c r="F2">
        <v>16.309999999999999</v>
      </c>
      <c r="G2">
        <f>(F2-$F$8)</f>
        <v>7.9999999999991189E-3</v>
      </c>
      <c r="H2">
        <f>G2^2</f>
        <v>6.3999999999985902E-5</v>
      </c>
    </row>
    <row r="3" spans="1:8">
      <c r="B3">
        <v>17.95</v>
      </c>
      <c r="C3">
        <f t="shared" ref="C3:C6" si="0">B3-$B$8</f>
        <v>-4.1999999999998039E-2</v>
      </c>
      <c r="D3">
        <f t="shared" ref="D3:D6" si="1">C3^2</f>
        <v>1.7639999999998354E-3</v>
      </c>
      <c r="F3">
        <v>16.28</v>
      </c>
      <c r="G3">
        <f t="shared" ref="G3:G6" si="2">(F3-$F$8)</f>
        <v>-2.1999999999998465E-2</v>
      </c>
      <c r="H3">
        <f t="shared" ref="H3:H6" si="3">G3^2</f>
        <v>4.8399999999993246E-4</v>
      </c>
    </row>
    <row r="4" spans="1:8">
      <c r="B4" s="1">
        <v>18</v>
      </c>
      <c r="C4">
        <f t="shared" si="0"/>
        <v>8.0000000000026716E-3</v>
      </c>
      <c r="D4">
        <f t="shared" si="1"/>
        <v>6.4000000000042742E-5</v>
      </c>
      <c r="F4" s="1">
        <v>16.3</v>
      </c>
      <c r="G4">
        <f t="shared" si="2"/>
        <v>-1.9999999999988916E-3</v>
      </c>
      <c r="H4">
        <f t="shared" si="3"/>
        <v>3.9999999999955664E-6</v>
      </c>
    </row>
    <row r="5" spans="1:8">
      <c r="B5">
        <v>17.989999999999998</v>
      </c>
      <c r="C5">
        <f t="shared" si="0"/>
        <v>-1.9999999999988916E-3</v>
      </c>
      <c r="D5">
        <f t="shared" si="1"/>
        <v>3.9999999999955664E-6</v>
      </c>
      <c r="F5">
        <v>16.29</v>
      </c>
      <c r="G5">
        <f t="shared" si="2"/>
        <v>-1.2000000000000455E-2</v>
      </c>
      <c r="H5">
        <f t="shared" si="3"/>
        <v>1.4400000000001093E-4</v>
      </c>
    </row>
    <row r="6" spans="1:8">
      <c r="B6">
        <v>17.98</v>
      </c>
      <c r="C6">
        <f t="shared" si="0"/>
        <v>-1.1999999999996902E-2</v>
      </c>
      <c r="D6">
        <f t="shared" si="1"/>
        <v>1.4399999999992565E-4</v>
      </c>
      <c r="F6">
        <v>16.329999999999998</v>
      </c>
      <c r="G6">
        <f t="shared" si="2"/>
        <v>2.7999999999998693E-2</v>
      </c>
      <c r="H6">
        <f t="shared" si="3"/>
        <v>7.8399999999992679E-4</v>
      </c>
    </row>
    <row r="7" spans="1:8">
      <c r="A7" t="s">
        <v>5</v>
      </c>
      <c r="B7">
        <f>B2+B3+B4+B5+B6</f>
        <v>89.96</v>
      </c>
      <c r="D7">
        <f>SUM(D2:D6)</f>
        <v>4.2799999999999731E-3</v>
      </c>
      <c r="F7">
        <f>F2+F3+F4+F5+F6</f>
        <v>81.510000000000005</v>
      </c>
      <c r="H7">
        <f>SUM(H2:H6)</f>
        <v>1.4799999999998517E-3</v>
      </c>
    </row>
    <row r="8" spans="1:8">
      <c r="A8" t="s">
        <v>6</v>
      </c>
      <c r="B8">
        <f>B7/5</f>
        <v>17.991999999999997</v>
      </c>
      <c r="F8">
        <f>F7/5</f>
        <v>16.302</v>
      </c>
    </row>
    <row r="9" spans="1:8">
      <c r="D9">
        <f>D7/20</f>
        <v>2.1399999999999864E-4</v>
      </c>
      <c r="H9">
        <f>H7/20</f>
        <v>7.3999999999992583E-5</v>
      </c>
    </row>
    <row r="10" spans="1:8">
      <c r="A10" t="s">
        <v>7</v>
      </c>
      <c r="D10">
        <f>SQRT(D9)</f>
        <v>1.4628738838327746E-2</v>
      </c>
      <c r="H10">
        <f>SQRT(H9)</f>
        <v>8.6023252670421949E-3</v>
      </c>
    </row>
    <row r="13" spans="1:8">
      <c r="A13" t="s">
        <v>0</v>
      </c>
      <c r="B13" t="s">
        <v>8</v>
      </c>
    </row>
    <row r="14" spans="1:8">
      <c r="A14" t="s">
        <v>3</v>
      </c>
      <c r="B14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7"/>
  <sheetViews>
    <sheetView topLeftCell="D1" workbookViewId="0">
      <selection activeCell="Q22" sqref="Q22"/>
    </sheetView>
  </sheetViews>
  <sheetFormatPr defaultRowHeight="15"/>
  <cols>
    <col min="2" max="2" width="13" customWidth="1"/>
    <col min="3" max="3" width="13.5703125" customWidth="1"/>
    <col min="4" max="4" width="18.140625" customWidth="1"/>
    <col min="5" max="5" width="16.85546875" customWidth="1"/>
    <col min="6" max="6" width="11.85546875" customWidth="1"/>
    <col min="7" max="7" width="12.7109375" customWidth="1"/>
    <col min="21" max="21" width="15.85546875" customWidth="1"/>
    <col min="22" max="23" width="12" bestFit="1" customWidth="1"/>
    <col min="24" max="24" width="11" bestFit="1" customWidth="1"/>
    <col min="25" max="25" width="14.42578125" customWidth="1"/>
    <col min="28" max="28" width="12" bestFit="1" customWidth="1"/>
    <col min="34" max="35" width="12.28515625" customWidth="1"/>
    <col min="36" max="36" width="15.28515625" customWidth="1"/>
    <col min="37" max="37" width="12.28515625" customWidth="1"/>
  </cols>
  <sheetData>
    <row r="1" spans="1:40" ht="18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>
        <v>9.81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M1" t="s">
        <v>35</v>
      </c>
      <c r="AN1" s="2" t="s">
        <v>36</v>
      </c>
    </row>
    <row r="2" spans="1:40">
      <c r="B2">
        <v>0</v>
      </c>
      <c r="C2">
        <v>0.106</v>
      </c>
      <c r="D2">
        <v>7.0000000000000001E-3</v>
      </c>
      <c r="E2">
        <v>53</v>
      </c>
      <c r="F2">
        <f>D2/E2</f>
        <v>1.3207547169811321E-4</v>
      </c>
      <c r="G2">
        <f>B2*$H$1</f>
        <v>0</v>
      </c>
      <c r="R2">
        <f>G2*C2</f>
        <v>0</v>
      </c>
      <c r="V2">
        <f>G2^2</f>
        <v>0</v>
      </c>
      <c r="AA2">
        <f>C2-$Z$7*G2-$AH$7</f>
        <v>3.6114314789687935E-3</v>
      </c>
      <c r="AB2">
        <f>AA2^2</f>
        <v>1.3042437327286728E-5</v>
      </c>
      <c r="AF2">
        <f>$Z$7*G2</f>
        <v>0</v>
      </c>
      <c r="AG2">
        <f>C2-AF2</f>
        <v>0.106</v>
      </c>
    </row>
    <row r="3" spans="1:40">
      <c r="B3">
        <v>5.0000000000000002E-5</v>
      </c>
      <c r="C3">
        <v>0.153</v>
      </c>
      <c r="D3">
        <v>4.0000000000000001E-3</v>
      </c>
      <c r="E3">
        <v>53</v>
      </c>
      <c r="F3">
        <f t="shared" ref="F3:F6" si="0">D3/E3</f>
        <v>7.5471698113207552E-5</v>
      </c>
      <c r="G3">
        <f>B3*$H$1</f>
        <v>4.9050000000000005E-4</v>
      </c>
      <c r="R3">
        <f t="shared" ref="R3:R6" si="1">G3*C3</f>
        <v>7.5046500000000007E-5</v>
      </c>
      <c r="V3">
        <f>G3^2</f>
        <v>2.4059025000000007E-7</v>
      </c>
      <c r="AA3">
        <f t="shared" ref="AA3:AA6" si="2">C3-$Z$7*G3-$AH$7</f>
        <v>-1.8578697421980928E-3</v>
      </c>
      <c r="AB3">
        <f t="shared" ref="AB3:AB6" si="3">AA3^2</f>
        <v>3.4516799789752076E-6</v>
      </c>
      <c r="AF3">
        <f t="shared" ref="AF3:AF6" si="4">$Z$7*G3</f>
        <v>5.2469301221166893E-2</v>
      </c>
      <c r="AG3">
        <f t="shared" ref="AG3:AG6" si="5">C3-AF3</f>
        <v>0.10053069877883311</v>
      </c>
    </row>
    <row r="4" spans="1:40">
      <c r="B4">
        <v>1E-4</v>
      </c>
      <c r="C4">
        <v>0.2</v>
      </c>
      <c r="D4">
        <v>5.0000000000000001E-3</v>
      </c>
      <c r="E4">
        <v>54</v>
      </c>
      <c r="F4">
        <f t="shared" si="0"/>
        <v>9.2592592592592588E-5</v>
      </c>
      <c r="G4">
        <f>B4*$H$1</f>
        <v>9.810000000000001E-4</v>
      </c>
      <c r="R4">
        <f t="shared" si="1"/>
        <v>1.9620000000000003E-4</v>
      </c>
      <c r="V4">
        <f>G4^2</f>
        <v>9.6236100000000029E-7</v>
      </c>
      <c r="AA4">
        <f t="shared" si="2"/>
        <v>-7.327170963364979E-3</v>
      </c>
      <c r="AB4">
        <f t="shared" si="3"/>
        <v>5.3687434326378874E-5</v>
      </c>
      <c r="AF4">
        <f t="shared" si="4"/>
        <v>0.10493860244233379</v>
      </c>
      <c r="AG4">
        <f t="shared" si="5"/>
        <v>9.5061397557666225E-2</v>
      </c>
    </row>
    <row r="5" spans="1:40">
      <c r="B5">
        <v>2.0000000000000001E-4</v>
      </c>
      <c r="C5">
        <v>0.318</v>
      </c>
      <c r="D5">
        <v>2E-3</v>
      </c>
      <c r="E5">
        <v>29</v>
      </c>
      <c r="F5">
        <f t="shared" si="0"/>
        <v>6.8965517241379313E-5</v>
      </c>
      <c r="G5">
        <f>B5*$H$1</f>
        <v>1.9620000000000002E-3</v>
      </c>
      <c r="R5">
        <f t="shared" si="1"/>
        <v>6.2391600000000008E-4</v>
      </c>
      <c r="V5">
        <f>G5^2</f>
        <v>3.8494440000000012E-6</v>
      </c>
      <c r="AA5">
        <f t="shared" si="2"/>
        <v>5.7342265943012283E-3</v>
      </c>
      <c r="AB5">
        <f t="shared" si="3"/>
        <v>3.2881354634791462E-5</v>
      </c>
      <c r="AF5">
        <f t="shared" si="4"/>
        <v>0.20987720488466757</v>
      </c>
      <c r="AG5">
        <f t="shared" si="5"/>
        <v>0.10812279511533243</v>
      </c>
    </row>
    <row r="6" spans="1:40">
      <c r="B6">
        <v>2E-3</v>
      </c>
      <c r="C6">
        <v>2.2010000000000001</v>
      </c>
      <c r="D6">
        <v>4.0000000000000001E-3</v>
      </c>
      <c r="E6">
        <v>26</v>
      </c>
      <c r="F6">
        <f t="shared" si="0"/>
        <v>1.5384615384615385E-4</v>
      </c>
      <c r="G6">
        <f>B6*$H$1</f>
        <v>1.9620000000000002E-2</v>
      </c>
      <c r="R6">
        <f t="shared" si="1"/>
        <v>4.3183620000000006E-2</v>
      </c>
      <c r="V6">
        <f>G6^2</f>
        <v>3.849444000000001E-4</v>
      </c>
      <c r="AA6">
        <f t="shared" si="2"/>
        <v>-1.6061736770703328E-4</v>
      </c>
      <c r="AB6">
        <f t="shared" si="3"/>
        <v>2.5797938809136336E-8</v>
      </c>
      <c r="AF6">
        <f t="shared" si="4"/>
        <v>2.0987720488466759</v>
      </c>
      <c r="AG6">
        <f t="shared" si="5"/>
        <v>0.10222795115332417</v>
      </c>
    </row>
    <row r="7" spans="1:40">
      <c r="A7" t="s">
        <v>37</v>
      </c>
      <c r="B7">
        <f>SUM(B2:B6)</f>
        <v>2.3500000000000001E-3</v>
      </c>
      <c r="C7">
        <f>SUM(C2:C6)</f>
        <v>2.9780000000000002</v>
      </c>
      <c r="G7">
        <f>SUM(G2:G6)</f>
        <v>2.3053500000000001E-2</v>
      </c>
      <c r="Q7" t="s">
        <v>37</v>
      </c>
      <c r="R7">
        <f>SUM(R2:R6)</f>
        <v>4.4078782500000004E-2</v>
      </c>
      <c r="S7">
        <f>5*R7</f>
        <v>0.22039391250000001</v>
      </c>
      <c r="T7">
        <f>G7*C7</f>
        <v>6.8653323000000002E-2</v>
      </c>
      <c r="U7">
        <f>S7-T7</f>
        <v>0.15174058950000002</v>
      </c>
      <c r="V7">
        <f>SUM(V2:V6)</f>
        <v>3.8999679525000011E-4</v>
      </c>
      <c r="W7">
        <f>5*V7</f>
        <v>1.9499839762500005E-3</v>
      </c>
      <c r="X7">
        <f>G7^2</f>
        <v>5.3146386225000005E-4</v>
      </c>
      <c r="Y7">
        <f>W7-X7</f>
        <v>1.4185201140000003E-3</v>
      </c>
      <c r="Z7">
        <f>U7/Y7</f>
        <v>106.97105243866848</v>
      </c>
      <c r="AB7">
        <f>SUM(AB2:AB6)</f>
        <v>1.030887042062414E-4</v>
      </c>
      <c r="AC7">
        <f>3*AN7</f>
        <v>8.511120684000004E-4</v>
      </c>
      <c r="AD7">
        <f>SQRT((AB7/AC7))</f>
        <v>0.34802638144547293</v>
      </c>
      <c r="AG7">
        <f>SUM(AG2:AG6)</f>
        <v>0.51194284260515599</v>
      </c>
      <c r="AH7">
        <f>AG7/5</f>
        <v>0.1023885685210312</v>
      </c>
      <c r="AI7">
        <f>V7/5</f>
        <v>7.7999359050000028E-5</v>
      </c>
      <c r="AJ7">
        <f>SQRT(AI7)</f>
        <v>8.8317245796050523E-3</v>
      </c>
      <c r="AK7">
        <f>AJ7*AD7</f>
        <v>3.0736731473629871E-3</v>
      </c>
      <c r="AM7">
        <f>X7/5</f>
        <v>1.0629277245000001E-4</v>
      </c>
      <c r="AN7">
        <f>V7-AM7</f>
        <v>2.8370402280000013E-4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E5" sqref="E5"/>
    </sheetView>
  </sheetViews>
  <sheetFormatPr defaultRowHeight="15"/>
  <cols>
    <col min="1" max="1" width="21.42578125" customWidth="1"/>
    <col min="2" max="2" width="10.5703125" customWidth="1"/>
    <col min="3" max="3" width="10.85546875" customWidth="1"/>
    <col min="4" max="4" width="15.28515625" customWidth="1"/>
    <col min="5" max="5" width="17.85546875" customWidth="1"/>
    <col min="6" max="6" width="15" customWidth="1"/>
    <col min="10" max="10" width="13.140625" customWidth="1"/>
    <col min="13" max="13" width="15" customWidth="1"/>
  </cols>
  <sheetData>
    <row r="1" spans="1:13" ht="18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</row>
    <row r="2" spans="1:13">
      <c r="B2">
        <v>6.3079999999999998</v>
      </c>
      <c r="C2">
        <v>6.6509999999999998</v>
      </c>
      <c r="D2">
        <f>C2-B2</f>
        <v>0.34299999999999997</v>
      </c>
      <c r="E2">
        <f>D2/Calibratie!$Z$7</f>
        <v>3.2064749498155864E-3</v>
      </c>
      <c r="F2">
        <v>5.0000000000000001E-3</v>
      </c>
      <c r="G2">
        <v>5.0000000000000001E-3</v>
      </c>
      <c r="H2">
        <f>Calibratie!AD7</f>
        <v>0.34802638144547293</v>
      </c>
      <c r="I2">
        <f>H2/Calibratie!Z7</f>
        <v>3.2534631894456938E-3</v>
      </c>
      <c r="J2">
        <f>SQRT((F2^2)+(G2^2))</f>
        <v>7.0710678118654753E-3</v>
      </c>
      <c r="K2">
        <f>J2/D2</f>
        <v>2.0615358052085937E-2</v>
      </c>
      <c r="L2">
        <f>SQRT((K2^2)+($I$2^2))</f>
        <v>2.0870505751916568E-2</v>
      </c>
      <c r="M2">
        <f>E2*L2</f>
        <v>6.6920753883502584E-5</v>
      </c>
    </row>
    <row r="3" spans="1:13">
      <c r="B3" s="3">
        <v>6.28</v>
      </c>
      <c r="C3">
        <v>6.6459999999999999</v>
      </c>
      <c r="D3">
        <f t="shared" ref="D3:D6" si="0">C3-B3</f>
        <v>0.36599999999999966</v>
      </c>
      <c r="E3">
        <f>D3/Calibratie!$Z$7</f>
        <v>3.421486389599136E-3</v>
      </c>
      <c r="F3">
        <v>5.0000000000000001E-3</v>
      </c>
      <c r="G3">
        <v>5.0000000000000001E-3</v>
      </c>
      <c r="J3">
        <f>SQRT((F3^2)+(G3^2))</f>
        <v>7.0710678118654753E-3</v>
      </c>
      <c r="K3">
        <f>J3/D3</f>
        <v>1.9319857409468531E-2</v>
      </c>
      <c r="L3">
        <f t="shared" ref="L3:L6" si="1">SQRT((K3^2)+($I$2^2))</f>
        <v>1.9591883856517583E-2</v>
      </c>
      <c r="M3">
        <f t="shared" ref="M3:M6" si="2">E3*L3</f>
        <v>6.703336396168194E-5</v>
      </c>
    </row>
    <row r="4" spans="1:13">
      <c r="B4">
        <v>6.274</v>
      </c>
      <c r="C4">
        <v>6.6210000000000004</v>
      </c>
      <c r="D4">
        <f t="shared" si="0"/>
        <v>0.34700000000000042</v>
      </c>
      <c r="E4">
        <f>D4/Calibratie!$Z$7</f>
        <v>3.243868243690991E-3</v>
      </c>
      <c r="F4">
        <v>5.0000000000000001E-3</v>
      </c>
      <c r="G4">
        <v>5.0000000000000001E-3</v>
      </c>
      <c r="J4">
        <f>SQRT((F4^2)+(G4^2))</f>
        <v>7.0710678118654753E-3</v>
      </c>
      <c r="K4">
        <f>J4/D4</f>
        <v>2.0377717037076273E-2</v>
      </c>
      <c r="L4">
        <f t="shared" si="1"/>
        <v>2.0635803215969733E-2</v>
      </c>
      <c r="M4">
        <f t="shared" si="2"/>
        <v>6.6939826735340645E-5</v>
      </c>
    </row>
    <row r="5" spans="1:13">
      <c r="B5">
        <v>6.274</v>
      </c>
      <c r="C5">
        <v>6.641</v>
      </c>
      <c r="D5">
        <f t="shared" si="0"/>
        <v>0.36699999999999999</v>
      </c>
      <c r="E5">
        <f>D5/Calibratie!$Z$7</f>
        <v>3.430834713067989E-3</v>
      </c>
      <c r="F5">
        <v>5.0000000000000001E-3</v>
      </c>
      <c r="G5">
        <v>5.0000000000000001E-3</v>
      </c>
      <c r="J5">
        <f>SQRT((F5^2)+(G5^2))</f>
        <v>7.0710678118654753E-3</v>
      </c>
      <c r="K5">
        <f>J5/D5</f>
        <v>1.9267214746227453E-2</v>
      </c>
      <c r="L5">
        <f t="shared" si="1"/>
        <v>1.9539974073737219E-2</v>
      </c>
      <c r="M5">
        <f t="shared" si="2"/>
        <v>6.7038421344626172E-5</v>
      </c>
    </row>
    <row r="6" spans="1:13">
      <c r="B6" s="3">
        <v>6.26</v>
      </c>
      <c r="C6">
        <v>6.641</v>
      </c>
      <c r="D6">
        <f t="shared" si="0"/>
        <v>0.38100000000000023</v>
      </c>
      <c r="E6">
        <f>D6/Calibratie!$Z$7</f>
        <v>3.5617112416318928E-3</v>
      </c>
      <c r="F6">
        <v>5.0000000000000001E-3</v>
      </c>
      <c r="G6">
        <v>5.0000000000000001E-3</v>
      </c>
      <c r="J6">
        <f>SQRT((F6^2)+(G6^2))</f>
        <v>7.0710678118654753E-3</v>
      </c>
      <c r="K6">
        <f>J6/D6</f>
        <v>1.8559233102009111E-2</v>
      </c>
      <c r="L6">
        <f t="shared" si="1"/>
        <v>1.8842243923158114E-2</v>
      </c>
      <c r="M6">
        <f t="shared" si="2"/>
        <v>6.7110631998682472E-5</v>
      </c>
    </row>
    <row r="9" spans="1:13" ht="18">
      <c r="A9" t="s">
        <v>50</v>
      </c>
      <c r="B9" t="s">
        <v>51</v>
      </c>
      <c r="C9" t="s">
        <v>52</v>
      </c>
      <c r="D9" t="s">
        <v>53</v>
      </c>
      <c r="E9" t="s">
        <v>49</v>
      </c>
    </row>
    <row r="10" spans="1:13">
      <c r="B10">
        <f>E2/(M2^2)</f>
        <v>715988.75550017308</v>
      </c>
      <c r="C10">
        <f>1/(M2^2)</f>
        <v>223294666.79331198</v>
      </c>
    </row>
    <row r="11" spans="1:13">
      <c r="B11">
        <f t="shared" ref="B11:B14" si="3">E3/(M3^2)</f>
        <v>761434.91667709872</v>
      </c>
      <c r="C11">
        <f t="shared" ref="C11:C14" si="4">1/(M3^2)</f>
        <v>222545066.6680305</v>
      </c>
    </row>
    <row r="12" spans="1:13">
      <c r="B12">
        <f t="shared" si="3"/>
        <v>723925.77264818421</v>
      </c>
      <c r="C12">
        <f t="shared" si="4"/>
        <v>223167440.3102375</v>
      </c>
    </row>
    <row r="13" spans="1:13">
      <c r="B13">
        <f t="shared" si="3"/>
        <v>763400.14499644842</v>
      </c>
      <c r="C13">
        <f t="shared" si="4"/>
        <v>222511490.3054556</v>
      </c>
    </row>
    <row r="14" spans="1:13">
      <c r="B14">
        <f t="shared" si="3"/>
        <v>790817.09643441474</v>
      </c>
      <c r="C14">
        <f t="shared" si="4"/>
        <v>222032905.75349417</v>
      </c>
    </row>
    <row r="15" spans="1:13">
      <c r="A15" t="s">
        <v>5</v>
      </c>
      <c r="B15">
        <f>SUM(B10:B14)</f>
        <v>3755566.6862563193</v>
      </c>
      <c r="C15">
        <f>SUM(C10:C14)</f>
        <v>1113551569.8305297</v>
      </c>
      <c r="D15">
        <f>B15/C15</f>
        <v>3.3726023904109581E-3</v>
      </c>
      <c r="E15">
        <f>SQRT((1/C15))</f>
        <v>2.9967107980721603E-5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workbookViewId="0">
      <selection activeCell="D15" sqref="D15"/>
    </sheetView>
  </sheetViews>
  <sheetFormatPr defaultRowHeight="15"/>
  <cols>
    <col min="1" max="1" width="19.85546875" customWidth="1"/>
    <col min="3" max="3" width="11" bestFit="1" customWidth="1"/>
    <col min="4" max="4" width="14.7109375" customWidth="1"/>
    <col min="5" max="5" width="19" customWidth="1"/>
    <col min="10" max="10" width="12.7109375" customWidth="1"/>
  </cols>
  <sheetData>
    <row r="1" spans="1:13" ht="18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</row>
    <row r="2" spans="1:13">
      <c r="B2">
        <v>6.2750000000000004</v>
      </c>
      <c r="C2">
        <v>7.0949999999999998</v>
      </c>
      <c r="D2">
        <f>C2-B2</f>
        <v>0.8199999999999994</v>
      </c>
      <c r="E2">
        <f>D2/Calibratie!$Z$7</f>
        <v>7.6656252444570819E-3</v>
      </c>
      <c r="F2">
        <v>5.0000000000000001E-3</v>
      </c>
      <c r="G2">
        <v>5.0000000000000001E-3</v>
      </c>
      <c r="H2">
        <f>Calibratie!AD7</f>
        <v>0.34802638144547293</v>
      </c>
      <c r="I2">
        <f>H2/Calibratie!Z7</f>
        <v>3.2534631894456938E-3</v>
      </c>
      <c r="J2">
        <f>SQRT((F2^2)+(G2^2))</f>
        <v>7.0710678118654753E-3</v>
      </c>
      <c r="K2">
        <f>J2/D2</f>
        <v>8.6232534291042443E-3</v>
      </c>
      <c r="L2">
        <f>SQRT((K2^2)+($I$2^2))</f>
        <v>9.2165895225748366E-3</v>
      </c>
      <c r="M2">
        <f>E2*L2</f>
        <v>7.0650921312048309E-5</v>
      </c>
    </row>
    <row r="3" spans="1:13">
      <c r="B3">
        <v>6.2750000000000004</v>
      </c>
      <c r="C3" s="3">
        <v>7.09</v>
      </c>
      <c r="D3">
        <f t="shared" ref="D3:D6" si="0">C3-B3</f>
        <v>0.8149999999999995</v>
      </c>
      <c r="E3">
        <f>D3/Calibratie!$Z$7</f>
        <v>7.6188836271128321E-3</v>
      </c>
      <c r="F3">
        <v>5.0000000000000001E-3</v>
      </c>
      <c r="G3">
        <v>5.0000000000000001E-3</v>
      </c>
      <c r="J3">
        <f>SQRT((F3^2)+(G3^2))</f>
        <v>7.0710678118654753E-3</v>
      </c>
      <c r="K3">
        <f>J3/D3</f>
        <v>8.676156824374821E-3</v>
      </c>
      <c r="L3">
        <f t="shared" ref="L3:L6" si="1">SQRT((K3^2)+($I$2^2))</f>
        <v>9.2661059764187845E-3</v>
      </c>
      <c r="M3">
        <f t="shared" ref="M3:M6" si="2">E3*L3</f>
        <v>7.0597383110829439E-5</v>
      </c>
    </row>
    <row r="4" spans="1:13">
      <c r="B4" s="3">
        <v>6.27</v>
      </c>
      <c r="C4">
        <v>7.0750000000000002</v>
      </c>
      <c r="D4">
        <f t="shared" si="0"/>
        <v>0.8050000000000006</v>
      </c>
      <c r="E4">
        <f>D4/Calibratie!$Z$7</f>
        <v>7.525400392424342E-3</v>
      </c>
      <c r="F4">
        <v>5.0000000000000001E-3</v>
      </c>
      <c r="G4">
        <v>5.0000000000000001E-3</v>
      </c>
      <c r="J4">
        <f>SQRT((F4^2)+(G4^2))</f>
        <v>7.0710678118654753E-3</v>
      </c>
      <c r="K4">
        <f>J4/D4</f>
        <v>8.7839351700192171E-3</v>
      </c>
      <c r="L4">
        <f t="shared" si="1"/>
        <v>9.3670987929122783E-3</v>
      </c>
      <c r="M4">
        <f t="shared" si="2"/>
        <v>7.0491168932059639E-5</v>
      </c>
    </row>
    <row r="5" spans="1:13">
      <c r="B5">
        <v>6.3540000000000001</v>
      </c>
      <c r="C5">
        <v>7.0709999999999997</v>
      </c>
      <c r="D5">
        <f t="shared" si="0"/>
        <v>0.71699999999999964</v>
      </c>
      <c r="E5">
        <f>D5/Calibratie!$Z$7</f>
        <v>6.7027479271655234E-3</v>
      </c>
      <c r="F5">
        <v>5.0000000000000001E-3</v>
      </c>
      <c r="G5">
        <v>5.0000000000000001E-3</v>
      </c>
      <c r="J5">
        <f>SQRT((F5^2)+(G5^2))</f>
        <v>7.0710678118654753E-3</v>
      </c>
      <c r="K5">
        <f>J5/D5</f>
        <v>9.8620192634107096E-3</v>
      </c>
      <c r="L5">
        <f t="shared" si="1"/>
        <v>1.0384818085886824E-2</v>
      </c>
      <c r="M5">
        <f t="shared" si="2"/>
        <v>6.9606817899168949E-5</v>
      </c>
    </row>
    <row r="6" spans="1:13">
      <c r="B6" s="3">
        <v>6.28</v>
      </c>
      <c r="C6">
        <v>7.0709999999999997</v>
      </c>
      <c r="D6">
        <f t="shared" si="0"/>
        <v>0.79099999999999948</v>
      </c>
      <c r="E6">
        <f>D6/Calibratie!$Z$7</f>
        <v>7.3945238638604294E-3</v>
      </c>
      <c r="F6">
        <v>5.0000000000000001E-3</v>
      </c>
      <c r="G6">
        <v>5.0000000000000001E-3</v>
      </c>
      <c r="J6">
        <f>SQRT((F6^2)+(G6^2))</f>
        <v>7.0710678118654753E-3</v>
      </c>
      <c r="K6">
        <f>J6/D6</f>
        <v>8.9394030491346151E-3</v>
      </c>
      <c r="L6">
        <f t="shared" si="1"/>
        <v>9.513041027976038E-3</v>
      </c>
      <c r="M6">
        <f t="shared" si="2"/>
        <v>7.0344408899252161E-5</v>
      </c>
    </row>
    <row r="9" spans="1:13" ht="18">
      <c r="A9" t="s">
        <v>50</v>
      </c>
      <c r="B9" t="s">
        <v>51</v>
      </c>
      <c r="C9" t="s">
        <v>52</v>
      </c>
      <c r="D9" t="s">
        <v>53</v>
      </c>
      <c r="E9" t="s">
        <v>49</v>
      </c>
    </row>
    <row r="10" spans="1:13">
      <c r="B10">
        <f>E2/(M2^2)</f>
        <v>1535719.5911664029</v>
      </c>
      <c r="C10">
        <f>1/(M2^2)</f>
        <v>200338464.53384382</v>
      </c>
    </row>
    <row r="11" spans="1:13">
      <c r="B11">
        <f t="shared" ref="B11:B14" si="3">E3/(M3^2)</f>
        <v>1528671.3776655197</v>
      </c>
      <c r="C11">
        <f t="shared" ref="C11:C14" si="4">1/(M3^2)</f>
        <v>200642436.93466258</v>
      </c>
    </row>
    <row r="12" spans="1:13">
      <c r="B12">
        <f t="shared" si="3"/>
        <v>1514468.2985419447</v>
      </c>
      <c r="C12">
        <f t="shared" si="4"/>
        <v>201247537.61494568</v>
      </c>
    </row>
    <row r="13" spans="1:13">
      <c r="B13">
        <f t="shared" si="3"/>
        <v>1383404.9536399164</v>
      </c>
      <c r="C13">
        <f t="shared" si="4"/>
        <v>206393701.3106406</v>
      </c>
    </row>
    <row r="14" spans="1:13">
      <c r="B14">
        <f t="shared" si="3"/>
        <v>1494345.5876905234</v>
      </c>
      <c r="C14">
        <f t="shared" si="4"/>
        <v>202088141.87400246</v>
      </c>
    </row>
    <row r="15" spans="1:13">
      <c r="A15" t="s">
        <v>5</v>
      </c>
      <c r="B15">
        <f>SUM(B10:B14)</f>
        <v>7456609.8087043073</v>
      </c>
      <c r="C15">
        <f>SUM(C10:C14)</f>
        <v>1010710282.2680951</v>
      </c>
      <c r="D15">
        <f>B15/C15</f>
        <v>7.3775936977421687E-3</v>
      </c>
      <c r="E15">
        <f>SQRT((1/C15))</f>
        <v>3.1454780436669758E-5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20" sqref="D20"/>
    </sheetView>
  </sheetViews>
  <sheetFormatPr defaultRowHeight="15"/>
  <cols>
    <col min="3" max="3" width="12" bestFit="1" customWidth="1"/>
    <col min="8" max="8" width="12" bestFit="1" customWidth="1"/>
    <col min="9" max="9" width="10.7109375" customWidth="1"/>
  </cols>
  <sheetData>
    <row r="1" spans="1:10" ht="18">
      <c r="A1" s="4" t="s">
        <v>54</v>
      </c>
      <c r="B1" t="s">
        <v>53</v>
      </c>
      <c r="C1" t="s">
        <v>49</v>
      </c>
      <c r="D1" t="s">
        <v>55</v>
      </c>
      <c r="E1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</row>
    <row r="2" spans="1:10">
      <c r="B2">
        <f>'Kracht water'!D15</f>
        <v>7.3775936977421687E-3</v>
      </c>
      <c r="C2">
        <f>'Kracht water'!E15</f>
        <v>3.1454780436669758E-5</v>
      </c>
      <c r="D2">
        <v>0.10773000000000001</v>
      </c>
      <c r="E2">
        <v>1.0000000000000001E-5</v>
      </c>
      <c r="F2">
        <f>B2/D2</f>
        <v>6.8482258402879123E-2</v>
      </c>
      <c r="G2">
        <f>C2/B2</f>
        <v>4.2635555338722637E-3</v>
      </c>
      <c r="H2">
        <f>E2/D2</f>
        <v>9.2824654228163008E-5</v>
      </c>
      <c r="I2">
        <f>SQRT((G2^2)+(H2^2))</f>
        <v>4.2645658872674701E-3</v>
      </c>
      <c r="J2">
        <f>I2*F2</f>
        <v>2.9204710306795438E-4</v>
      </c>
    </row>
    <row r="7" spans="1:10">
      <c r="A7" s="4" t="s">
        <v>62</v>
      </c>
    </row>
    <row r="8" spans="1:10">
      <c r="B8">
        <f>'Kracht detergent'!D15</f>
        <v>3.3726023904109581E-3</v>
      </c>
      <c r="C8">
        <f>'Kracht detergent'!E15</f>
        <v>2.9967107980721603E-5</v>
      </c>
      <c r="D8">
        <v>0.10773000000000001</v>
      </c>
      <c r="E8">
        <v>1.0000000000000001E-5</v>
      </c>
      <c r="F8">
        <f>B8/D8</f>
        <v>3.1306065073897313E-2</v>
      </c>
      <c r="G8">
        <f t="shared" ref="G8" si="0">C8/B8</f>
        <v>8.8854553581307442E-3</v>
      </c>
      <c r="H8">
        <f t="shared" ref="H8" si="1">E8/D8</f>
        <v>9.2824654228163008E-5</v>
      </c>
      <c r="I8">
        <f t="shared" ref="I8" si="2">SQRT((G8^2)+(H8^2))</f>
        <v>8.8859402056150998E-3</v>
      </c>
      <c r="J8">
        <f t="shared" ref="J8" si="3">I8*F8</f>
        <v>2.7818382231974679E-4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universtiteit antwerpen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Ilias Taouili</cp:lastModifiedBy>
  <cp:revision/>
  <dcterms:created xsi:type="dcterms:W3CDTF">2012-03-22T14:17:53Z</dcterms:created>
  <dcterms:modified xsi:type="dcterms:W3CDTF">2023-04-12T13:29:11Z</dcterms:modified>
  <cp:category/>
  <cp:contentStatus/>
</cp:coreProperties>
</file>