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Jaar_5\Data Science\Prediction\Forecasting\"/>
    </mc:Choice>
  </mc:AlternateContent>
  <bookViews>
    <workbookView xWindow="0" yWindow="0" windowWidth="23040" windowHeight="8820" activeTab="5"/>
  </bookViews>
  <sheets>
    <sheet name="SES" sheetId="1" r:id="rId1"/>
    <sheet name="DES_lin_reg_18mnd" sheetId="6" r:id="rId2"/>
    <sheet name="DES" sheetId="2" r:id="rId3"/>
    <sheet name="Lin_regression_TES" sheetId="5" r:id="rId4"/>
    <sheet name="TESseizoensinvloeden" sheetId="4" r:id="rId5"/>
    <sheet name="TES" sheetId="3" r:id="rId6"/>
  </sheets>
  <calcPr calcId="152511"/>
</workbook>
</file>

<file path=xl/calcChain.xml><?xml version="1.0" encoding="utf-8"?>
<calcChain xmlns="http://schemas.openxmlformats.org/spreadsheetml/2006/main">
  <c r="F16" i="4" l="1"/>
  <c r="F17" i="4"/>
  <c r="F18" i="4"/>
  <c r="F19" i="4"/>
  <c r="F20" i="4"/>
  <c r="F15" i="4" l="1"/>
  <c r="F10" i="4"/>
  <c r="F11" i="4"/>
  <c r="F12" i="4"/>
  <c r="F13" i="4"/>
  <c r="F14" i="4"/>
  <c r="F9" i="4"/>
  <c r="E21" i="4"/>
  <c r="E22" i="4"/>
  <c r="E23" i="4"/>
  <c r="E24" i="4"/>
  <c r="E25" i="4"/>
  <c r="E26" i="4"/>
  <c r="E27" i="4"/>
  <c r="E28" i="4"/>
  <c r="E29" i="4"/>
  <c r="E30" i="4"/>
  <c r="E31" i="4"/>
  <c r="E32" i="4"/>
  <c r="E10" i="4"/>
  <c r="E11" i="4"/>
  <c r="E12" i="4"/>
  <c r="E13" i="4"/>
  <c r="E14" i="4"/>
  <c r="E15" i="4"/>
  <c r="E16" i="4"/>
  <c r="E17" i="4"/>
  <c r="E18" i="4"/>
  <c r="E19" i="4"/>
  <c r="E20" i="4"/>
  <c r="E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9" i="4"/>
  <c r="C54" i="2" l="1"/>
  <c r="C55" i="2" s="1"/>
  <c r="C56" i="2" s="1"/>
  <c r="C57" i="2" s="1"/>
  <c r="C58" i="2" s="1"/>
  <c r="C53" i="2"/>
  <c r="C5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D13" i="2"/>
  <c r="C13" i="2"/>
  <c r="G12" i="2"/>
  <c r="F12" i="2"/>
  <c r="D12" i="2"/>
  <c r="C12" i="2"/>
  <c r="D11" i="2"/>
  <c r="C11" i="2"/>
  <c r="C47" i="1"/>
  <c r="C48" i="1"/>
  <c r="C49" i="1"/>
  <c r="C50" i="1"/>
  <c r="C51" i="1"/>
  <c r="C52" i="1"/>
  <c r="C53" i="1"/>
  <c r="C54" i="1"/>
  <c r="C55" i="1"/>
  <c r="C46" i="1"/>
  <c r="C8" i="1"/>
  <c r="C9" i="1" s="1"/>
  <c r="F8" i="1"/>
  <c r="E8" i="1"/>
  <c r="C7" i="1"/>
  <c r="C14" i="2" l="1"/>
  <c r="E9" i="1"/>
  <c r="F9" i="1" s="1"/>
  <c r="E10" i="1"/>
  <c r="F10" i="1" s="1"/>
  <c r="C10" i="1"/>
  <c r="E11" i="1" s="1"/>
  <c r="F11" i="1" s="1"/>
  <c r="D18" i="3"/>
  <c r="C18" i="3"/>
  <c r="F19" i="3" s="1"/>
  <c r="G19" i="3" s="1"/>
  <c r="E19" i="3" l="1"/>
  <c r="D19" i="3"/>
  <c r="D14" i="2"/>
  <c r="C15" i="2" s="1"/>
  <c r="C11" i="1"/>
  <c r="E12" i="1"/>
  <c r="F12" i="1" s="1"/>
  <c r="C12" i="1"/>
  <c r="E13" i="3"/>
  <c r="D15" i="2" l="1"/>
  <c r="C16" i="2" s="1"/>
  <c r="E13" i="1"/>
  <c r="F13" i="1" s="1"/>
  <c r="C13" i="1"/>
  <c r="J20" i="4"/>
  <c r="E12" i="3"/>
  <c r="E10" i="3"/>
  <c r="J18" i="4"/>
  <c r="J6" i="4"/>
  <c r="J30" i="4"/>
  <c r="E9" i="3"/>
  <c r="J5" i="4"/>
  <c r="J29" i="4"/>
  <c r="J17" i="4"/>
  <c r="J28" i="4"/>
  <c r="E8" i="3"/>
  <c r="E11" i="3"/>
  <c r="J19" i="4"/>
  <c r="J7" i="4"/>
  <c r="J31" i="4"/>
  <c r="E7" i="3"/>
  <c r="J3" i="4"/>
  <c r="J27" i="4"/>
  <c r="J15" i="4"/>
  <c r="J11" i="4"/>
  <c r="J9" i="4"/>
  <c r="J14" i="4"/>
  <c r="J21" i="4"/>
  <c r="J33" i="4"/>
  <c r="J8" i="4"/>
  <c r="J4" i="4"/>
  <c r="J16" i="4"/>
  <c r="J10" i="4"/>
  <c r="J36" i="4"/>
  <c r="J32" i="4"/>
  <c r="D16" i="2" l="1"/>
  <c r="C17" i="2" s="1"/>
  <c r="C14" i="1"/>
  <c r="E14" i="1"/>
  <c r="F14" i="1" s="1"/>
  <c r="E14" i="3"/>
  <c r="J34" i="4"/>
  <c r="J22" i="4"/>
  <c r="E16" i="3"/>
  <c r="J12" i="4"/>
  <c r="E18" i="3"/>
  <c r="J38" i="4"/>
  <c r="E17" i="3"/>
  <c r="J37" i="4"/>
  <c r="J25" i="4"/>
  <c r="J13" i="4"/>
  <c r="J26" i="4"/>
  <c r="J24" i="4"/>
  <c r="E15" i="3"/>
  <c r="J23" i="4"/>
  <c r="J35" i="4"/>
  <c r="B53" i="2"/>
  <c r="B54" i="2"/>
  <c r="B55" i="2"/>
  <c r="B56" i="2"/>
  <c r="B57" i="2"/>
  <c r="B58" i="2"/>
  <c r="B52" i="2"/>
  <c r="D17" i="2" l="1"/>
  <c r="C18" i="2" s="1"/>
  <c r="C15" i="1"/>
  <c r="E15" i="1"/>
  <c r="F15" i="1" s="1"/>
  <c r="B55" i="1"/>
  <c r="B54" i="1"/>
  <c r="B53" i="1"/>
  <c r="B52" i="1"/>
  <c r="B51" i="1"/>
  <c r="B50" i="1"/>
  <c r="B49" i="1"/>
  <c r="B48" i="1"/>
  <c r="B47" i="1"/>
  <c r="A46" i="1"/>
  <c r="B46" i="1" s="1"/>
  <c r="D18" i="2" l="1"/>
  <c r="C19" i="2" s="1"/>
  <c r="C16" i="1"/>
  <c r="E16" i="1"/>
  <c r="F16" i="1" s="1"/>
  <c r="C20" i="2" l="1"/>
  <c r="D19" i="2"/>
  <c r="C17" i="1"/>
  <c r="E17" i="1"/>
  <c r="F17" i="1" s="1"/>
  <c r="C21" i="2" l="1"/>
  <c r="D20" i="2"/>
  <c r="C18" i="1"/>
  <c r="E18" i="1"/>
  <c r="F18" i="1" s="1"/>
  <c r="C22" i="2" l="1"/>
  <c r="D21" i="2"/>
  <c r="C19" i="1"/>
  <c r="E19" i="1"/>
  <c r="F19" i="1" s="1"/>
  <c r="D22" i="2" l="1"/>
  <c r="C23" i="2" s="1"/>
  <c r="C20" i="1"/>
  <c r="E20" i="1"/>
  <c r="F20" i="1" s="1"/>
  <c r="D23" i="2" l="1"/>
  <c r="C24" i="2" s="1"/>
  <c r="C21" i="1"/>
  <c r="E21" i="1"/>
  <c r="F21" i="1" s="1"/>
  <c r="D24" i="2" l="1"/>
  <c r="C25" i="2" s="1"/>
  <c r="C22" i="1"/>
  <c r="E22" i="1"/>
  <c r="F22" i="1" s="1"/>
  <c r="C26" i="2" l="1"/>
  <c r="D25" i="2"/>
  <c r="C23" i="1"/>
  <c r="E23" i="1"/>
  <c r="F23" i="1" s="1"/>
  <c r="C27" i="2" l="1"/>
  <c r="D26" i="2"/>
  <c r="C24" i="1"/>
  <c r="E24" i="1"/>
  <c r="F24" i="1" s="1"/>
  <c r="C28" i="2" l="1"/>
  <c r="D27" i="2"/>
  <c r="C25" i="1"/>
  <c r="E25" i="1"/>
  <c r="F25" i="1" s="1"/>
  <c r="C29" i="2" l="1"/>
  <c r="D28" i="2"/>
  <c r="C26" i="1"/>
  <c r="E26" i="1"/>
  <c r="F26" i="1" s="1"/>
  <c r="C30" i="2" l="1"/>
  <c r="D29" i="2"/>
  <c r="C27" i="1"/>
  <c r="E27" i="1"/>
  <c r="F27" i="1" s="1"/>
  <c r="C31" i="2" l="1"/>
  <c r="D30" i="2"/>
  <c r="C28" i="1"/>
  <c r="E28" i="1"/>
  <c r="F28" i="1" s="1"/>
  <c r="C32" i="2" l="1"/>
  <c r="D31" i="2"/>
  <c r="C29" i="1"/>
  <c r="E29" i="1"/>
  <c r="F29" i="1" s="1"/>
  <c r="C33" i="2" l="1"/>
  <c r="D32" i="2"/>
  <c r="C30" i="1"/>
  <c r="E30" i="1"/>
  <c r="F30" i="1" s="1"/>
  <c r="C34" i="2" l="1"/>
  <c r="D33" i="2"/>
  <c r="C31" i="1"/>
  <c r="E31" i="1"/>
  <c r="F31" i="1" s="1"/>
  <c r="C35" i="2" l="1"/>
  <c r="D34" i="2"/>
  <c r="C32" i="1"/>
  <c r="E32" i="1"/>
  <c r="F32" i="1" s="1"/>
  <c r="C36" i="2" l="1"/>
  <c r="D35" i="2"/>
  <c r="C33" i="1"/>
  <c r="E33" i="1"/>
  <c r="F33" i="1" s="1"/>
  <c r="C37" i="2" l="1"/>
  <c r="D36" i="2"/>
  <c r="C34" i="1"/>
  <c r="E34" i="1"/>
  <c r="F34" i="1" s="1"/>
  <c r="C38" i="2" l="1"/>
  <c r="D37" i="2"/>
  <c r="C35" i="1"/>
  <c r="E35" i="1"/>
  <c r="F35" i="1" s="1"/>
  <c r="C39" i="2" l="1"/>
  <c r="D38" i="2"/>
  <c r="C36" i="1"/>
  <c r="E36" i="1"/>
  <c r="F36" i="1" s="1"/>
  <c r="C40" i="2" l="1"/>
  <c r="D39" i="2"/>
  <c r="C37" i="1"/>
  <c r="E37" i="1"/>
  <c r="F37" i="1" s="1"/>
  <c r="C41" i="2" l="1"/>
  <c r="D40" i="2"/>
  <c r="C38" i="1"/>
  <c r="E38" i="1"/>
  <c r="F38" i="1" s="1"/>
  <c r="C42" i="2" l="1"/>
  <c r="D41" i="2"/>
  <c r="C39" i="1"/>
  <c r="E39" i="1"/>
  <c r="F39" i="1" s="1"/>
  <c r="C43" i="2" l="1"/>
  <c r="D42" i="2"/>
  <c r="C40" i="1"/>
  <c r="E40" i="1"/>
  <c r="F40" i="1" s="1"/>
  <c r="C44" i="2" l="1"/>
  <c r="D43" i="2"/>
  <c r="C41" i="1"/>
  <c r="E41" i="1"/>
  <c r="F41" i="1" s="1"/>
  <c r="C45" i="2" l="1"/>
  <c r="D44" i="2"/>
  <c r="C42" i="1"/>
  <c r="E42" i="1"/>
  <c r="F42" i="1" s="1"/>
  <c r="C46" i="2" l="1"/>
  <c r="D45" i="2"/>
  <c r="C43" i="1"/>
  <c r="E43" i="1"/>
  <c r="F43" i="1" s="1"/>
  <c r="F3" i="1" s="1"/>
  <c r="C47" i="2" l="1"/>
  <c r="D47" i="2" s="1"/>
  <c r="D46" i="2"/>
  <c r="H19" i="3"/>
  <c r="C19" i="3"/>
  <c r="F20" i="3" l="1"/>
  <c r="G20" i="3" s="1"/>
  <c r="E20" i="3" l="1"/>
  <c r="H20" i="3"/>
  <c r="D20" i="3"/>
  <c r="C20" i="3"/>
  <c r="F21" i="3" l="1"/>
  <c r="G21" i="3" s="1"/>
  <c r="E21" i="3" s="1"/>
  <c r="H21" i="3" l="1"/>
  <c r="C21" i="3"/>
  <c r="D21" i="3"/>
  <c r="F22" i="3" l="1"/>
  <c r="G22" i="3" s="1"/>
  <c r="E22" i="3" s="1"/>
  <c r="D22" i="3" l="1"/>
  <c r="F23" i="3" s="1"/>
  <c r="G23" i="3" s="1"/>
  <c r="E23" i="3" s="1"/>
  <c r="C22" i="3"/>
  <c r="H22" i="3"/>
  <c r="D23" i="3" l="1"/>
  <c r="C23" i="3"/>
  <c r="H23" i="3"/>
  <c r="F24" i="3" l="1"/>
  <c r="G24" i="3" s="1"/>
  <c r="E24" i="3" s="1"/>
  <c r="D24" i="3" l="1"/>
  <c r="C24" i="3"/>
  <c r="H24" i="3"/>
  <c r="F25" i="3" l="1"/>
  <c r="G25" i="3" s="1"/>
  <c r="D25" i="3" s="1"/>
  <c r="C25" i="3" l="1"/>
  <c r="F26" i="3" s="1"/>
  <c r="G26" i="3" s="1"/>
  <c r="E26" i="3" s="1"/>
  <c r="H25" i="3"/>
  <c r="E25" i="3"/>
  <c r="D26" i="3" l="1"/>
  <c r="C26" i="3"/>
  <c r="H26" i="3"/>
  <c r="F27" i="3" l="1"/>
  <c r="G27" i="3" s="1"/>
  <c r="D27" i="3" l="1"/>
  <c r="E27" i="3"/>
  <c r="C27" i="3"/>
  <c r="H27" i="3"/>
  <c r="F28" i="3" l="1"/>
  <c r="G28" i="3" s="1"/>
  <c r="E28" i="3" s="1"/>
  <c r="C28" i="3" l="1"/>
  <c r="H28" i="3"/>
  <c r="D28" i="3"/>
  <c r="F29" i="3" l="1"/>
  <c r="G29" i="3" s="1"/>
  <c r="E29" i="3" s="1"/>
  <c r="C29" i="3" l="1"/>
  <c r="H29" i="3"/>
  <c r="D29" i="3"/>
  <c r="F30" i="3" l="1"/>
  <c r="G30" i="3" s="1"/>
  <c r="E30" i="3" l="1"/>
  <c r="H30" i="3"/>
  <c r="D30" i="3"/>
  <c r="C30" i="3"/>
  <c r="F31" i="3" l="1"/>
  <c r="G31" i="3" s="1"/>
  <c r="E31" i="3" s="1"/>
  <c r="C31" i="3" l="1"/>
  <c r="H31" i="3"/>
  <c r="D31" i="3"/>
  <c r="F32" i="3" l="1"/>
  <c r="G32" i="3" s="1"/>
  <c r="D32" i="3" s="1"/>
  <c r="E32" i="3" l="1"/>
  <c r="C32" i="3"/>
  <c r="H32" i="3"/>
  <c r="F33" i="3"/>
  <c r="G33" i="3" s="1"/>
  <c r="D33" i="3" s="1"/>
  <c r="E33" i="3" l="1"/>
  <c r="H33" i="3"/>
  <c r="C33" i="3"/>
  <c r="F34" i="3" s="1"/>
  <c r="G34" i="3" s="1"/>
  <c r="E34" i="3" s="1"/>
  <c r="D34" i="3" l="1"/>
  <c r="C34" i="3"/>
  <c r="H34" i="3"/>
  <c r="F35" i="3" l="1"/>
  <c r="G35" i="3" s="1"/>
  <c r="E35" i="3" s="1"/>
  <c r="H35" i="3" l="1"/>
  <c r="C35" i="3"/>
  <c r="D35" i="3"/>
  <c r="F36" i="3" l="1"/>
  <c r="G36" i="3" s="1"/>
  <c r="E36" i="3" l="1"/>
  <c r="C36" i="3"/>
  <c r="H36" i="3"/>
  <c r="D36" i="3"/>
  <c r="F37" i="3" l="1"/>
  <c r="G37" i="3" s="1"/>
  <c r="E37" i="3" l="1"/>
  <c r="H37" i="3"/>
  <c r="C37" i="3"/>
  <c r="D37" i="3"/>
  <c r="F38" i="3" l="1"/>
  <c r="G38" i="3" s="1"/>
  <c r="D38" i="3" s="1"/>
  <c r="C38" i="3" l="1"/>
  <c r="F39" i="3" s="1"/>
  <c r="G39" i="3" s="1"/>
  <c r="E39" i="3" s="1"/>
  <c r="E38" i="3"/>
  <c r="H38" i="3"/>
  <c r="C39" i="3" l="1"/>
  <c r="H39" i="3"/>
  <c r="D39" i="3"/>
  <c r="F40" i="3" l="1"/>
  <c r="G40" i="3" s="1"/>
  <c r="D40" i="3" s="1"/>
  <c r="H40" i="3" l="1"/>
  <c r="C40" i="3"/>
  <c r="E40" i="3"/>
  <c r="F41" i="3"/>
  <c r="G41" i="3" s="1"/>
  <c r="D41" i="3" l="1"/>
  <c r="E41" i="3"/>
  <c r="H41" i="3"/>
  <c r="C41" i="3"/>
  <c r="F42" i="3" l="1"/>
  <c r="G42" i="3" s="1"/>
  <c r="E42" i="3" s="1"/>
  <c r="D42" i="3" l="1"/>
  <c r="C42" i="3"/>
  <c r="H42" i="3"/>
  <c r="F43" i="3" l="1"/>
  <c r="G43" i="3" s="1"/>
  <c r="E43" i="3" s="1"/>
  <c r="H43" i="3" l="1"/>
  <c r="C43" i="3"/>
  <c r="D43" i="3"/>
  <c r="F44" i="3" l="1"/>
  <c r="G44" i="3" s="1"/>
  <c r="E44" i="3" s="1"/>
  <c r="C44" i="3" l="1"/>
  <c r="H44" i="3"/>
  <c r="D44" i="3"/>
  <c r="F45" i="3" l="1"/>
  <c r="G45" i="3" s="1"/>
  <c r="D45" i="3" s="1"/>
  <c r="C45" i="3" l="1"/>
  <c r="F46" i="3" s="1"/>
  <c r="G46" i="3" s="1"/>
  <c r="H45" i="3"/>
  <c r="E45" i="3"/>
  <c r="D46" i="3" l="1"/>
  <c r="E46" i="3"/>
  <c r="C46" i="3"/>
  <c r="H46" i="3"/>
  <c r="F47" i="3" l="1"/>
  <c r="G47" i="3" s="1"/>
  <c r="E47" i="3" s="1"/>
  <c r="H47" i="3" l="1"/>
  <c r="D47" i="3"/>
  <c r="C47" i="3"/>
  <c r="F48" i="3" l="1"/>
  <c r="G48" i="3" s="1"/>
  <c r="E48" i="3" s="1"/>
  <c r="H48" i="3" l="1"/>
  <c r="C48" i="3"/>
  <c r="D48" i="3"/>
  <c r="F49" i="3" l="1"/>
  <c r="G49" i="3" s="1"/>
  <c r="E49" i="3" l="1"/>
  <c r="H49" i="3"/>
  <c r="C49" i="3"/>
  <c r="D49" i="3"/>
  <c r="F50" i="3" l="1"/>
  <c r="G50" i="3" s="1"/>
  <c r="C50" i="3" s="1"/>
  <c r="E50" i="3" l="1"/>
  <c r="H50" i="3"/>
  <c r="D50" i="3"/>
  <c r="F51" i="3" s="1"/>
  <c r="G51" i="3" l="1"/>
  <c r="E51" i="3" l="1"/>
  <c r="H51" i="3"/>
  <c r="C51" i="3"/>
  <c r="D51" i="3"/>
  <c r="F52" i="3" l="1"/>
  <c r="G52" i="3" s="1"/>
  <c r="D52" i="3" l="1"/>
  <c r="C52" i="3"/>
  <c r="E52" i="3"/>
  <c r="H52" i="3"/>
  <c r="F53" i="3" l="1"/>
  <c r="G53" i="3" s="1"/>
  <c r="D53" i="3" s="1"/>
  <c r="H53" i="3" l="1"/>
  <c r="E53" i="3"/>
  <c r="C53" i="3"/>
  <c r="F54" i="3" s="1"/>
  <c r="G54" i="3" s="1"/>
  <c r="E54" i="3" s="1"/>
  <c r="C54" i="3" l="1"/>
  <c r="D54" i="3"/>
  <c r="H54" i="3"/>
  <c r="G3" i="3" s="1"/>
  <c r="H3" i="3" s="1"/>
  <c r="C58" i="3" l="1"/>
  <c r="C62" i="3"/>
  <c r="C56" i="3"/>
  <c r="C59" i="3"/>
  <c r="C55" i="3"/>
  <c r="C60" i="3"/>
  <c r="C57" i="3"/>
  <c r="C61" i="3"/>
</calcChain>
</file>

<file path=xl/sharedStrings.xml><?xml version="1.0" encoding="utf-8"?>
<sst xmlns="http://schemas.openxmlformats.org/spreadsheetml/2006/main" count="165" uniqueCount="126">
  <si>
    <t>Total Months</t>
  </si>
  <si>
    <t>Level smoothing parameter (alpha)</t>
  </si>
  <si>
    <t>SSE</t>
  </si>
  <si>
    <t>Standard Error</t>
  </si>
  <si>
    <t>t</t>
  </si>
  <si>
    <t>One-step Forecast</t>
  </si>
  <si>
    <t>Squared Error</t>
  </si>
  <si>
    <t>Ft=Ft-1+ alpha*(Dt - Ft-1)</t>
  </si>
  <si>
    <t>Ft-1</t>
  </si>
  <si>
    <t>Level Estimate
Ft</t>
  </si>
  <si>
    <t>Demand
Dt</t>
  </si>
  <si>
    <t>Forecast Error
Ferr</t>
  </si>
  <si>
    <t>Ferr=Dt-Ft-1</t>
  </si>
  <si>
    <t>Total months</t>
  </si>
  <si>
    <t>Trend smoothing parameter (gamma)</t>
  </si>
  <si>
    <t>Seasonal smoothing parameter (delta)</t>
  </si>
  <si>
    <t>Actual Demand</t>
  </si>
  <si>
    <t>Squared Error = SE</t>
  </si>
  <si>
    <t>som(Ferr^2) = som (kolom H)</t>
  </si>
  <si>
    <t>Trend 
= richtingscoefficient</t>
  </si>
  <si>
    <t>Squared Error=
SE</t>
  </si>
  <si>
    <t>Forecast Error= 
Ferr</t>
  </si>
  <si>
    <t>Level= 
Intercept</t>
  </si>
  <si>
    <t>t=0: lin regression over 18 maanden
 Intercept</t>
  </si>
  <si>
    <t>t=0: lin regression over 18 maanden
 richtingscoefficient</t>
  </si>
  <si>
    <t>D</t>
  </si>
  <si>
    <t>L</t>
  </si>
  <si>
    <t>T</t>
  </si>
  <si>
    <t>One-step Forecast= 
FSt</t>
  </si>
  <si>
    <t>FS</t>
  </si>
  <si>
    <t>Ferr</t>
  </si>
  <si>
    <t>formules</t>
  </si>
  <si>
    <t>´som(Ferr^2) = som (kolom g)</t>
  </si>
  <si>
    <t>FSt=Lt-1 + Tt-1</t>
  </si>
  <si>
    <t>Ferr=Dt - FSt</t>
  </si>
  <si>
    <t>Lt=Lt-1 + Tt-1 + alpha * Ferr t</t>
  </si>
  <si>
    <t>voorspellen</t>
  </si>
  <si>
    <t>SE</t>
  </si>
  <si>
    <t>m=t-36</t>
  </si>
  <si>
    <t>a= trend(tijd=36) en b=level(tijd=36)</t>
  </si>
  <si>
    <t xml:space="preserve">linear : y=a * x+ b             b=intercept en a= richtingscoefficient  </t>
  </si>
  <si>
    <t>FS=y   en x=t</t>
  </si>
  <si>
    <t>bereken van FS waarbij x is de waarde van m</t>
  </si>
  <si>
    <t>tijd</t>
  </si>
  <si>
    <t>m=tijd-36</t>
  </si>
  <si>
    <t>m</t>
  </si>
  <si>
    <t>demand(t)/Smoot value(t)</t>
  </si>
  <si>
    <t>Initial seasonal = IS</t>
  </si>
  <si>
    <t>Initial Season
 factor 
voor 3 jaar</t>
  </si>
  <si>
    <t>Deseasonalized data</t>
  </si>
  <si>
    <t>Deseasonalized 
data</t>
  </si>
  <si>
    <t>=Dt/Ist</t>
  </si>
  <si>
    <t>gemiddelde(IS(t= 13);
IS(t=13+12))</t>
  </si>
  <si>
    <t>vanaf hier t=7 en t=7+12</t>
  </si>
  <si>
    <t>SAMENVATTING UITVOER</t>
  </si>
  <si>
    <t>Gegevens voor de regressie</t>
  </si>
  <si>
    <t>Meervoudige correlatiecoëfficiënt R</t>
  </si>
  <si>
    <t>R-kwadraat</t>
  </si>
  <si>
    <t>Aangepaste kleinste kwadraat</t>
  </si>
  <si>
    <t>Standaardfout</t>
  </si>
  <si>
    <t>Waarnemingen</t>
  </si>
  <si>
    <t>Variantie-analyse</t>
  </si>
  <si>
    <t>Regressie</t>
  </si>
  <si>
    <t>Storing</t>
  </si>
  <si>
    <t>Totaal</t>
  </si>
  <si>
    <t>Snijpunt</t>
  </si>
  <si>
    <t>Vrijheidsgraden</t>
  </si>
  <si>
    <t>Kwadratensom</t>
  </si>
  <si>
    <t>Gemiddelde kwadraten</t>
  </si>
  <si>
    <t>F</t>
  </si>
  <si>
    <t>Significantie F</t>
  </si>
  <si>
    <t>Coëfficiënten</t>
  </si>
  <si>
    <t>T- statistische gegevens</t>
  </si>
  <si>
    <t>P-waarde</t>
  </si>
  <si>
    <t>Laagste 95%</t>
  </si>
  <si>
    <t>Hoogste 95%</t>
  </si>
  <si>
    <t>Laagste 95,0%</t>
  </si>
  <si>
    <t>Hoogste 95,0%</t>
  </si>
  <si>
    <t xml:space="preserve"> Variabele X 1</t>
  </si>
  <si>
    <t>gegevens</t>
  </si>
  <si>
    <t>gegevensanalyse</t>
  </si>
  <si>
    <t>regression</t>
  </si>
  <si>
    <t>y-as</t>
  </si>
  <si>
    <t>x-as</t>
  </si>
  <si>
    <t>t 1 t/m 36</t>
  </si>
  <si>
    <t>intercept</t>
  </si>
  <si>
    <t>rico</t>
  </si>
  <si>
    <t>start Ft = gemiddelde 
van Dt over de eerste 12 maanden</t>
  </si>
  <si>
    <t>alpha</t>
  </si>
  <si>
    <t>F=forecast= inhoud cel t=36</t>
  </si>
  <si>
    <t>wortel(SSE / (n-1)) waarbij n=aantal maanden</t>
  </si>
  <si>
    <t>wortel(SSE / (n-2)) waarbij n=aantal maanden</t>
  </si>
  <si>
    <t>SE=som(Ferrt ^2)</t>
  </si>
  <si>
    <t>SE=som(Ferror^2)</t>
  </si>
  <si>
    <t>Standard Som Error</t>
  </si>
  <si>
    <t>Level =
L</t>
  </si>
  <si>
    <t>Trend=
T</t>
  </si>
  <si>
    <t>Actual Demand=
D</t>
  </si>
  <si>
    <t>Seasonal Adjustment=
SA</t>
  </si>
  <si>
    <t>One-step Forecast=FS</t>
  </si>
  <si>
    <t>Forecast Error=
Ferr
Ferr</t>
  </si>
  <si>
    <t>Ferr_t=(Dt - FSt)</t>
  </si>
  <si>
    <t>Set=Ferr_t*Ferr_t</t>
  </si>
  <si>
    <t>gamma</t>
  </si>
  <si>
    <t>delta</t>
  </si>
  <si>
    <t>start met eerste SA (E7)</t>
  </si>
  <si>
    <t>Dt=(Lt=36 + (t-36) * Tt=36) ) * SA(t-12)</t>
  </si>
  <si>
    <t>Dt = y trent lijn  * SA t-12</t>
  </si>
  <si>
    <t>Dt = (intercept t=36 + (t-36) * rico t=36 ) * Sat-12</t>
  </si>
  <si>
    <t>alleen</t>
  </si>
  <si>
    <t>voor</t>
  </si>
  <si>
    <t xml:space="preserve">de </t>
  </si>
  <si>
    <t>eerste</t>
  </si>
  <si>
    <t>maanden</t>
  </si>
  <si>
    <t>intercept lin reg</t>
  </si>
  <si>
    <t>lin regression</t>
  </si>
  <si>
    <t>van Dt t=1 t/m 36</t>
  </si>
  <si>
    <t>rico lin reg</t>
  </si>
  <si>
    <t>wortel(SSE / (n-3)) waarbij n=aantal maanden</t>
  </si>
  <si>
    <t>Lt=Lt-1 + Tt-1 + alpha * Ferr/SA t=(t -12)</t>
  </si>
  <si>
    <t>Tt=Tt-1 + gamma*alpha*Ferr/SA t=(t -12)</t>
  </si>
  <si>
    <t>SAt=SAt(t -12) + 
delta*(1-alpha)*Ferr_t/(Lt-1 + Tt-1)</t>
  </si>
  <si>
    <t>FSt=(Lt-1 + Tt-1) ( SAt-(t  -12)</t>
  </si>
  <si>
    <t>12MA vanaf t=12/2+1 = 7  
op plaats t=7  
(gemiddelde(t=1 t/m 12)+ 
gemiddelde(t=2 t/m 13))/2</t>
  </si>
  <si>
    <t>Trend smoothing parameter (Beta)</t>
  </si>
  <si>
    <t>Tt=Tt-1 + beta * alpha * Ferr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</si>
</sst>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2" fontId="2" fillId="4" borderId="0" xfId="1" applyNumberFormat="1" applyFont="1" applyFill="1"/>
    <xf numFmtId="0" fontId="2" fillId="0" borderId="0" xfId="1" quotePrefix="1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1" fillId="0" borderId="0" xfId="1"/>
    <xf numFmtId="0" fontId="1" fillId="0" borderId="0" xfId="1" applyAlignment="1">
      <alignment wrapText="1"/>
    </xf>
    <xf numFmtId="2" fontId="1" fillId="0" borderId="0" xfId="1" applyNumberFormat="1"/>
    <xf numFmtId="0" fontId="2" fillId="0" borderId="0" xfId="1" applyFont="1" applyAlignment="1">
      <alignment wrapText="1"/>
    </xf>
    <xf numFmtId="0" fontId="0" fillId="3" borderId="0" xfId="0" quotePrefix="1" applyFill="1"/>
    <xf numFmtId="0" fontId="1" fillId="0" borderId="0" xfId="1"/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0" fillId="0" borderId="0" xfId="0" quotePrefix="1" applyFill="1"/>
    <xf numFmtId="0" fontId="2" fillId="5" borderId="0" xfId="1" applyFont="1" applyFill="1"/>
    <xf numFmtId="0" fontId="2" fillId="2" borderId="0" xfId="1" applyFont="1" applyFill="1"/>
    <xf numFmtId="0" fontId="0" fillId="0" borderId="0" xfId="0" applyFill="1"/>
    <xf numFmtId="0" fontId="1" fillId="0" borderId="0" xfId="1"/>
    <xf numFmtId="0" fontId="1" fillId="0" borderId="0" xfId="1" applyAlignment="1">
      <alignment wrapText="1"/>
    </xf>
    <xf numFmtId="0" fontId="2" fillId="0" borderId="0" xfId="1" applyFont="1"/>
    <xf numFmtId="0" fontId="2" fillId="0" borderId="0" xfId="1" applyFont="1" applyAlignment="1">
      <alignment wrapText="1"/>
    </xf>
    <xf numFmtId="0" fontId="1" fillId="0" borderId="0" xfId="1"/>
    <xf numFmtId="0" fontId="1" fillId="0" borderId="0" xfId="1" applyAlignment="1">
      <alignment wrapText="1"/>
    </xf>
    <xf numFmtId="0" fontId="1" fillId="0" borderId="0" xfId="1" applyFill="1"/>
    <xf numFmtId="0" fontId="2" fillId="0" borderId="0" xfId="1" applyFont="1"/>
    <xf numFmtId="0" fontId="2" fillId="0" borderId="0" xfId="1" applyFont="1" applyAlignment="1">
      <alignment wrapText="1"/>
    </xf>
    <xf numFmtId="0" fontId="0" fillId="0" borderId="0" xfId="0" quotePrefix="1"/>
    <xf numFmtId="0" fontId="3" fillId="0" borderId="0" xfId="0" applyFont="1"/>
    <xf numFmtId="0" fontId="0" fillId="3" borderId="0" xfId="0" applyFont="1" applyFill="1"/>
    <xf numFmtId="0" fontId="0" fillId="6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1" xfId="0" applyFill="1" applyBorder="1" applyAlignment="1"/>
    <xf numFmtId="0" fontId="0" fillId="5" borderId="0" xfId="0" applyFill="1"/>
    <xf numFmtId="0" fontId="1" fillId="3" borderId="0" xfId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1" applyFill="1" applyAlignment="1">
      <alignment wrapText="1"/>
    </xf>
    <xf numFmtId="0" fontId="1" fillId="3" borderId="0" xfId="1" applyFill="1"/>
    <xf numFmtId="0" fontId="1" fillId="7" borderId="0" xfId="1" applyFill="1"/>
    <xf numFmtId="0" fontId="1" fillId="8" borderId="0" xfId="1" applyFill="1"/>
    <xf numFmtId="0" fontId="1" fillId="10" borderId="0" xfId="1" applyFill="1" applyAlignment="1">
      <alignment wrapText="1"/>
    </xf>
    <xf numFmtId="0" fontId="1" fillId="9" borderId="0" xfId="1" applyFill="1"/>
    <xf numFmtId="0" fontId="1" fillId="0" borderId="0" xfId="1"/>
    <xf numFmtId="0" fontId="2" fillId="4" borderId="0" xfId="1" applyFont="1" applyFill="1"/>
    <xf numFmtId="0" fontId="2" fillId="11" borderId="0" xfId="1" applyFont="1" applyFill="1"/>
    <xf numFmtId="0" fontId="2" fillId="12" borderId="0" xfId="1" applyFont="1" applyFill="1"/>
    <xf numFmtId="0" fontId="0" fillId="13" borderId="0" xfId="0" applyFill="1"/>
    <xf numFmtId="0" fontId="0" fillId="13" borderId="0" xfId="0" applyFill="1" applyAlignment="1">
      <alignment wrapText="1"/>
    </xf>
  </cellXfs>
  <cellStyles count="3">
    <cellStyle name="Procent 2" xfId="2"/>
    <cellStyle name="Standaard" xfId="0" builtinId="0"/>
    <cellStyle name="Standaard 2" xfId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34" workbookViewId="0">
      <selection activeCell="E50" sqref="E50"/>
    </sheetView>
  </sheetViews>
  <sheetFormatPr defaultRowHeight="14.4" x14ac:dyDescent="0.3"/>
  <cols>
    <col min="2" max="2" width="18.33203125" customWidth="1"/>
    <col min="3" max="3" width="23.33203125" bestFit="1" customWidth="1"/>
    <col min="5" max="5" width="13.88671875" customWidth="1"/>
    <col min="6" max="6" width="23.44140625" customWidth="1"/>
  </cols>
  <sheetData>
    <row r="1" spans="1:6" ht="31.2" x14ac:dyDescent="0.3">
      <c r="A1" s="7" t="s">
        <v>0</v>
      </c>
      <c r="B1" s="7"/>
      <c r="C1" s="7" t="s">
        <v>1</v>
      </c>
      <c r="E1" s="9"/>
      <c r="F1" s="9" t="s">
        <v>94</v>
      </c>
    </row>
    <row r="2" spans="1:6" ht="46.8" x14ac:dyDescent="0.3">
      <c r="A2" s="12"/>
      <c r="B2" s="12"/>
      <c r="C2" s="12" t="s">
        <v>88</v>
      </c>
      <c r="D2" s="7"/>
      <c r="E2" s="13"/>
      <c r="F2" s="3" t="s">
        <v>90</v>
      </c>
    </row>
    <row r="3" spans="1:6" ht="15.6" x14ac:dyDescent="0.3">
      <c r="A3" s="6">
        <v>36</v>
      </c>
      <c r="B3" s="6"/>
      <c r="C3" s="8">
        <v>0.9</v>
      </c>
      <c r="D3" s="12"/>
      <c r="E3" s="2"/>
      <c r="F3" s="37">
        <f>SUM(F8:F43)</f>
        <v>14962.563706464305</v>
      </c>
    </row>
    <row r="4" spans="1:6" ht="15.6" x14ac:dyDescent="0.3">
      <c r="D4" s="6"/>
    </row>
    <row r="5" spans="1:6" ht="46.8" x14ac:dyDescent="0.3">
      <c r="A5" s="7" t="s">
        <v>4</v>
      </c>
      <c r="B5" s="7" t="s">
        <v>10</v>
      </c>
      <c r="C5" s="7" t="s">
        <v>9</v>
      </c>
      <c r="D5" s="7" t="s">
        <v>5</v>
      </c>
      <c r="E5" s="7" t="s">
        <v>11</v>
      </c>
      <c r="F5" s="7" t="s">
        <v>6</v>
      </c>
    </row>
    <row r="6" spans="1:6" x14ac:dyDescent="0.3">
      <c r="C6" s="10" t="s">
        <v>7</v>
      </c>
      <c r="D6" s="5" t="s">
        <v>8</v>
      </c>
      <c r="E6" s="10" t="s">
        <v>12</v>
      </c>
      <c r="F6" s="10" t="s">
        <v>93</v>
      </c>
    </row>
    <row r="7" spans="1:6" ht="43.2" x14ac:dyDescent="0.3">
      <c r="A7">
        <v>0</v>
      </c>
      <c r="B7" s="4" t="s">
        <v>87</v>
      </c>
      <c r="C7" s="1">
        <f>AVERAGE(B8:B19)</f>
        <v>163</v>
      </c>
      <c r="F7" s="37"/>
    </row>
    <row r="8" spans="1:6" ht="15.6" x14ac:dyDescent="0.3">
      <c r="A8" s="11">
        <v>1</v>
      </c>
      <c r="B8" s="11">
        <v>165</v>
      </c>
      <c r="C8">
        <f>C7+$C$3*(B8-C7)</f>
        <v>164.8</v>
      </c>
      <c r="E8">
        <f>B8-C7</f>
        <v>2</v>
      </c>
      <c r="F8">
        <f>E8^2</f>
        <v>4</v>
      </c>
    </row>
    <row r="9" spans="1:6" ht="15.6" x14ac:dyDescent="0.3">
      <c r="A9" s="11">
        <v>2</v>
      </c>
      <c r="B9" s="11">
        <v>171</v>
      </c>
      <c r="C9">
        <f>C8+$C$3*(B9-C8)</f>
        <v>170.38</v>
      </c>
      <c r="E9">
        <f t="shared" ref="E9:E43" si="0">B9-C8</f>
        <v>6.1999999999999886</v>
      </c>
      <c r="F9">
        <f t="shared" ref="F9:F43" si="1">E9^2</f>
        <v>38.439999999999856</v>
      </c>
    </row>
    <row r="10" spans="1:6" ht="15.6" x14ac:dyDescent="0.3">
      <c r="A10" s="11">
        <v>3</v>
      </c>
      <c r="B10" s="11">
        <v>147</v>
      </c>
      <c r="C10">
        <f>C9+$C$3*(B10-C9)</f>
        <v>149.33799999999999</v>
      </c>
      <c r="E10">
        <f t="shared" si="0"/>
        <v>-23.379999999999995</v>
      </c>
      <c r="F10">
        <f t="shared" si="1"/>
        <v>546.62439999999981</v>
      </c>
    </row>
    <row r="11" spans="1:6" ht="15.6" x14ac:dyDescent="0.3">
      <c r="A11" s="11">
        <v>4</v>
      </c>
      <c r="B11" s="11">
        <v>143</v>
      </c>
      <c r="C11">
        <f>C10+$C$3*(B11-C10)</f>
        <v>143.63380000000001</v>
      </c>
      <c r="E11">
        <f t="shared" si="0"/>
        <v>-6.3379999999999939</v>
      </c>
      <c r="F11">
        <f t="shared" si="1"/>
        <v>40.170243999999926</v>
      </c>
    </row>
    <row r="12" spans="1:6" ht="15.6" x14ac:dyDescent="0.3">
      <c r="A12" s="11">
        <v>5</v>
      </c>
      <c r="B12" s="11">
        <v>164</v>
      </c>
      <c r="C12">
        <f t="shared" ref="C12:C43" si="2">C11+$C$3*(B12-C11)</f>
        <v>161.96338</v>
      </c>
      <c r="E12">
        <f t="shared" si="0"/>
        <v>20.366199999999992</v>
      </c>
      <c r="F12">
        <f t="shared" si="1"/>
        <v>414.78210243999968</v>
      </c>
    </row>
    <row r="13" spans="1:6" ht="15.6" x14ac:dyDescent="0.3">
      <c r="A13" s="11">
        <v>6</v>
      </c>
      <c r="B13" s="11">
        <v>160</v>
      </c>
      <c r="C13">
        <f t="shared" si="2"/>
        <v>160.196338</v>
      </c>
      <c r="E13">
        <f t="shared" si="0"/>
        <v>-1.9633800000000008</v>
      </c>
      <c r="F13">
        <f t="shared" si="1"/>
        <v>3.854861024400003</v>
      </c>
    </row>
    <row r="14" spans="1:6" ht="15.6" x14ac:dyDescent="0.3">
      <c r="A14" s="11">
        <v>7</v>
      </c>
      <c r="B14" s="11">
        <v>152</v>
      </c>
      <c r="C14">
        <f t="shared" si="2"/>
        <v>152.81963379999999</v>
      </c>
      <c r="E14">
        <f t="shared" si="0"/>
        <v>-8.1963379999999972</v>
      </c>
      <c r="F14">
        <f t="shared" si="1"/>
        <v>67.179956610243948</v>
      </c>
    </row>
    <row r="15" spans="1:6" ht="15.6" x14ac:dyDescent="0.3">
      <c r="A15" s="11">
        <v>8</v>
      </c>
      <c r="B15" s="11">
        <v>150</v>
      </c>
      <c r="C15">
        <f t="shared" si="2"/>
        <v>150.28196338000001</v>
      </c>
      <c r="E15">
        <f t="shared" si="0"/>
        <v>-2.8196337999999912</v>
      </c>
      <c r="F15">
        <f t="shared" si="1"/>
        <v>7.9503347661023902</v>
      </c>
    </row>
    <row r="16" spans="1:6" ht="15.6" x14ac:dyDescent="0.3">
      <c r="A16" s="11">
        <v>9</v>
      </c>
      <c r="B16" s="11">
        <v>159</v>
      </c>
      <c r="C16">
        <f t="shared" si="2"/>
        <v>158.12819633800001</v>
      </c>
      <c r="E16">
        <f t="shared" si="0"/>
        <v>8.7180366199999924</v>
      </c>
      <c r="F16">
        <f t="shared" si="1"/>
        <v>76.004162507660894</v>
      </c>
    </row>
    <row r="17" spans="1:6" ht="15.6" x14ac:dyDescent="0.3">
      <c r="A17" s="11">
        <v>10</v>
      </c>
      <c r="B17" s="11">
        <v>169</v>
      </c>
      <c r="C17">
        <f t="shared" si="2"/>
        <v>167.91281963380001</v>
      </c>
      <c r="E17">
        <f t="shared" si="0"/>
        <v>10.871803661999991</v>
      </c>
      <c r="F17">
        <f t="shared" si="1"/>
        <v>118.19611486507641</v>
      </c>
    </row>
    <row r="18" spans="1:6" ht="15.6" x14ac:dyDescent="0.3">
      <c r="A18" s="11">
        <v>11</v>
      </c>
      <c r="B18" s="11">
        <v>173</v>
      </c>
      <c r="C18">
        <f t="shared" si="2"/>
        <v>172.49128196338</v>
      </c>
      <c r="E18">
        <f t="shared" si="0"/>
        <v>5.0871803661999877</v>
      </c>
      <c r="F18">
        <f t="shared" si="1"/>
        <v>25.879404078250641</v>
      </c>
    </row>
    <row r="19" spans="1:6" ht="15.6" x14ac:dyDescent="0.3">
      <c r="A19" s="11">
        <v>12</v>
      </c>
      <c r="B19" s="11">
        <v>203</v>
      </c>
      <c r="C19">
        <f t="shared" si="2"/>
        <v>199.94912819633799</v>
      </c>
      <c r="E19">
        <f t="shared" si="0"/>
        <v>30.508718036619996</v>
      </c>
      <c r="F19">
        <f t="shared" si="1"/>
        <v>930.78187623798226</v>
      </c>
    </row>
    <row r="20" spans="1:6" ht="15.6" x14ac:dyDescent="0.3">
      <c r="A20" s="11">
        <v>13</v>
      </c>
      <c r="B20" s="11">
        <v>169</v>
      </c>
      <c r="C20">
        <f t="shared" si="2"/>
        <v>172.09491281963381</v>
      </c>
      <c r="E20">
        <f t="shared" si="0"/>
        <v>-30.949128196337995</v>
      </c>
      <c r="F20">
        <f t="shared" si="1"/>
        <v>957.84853611336348</v>
      </c>
    </row>
    <row r="21" spans="1:6" ht="15.6" x14ac:dyDescent="0.3">
      <c r="A21" s="11">
        <v>14</v>
      </c>
      <c r="B21" s="11">
        <v>166</v>
      </c>
      <c r="C21">
        <f t="shared" si="2"/>
        <v>166.60949128196339</v>
      </c>
      <c r="E21">
        <f t="shared" si="0"/>
        <v>-6.0949128196338052</v>
      </c>
      <c r="F21">
        <f t="shared" si="1"/>
        <v>37.147962278936504</v>
      </c>
    </row>
    <row r="22" spans="1:6" ht="15.6" x14ac:dyDescent="0.3">
      <c r="A22" s="11">
        <v>15</v>
      </c>
      <c r="B22" s="11">
        <v>162</v>
      </c>
      <c r="C22">
        <f t="shared" si="2"/>
        <v>162.46094912819635</v>
      </c>
      <c r="E22">
        <f t="shared" si="0"/>
        <v>-4.6094912819633862</v>
      </c>
      <c r="F22">
        <f t="shared" si="1"/>
        <v>21.247409878496462</v>
      </c>
    </row>
    <row r="23" spans="1:6" ht="15.6" x14ac:dyDescent="0.3">
      <c r="A23" s="11">
        <v>16</v>
      </c>
      <c r="B23" s="11">
        <v>147</v>
      </c>
      <c r="C23">
        <f t="shared" si="2"/>
        <v>148.54609491281963</v>
      </c>
      <c r="E23">
        <f t="shared" si="0"/>
        <v>-15.460949128196347</v>
      </c>
      <c r="F23">
        <f t="shared" si="1"/>
        <v>239.04094794467539</v>
      </c>
    </row>
    <row r="24" spans="1:6" ht="15.6" x14ac:dyDescent="0.3">
      <c r="A24" s="11">
        <v>17</v>
      </c>
      <c r="B24" s="11">
        <v>188</v>
      </c>
      <c r="C24">
        <f t="shared" si="2"/>
        <v>184.05460949128195</v>
      </c>
      <c r="E24">
        <f t="shared" si="0"/>
        <v>39.453905087180374</v>
      </c>
      <c r="F24">
        <f t="shared" si="1"/>
        <v>1556.6106266282375</v>
      </c>
    </row>
    <row r="25" spans="1:6" ht="15.6" x14ac:dyDescent="0.3">
      <c r="A25" s="11">
        <v>18</v>
      </c>
      <c r="B25" s="11">
        <v>161</v>
      </c>
      <c r="C25">
        <f t="shared" si="2"/>
        <v>163.30546094912819</v>
      </c>
      <c r="E25">
        <f t="shared" si="0"/>
        <v>-23.054609491281951</v>
      </c>
      <c r="F25">
        <f t="shared" si="1"/>
        <v>531.51501879550779</v>
      </c>
    </row>
    <row r="26" spans="1:6" ht="15.6" x14ac:dyDescent="0.3">
      <c r="A26" s="11">
        <v>19</v>
      </c>
      <c r="B26" s="11">
        <v>162</v>
      </c>
      <c r="C26">
        <f t="shared" si="2"/>
        <v>162.13054609491283</v>
      </c>
      <c r="E26">
        <f t="shared" si="0"/>
        <v>-1.3054609491281894</v>
      </c>
      <c r="F26">
        <f t="shared" si="1"/>
        <v>1.7042282896986731</v>
      </c>
    </row>
    <row r="27" spans="1:6" ht="15.6" x14ac:dyDescent="0.3">
      <c r="A27" s="11">
        <v>20</v>
      </c>
      <c r="B27" s="11">
        <v>169</v>
      </c>
      <c r="C27">
        <f t="shared" si="2"/>
        <v>168.31305460949127</v>
      </c>
      <c r="E27">
        <f t="shared" si="0"/>
        <v>6.8694539050871697</v>
      </c>
      <c r="F27">
        <f t="shared" si="1"/>
        <v>47.189396954117363</v>
      </c>
    </row>
    <row r="28" spans="1:6" ht="15.6" x14ac:dyDescent="0.3">
      <c r="A28" s="11">
        <v>21</v>
      </c>
      <c r="B28" s="11">
        <v>185</v>
      </c>
      <c r="C28">
        <f t="shared" si="2"/>
        <v>183.33130546094912</v>
      </c>
      <c r="E28">
        <f t="shared" si="0"/>
        <v>16.686945390508725</v>
      </c>
      <c r="F28">
        <f t="shared" si="1"/>
        <v>278.45414646582043</v>
      </c>
    </row>
    <row r="29" spans="1:6" ht="15.6" x14ac:dyDescent="0.3">
      <c r="A29" s="11">
        <v>22</v>
      </c>
      <c r="B29" s="11">
        <v>188</v>
      </c>
      <c r="C29">
        <f t="shared" si="2"/>
        <v>187.53313054609492</v>
      </c>
      <c r="E29">
        <f t="shared" si="0"/>
        <v>4.6686945390508754</v>
      </c>
      <c r="F29">
        <f t="shared" si="1"/>
        <v>21.796708698963467</v>
      </c>
    </row>
    <row r="30" spans="1:6" ht="15.6" x14ac:dyDescent="0.3">
      <c r="A30" s="11">
        <v>23</v>
      </c>
      <c r="B30" s="11">
        <v>200</v>
      </c>
      <c r="C30">
        <f t="shared" si="2"/>
        <v>198.75331305460949</v>
      </c>
      <c r="E30">
        <f t="shared" si="0"/>
        <v>12.466869453905076</v>
      </c>
      <c r="F30">
        <f t="shared" si="1"/>
        <v>155.42283398071146</v>
      </c>
    </row>
    <row r="31" spans="1:6" ht="15.6" x14ac:dyDescent="0.3">
      <c r="A31" s="11">
        <v>24</v>
      </c>
      <c r="B31" s="11">
        <v>229</v>
      </c>
      <c r="C31">
        <f t="shared" si="2"/>
        <v>225.97533130546094</v>
      </c>
      <c r="E31">
        <f t="shared" si="0"/>
        <v>30.246686945390508</v>
      </c>
      <c r="F31">
        <f t="shared" si="1"/>
        <v>914.86207117245658</v>
      </c>
    </row>
    <row r="32" spans="1:6" ht="15.6" x14ac:dyDescent="0.3">
      <c r="A32" s="11">
        <v>25</v>
      </c>
      <c r="B32" s="11">
        <v>189</v>
      </c>
      <c r="C32">
        <f t="shared" si="2"/>
        <v>192.69753313054611</v>
      </c>
      <c r="E32">
        <f t="shared" si="0"/>
        <v>-36.975331305460941</v>
      </c>
      <c r="F32">
        <f t="shared" si="1"/>
        <v>1367.1751251485998</v>
      </c>
    </row>
    <row r="33" spans="1:6" ht="15.6" x14ac:dyDescent="0.3">
      <c r="A33" s="11">
        <v>26</v>
      </c>
      <c r="B33" s="11">
        <v>218</v>
      </c>
      <c r="C33">
        <f t="shared" si="2"/>
        <v>215.46975331305461</v>
      </c>
      <c r="E33">
        <f t="shared" si="0"/>
        <v>25.302466869453895</v>
      </c>
      <c r="F33">
        <f t="shared" si="1"/>
        <v>640.21482967981194</v>
      </c>
    </row>
    <row r="34" spans="1:6" ht="15.6" x14ac:dyDescent="0.3">
      <c r="A34" s="11">
        <v>27</v>
      </c>
      <c r="B34" s="11">
        <v>185</v>
      </c>
      <c r="C34">
        <f t="shared" si="2"/>
        <v>188.04697533130548</v>
      </c>
      <c r="E34">
        <f t="shared" si="0"/>
        <v>-30.469753313054611</v>
      </c>
      <c r="F34">
        <f t="shared" si="1"/>
        <v>928.40586695840238</v>
      </c>
    </row>
    <row r="35" spans="1:6" ht="15.6" x14ac:dyDescent="0.3">
      <c r="A35" s="11">
        <v>28</v>
      </c>
      <c r="B35" s="11">
        <v>199</v>
      </c>
      <c r="C35">
        <f t="shared" si="2"/>
        <v>197.90469753313056</v>
      </c>
      <c r="E35">
        <f t="shared" si="0"/>
        <v>10.953024668694525</v>
      </c>
      <c r="F35">
        <f t="shared" si="1"/>
        <v>119.96874939303081</v>
      </c>
    </row>
    <row r="36" spans="1:6" ht="15.6" x14ac:dyDescent="0.3">
      <c r="A36" s="11">
        <v>29</v>
      </c>
      <c r="B36" s="11">
        <v>210</v>
      </c>
      <c r="C36">
        <f t="shared" si="2"/>
        <v>208.79046975331306</v>
      </c>
      <c r="E36">
        <f t="shared" si="0"/>
        <v>12.095302466869441</v>
      </c>
      <c r="F36">
        <f t="shared" si="1"/>
        <v>146.29634176505797</v>
      </c>
    </row>
    <row r="37" spans="1:6" ht="15.6" x14ac:dyDescent="0.3">
      <c r="A37" s="11">
        <v>30</v>
      </c>
      <c r="B37" s="11">
        <v>193</v>
      </c>
      <c r="C37">
        <f t="shared" si="2"/>
        <v>194.57904697533129</v>
      </c>
      <c r="E37">
        <f t="shared" si="0"/>
        <v>-15.790469753313062</v>
      </c>
      <c r="F37">
        <f t="shared" si="1"/>
        <v>249.33893503029466</v>
      </c>
    </row>
    <row r="38" spans="1:6" ht="15.6" x14ac:dyDescent="0.3">
      <c r="A38" s="11">
        <v>31</v>
      </c>
      <c r="B38" s="11">
        <v>211</v>
      </c>
      <c r="C38">
        <f t="shared" si="2"/>
        <v>209.35790469753312</v>
      </c>
      <c r="E38">
        <f t="shared" si="0"/>
        <v>16.420953024668705</v>
      </c>
      <c r="F38">
        <f t="shared" si="1"/>
        <v>269.64769823837628</v>
      </c>
    </row>
    <row r="39" spans="1:6" ht="15.6" x14ac:dyDescent="0.3">
      <c r="A39" s="11">
        <v>32</v>
      </c>
      <c r="B39" s="11">
        <v>208</v>
      </c>
      <c r="C39">
        <f t="shared" si="2"/>
        <v>208.13579046975332</v>
      </c>
      <c r="E39">
        <f t="shared" si="0"/>
        <v>-1.3579046975331153</v>
      </c>
      <c r="F39">
        <f t="shared" si="1"/>
        <v>1.8439051675825013</v>
      </c>
    </row>
    <row r="40" spans="1:6" ht="15.6" x14ac:dyDescent="0.3">
      <c r="A40" s="11">
        <v>33</v>
      </c>
      <c r="B40" s="11">
        <v>216</v>
      </c>
      <c r="C40">
        <f t="shared" si="2"/>
        <v>215.21357904697533</v>
      </c>
      <c r="E40">
        <f t="shared" si="0"/>
        <v>7.8642095302466828</v>
      </c>
      <c r="F40">
        <f t="shared" si="1"/>
        <v>61.845791535622752</v>
      </c>
    </row>
    <row r="41" spans="1:6" ht="15.6" x14ac:dyDescent="0.3">
      <c r="A41" s="11">
        <v>34</v>
      </c>
      <c r="B41" s="11">
        <v>218</v>
      </c>
      <c r="C41">
        <f t="shared" si="2"/>
        <v>217.72135790469753</v>
      </c>
      <c r="E41">
        <f t="shared" si="0"/>
        <v>2.786420953024674</v>
      </c>
      <c r="F41">
        <f t="shared" si="1"/>
        <v>7.7641417274549323</v>
      </c>
    </row>
    <row r="42" spans="1:6" ht="15.6" x14ac:dyDescent="0.3">
      <c r="A42" s="11">
        <v>35</v>
      </c>
      <c r="B42" s="11">
        <v>264</v>
      </c>
      <c r="C42">
        <f t="shared" si="2"/>
        <v>259.37213579046977</v>
      </c>
      <c r="E42">
        <f t="shared" si="0"/>
        <v>46.278642095302473</v>
      </c>
      <c r="F42">
        <f t="shared" si="1"/>
        <v>2141.712714185102</v>
      </c>
    </row>
    <row r="43" spans="1:6" ht="15.6" x14ac:dyDescent="0.3">
      <c r="A43" s="11">
        <v>36</v>
      </c>
      <c r="B43" s="11">
        <v>304</v>
      </c>
      <c r="C43">
        <f t="shared" si="2"/>
        <v>299.53721357904698</v>
      </c>
      <c r="E43">
        <f t="shared" si="0"/>
        <v>44.62786420953023</v>
      </c>
      <c r="F43">
        <f t="shared" si="1"/>
        <v>1991.6462639042693</v>
      </c>
    </row>
    <row r="44" spans="1:6" ht="15.6" x14ac:dyDescent="0.3">
      <c r="A44" s="22"/>
      <c r="B44" s="22"/>
    </row>
    <row r="45" spans="1:6" x14ac:dyDescent="0.3">
      <c r="A45" t="s">
        <v>43</v>
      </c>
      <c r="B45" t="s">
        <v>44</v>
      </c>
      <c r="C45" t="s">
        <v>89</v>
      </c>
    </row>
    <row r="46" spans="1:6" ht="15.6" x14ac:dyDescent="0.3">
      <c r="A46" s="24">
        <f>DES!A47+1</f>
        <v>37</v>
      </c>
      <c r="B46" s="24">
        <f>A46-DES!$A$47</f>
        <v>1</v>
      </c>
      <c r="C46">
        <f>$C$43</f>
        <v>299.53721357904698</v>
      </c>
    </row>
    <row r="47" spans="1:6" ht="15.6" x14ac:dyDescent="0.3">
      <c r="A47" s="24">
        <v>38</v>
      </c>
      <c r="B47" s="24">
        <f>A47-DES!$A$47</f>
        <v>2</v>
      </c>
      <c r="C47">
        <f t="shared" ref="C47:C55" si="3">$C$43</f>
        <v>299.53721357904698</v>
      </c>
    </row>
    <row r="48" spans="1:6" ht="15.6" x14ac:dyDescent="0.3">
      <c r="A48" s="24">
        <v>39</v>
      </c>
      <c r="B48" s="24">
        <f>A48-DES!$A$47</f>
        <v>3</v>
      </c>
      <c r="C48">
        <f t="shared" si="3"/>
        <v>299.53721357904698</v>
      </c>
    </row>
    <row r="49" spans="1:3" ht="15.6" x14ac:dyDescent="0.3">
      <c r="A49" s="24">
        <v>40</v>
      </c>
      <c r="B49" s="24">
        <f>A49-DES!$A$47</f>
        <v>4</v>
      </c>
      <c r="C49">
        <f t="shared" si="3"/>
        <v>299.53721357904698</v>
      </c>
    </row>
    <row r="50" spans="1:3" ht="15.6" x14ac:dyDescent="0.3">
      <c r="A50" s="24">
        <v>41</v>
      </c>
      <c r="B50" s="24">
        <f>A50-DES!$A$47</f>
        <v>5</v>
      </c>
      <c r="C50">
        <f t="shared" si="3"/>
        <v>299.53721357904698</v>
      </c>
    </row>
    <row r="51" spans="1:3" ht="15.6" x14ac:dyDescent="0.3">
      <c r="A51" s="24">
        <v>42</v>
      </c>
      <c r="B51" s="24">
        <f>A51-DES!$A$47</f>
        <v>6</v>
      </c>
      <c r="C51">
        <f t="shared" si="3"/>
        <v>299.53721357904698</v>
      </c>
    </row>
    <row r="52" spans="1:3" ht="15.6" x14ac:dyDescent="0.3">
      <c r="A52" s="24">
        <v>43</v>
      </c>
      <c r="B52" s="24">
        <f>A52-DES!$A$47</f>
        <v>7</v>
      </c>
      <c r="C52">
        <f t="shared" si="3"/>
        <v>299.53721357904698</v>
      </c>
    </row>
    <row r="53" spans="1:3" ht="15.6" x14ac:dyDescent="0.3">
      <c r="A53" s="24">
        <v>44</v>
      </c>
      <c r="B53" s="24">
        <f>A53-DES!$A$47</f>
        <v>8</v>
      </c>
      <c r="C53">
        <f t="shared" si="3"/>
        <v>299.53721357904698</v>
      </c>
    </row>
    <row r="54" spans="1:3" ht="15.6" x14ac:dyDescent="0.3">
      <c r="A54" s="24">
        <v>45</v>
      </c>
      <c r="B54" s="24">
        <f>A54-DES!$A$47</f>
        <v>9</v>
      </c>
      <c r="C54">
        <f t="shared" si="3"/>
        <v>299.53721357904698</v>
      </c>
    </row>
    <row r="55" spans="1:3" ht="15.6" x14ac:dyDescent="0.3">
      <c r="A55" s="24">
        <v>46</v>
      </c>
      <c r="B55" s="24">
        <f>A55-DES!$A$47</f>
        <v>10</v>
      </c>
      <c r="C55">
        <f t="shared" si="3"/>
        <v>299.53721357904698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K10" sqref="K10"/>
    </sheetView>
  </sheetViews>
  <sheetFormatPr defaultRowHeight="14.4" x14ac:dyDescent="0.3"/>
  <sheetData>
    <row r="1" spans="1:9" x14ac:dyDescent="0.3">
      <c r="A1" t="s">
        <v>54</v>
      </c>
    </row>
    <row r="2" spans="1:9" ht="15" thickBot="1" x14ac:dyDescent="0.35"/>
    <row r="3" spans="1:9" x14ac:dyDescent="0.3">
      <c r="A3" s="34" t="s">
        <v>55</v>
      </c>
      <c r="B3" s="34"/>
    </row>
    <row r="4" spans="1:9" x14ac:dyDescent="0.3">
      <c r="A4" s="31" t="s">
        <v>56</v>
      </c>
      <c r="B4" s="31">
        <v>0.30308617886240397</v>
      </c>
    </row>
    <row r="5" spans="1:9" x14ac:dyDescent="0.3">
      <c r="A5" s="31" t="s">
        <v>57</v>
      </c>
      <c r="B5" s="31">
        <v>9.1861231817413125E-2</v>
      </c>
    </row>
    <row r="6" spans="1:9" x14ac:dyDescent="0.3">
      <c r="A6" s="31" t="s">
        <v>58</v>
      </c>
      <c r="B6" s="31">
        <v>3.5102558806001438E-2</v>
      </c>
    </row>
    <row r="7" spans="1:9" x14ac:dyDescent="0.3">
      <c r="A7" s="31" t="s">
        <v>59</v>
      </c>
      <c r="B7" s="31">
        <v>14.480846571960511</v>
      </c>
    </row>
    <row r="8" spans="1:9" ht="15" thickBot="1" x14ac:dyDescent="0.35">
      <c r="A8" s="32" t="s">
        <v>60</v>
      </c>
      <c r="B8" s="32">
        <v>18</v>
      </c>
    </row>
    <row r="10" spans="1:9" ht="15" thickBot="1" x14ac:dyDescent="0.35">
      <c r="A10" t="s">
        <v>61</v>
      </c>
    </row>
    <row r="11" spans="1:9" x14ac:dyDescent="0.3">
      <c r="A11" s="33"/>
      <c r="B11" s="33" t="s">
        <v>66</v>
      </c>
      <c r="C11" s="33" t="s">
        <v>67</v>
      </c>
      <c r="D11" s="33" t="s">
        <v>68</v>
      </c>
      <c r="E11" s="33" t="s">
        <v>69</v>
      </c>
      <c r="F11" s="33" t="s">
        <v>70</v>
      </c>
    </row>
    <row r="12" spans="1:9" x14ac:dyDescent="0.3">
      <c r="A12" s="31" t="s">
        <v>62</v>
      </c>
      <c r="B12" s="31">
        <v>1</v>
      </c>
      <c r="C12" s="31">
        <v>339.38132094943285</v>
      </c>
      <c r="D12" s="31">
        <v>339.38132094943285</v>
      </c>
      <c r="E12" s="31">
        <v>1.6184527745908341</v>
      </c>
      <c r="F12" s="31">
        <v>0.22148686835726422</v>
      </c>
    </row>
    <row r="13" spans="1:9" x14ac:dyDescent="0.3">
      <c r="A13" s="31" t="s">
        <v>63</v>
      </c>
      <c r="B13" s="31">
        <v>16</v>
      </c>
      <c r="C13" s="31">
        <v>3355.1186790505676</v>
      </c>
      <c r="D13" s="31">
        <v>209.69491744066048</v>
      </c>
      <c r="E13" s="31"/>
      <c r="F13" s="31"/>
    </row>
    <row r="14" spans="1:9" ht="15" thickBot="1" x14ac:dyDescent="0.35">
      <c r="A14" s="32" t="s">
        <v>64</v>
      </c>
      <c r="B14" s="32">
        <v>17</v>
      </c>
      <c r="C14" s="32">
        <v>3694.5000000000005</v>
      </c>
      <c r="D14" s="32"/>
      <c r="E14" s="32"/>
      <c r="F14" s="32"/>
    </row>
    <row r="15" spans="1:9" ht="15" thickBot="1" x14ac:dyDescent="0.35"/>
    <row r="16" spans="1:9" x14ac:dyDescent="0.3">
      <c r="A16" s="33"/>
      <c r="B16" s="33" t="s">
        <v>71</v>
      </c>
      <c r="C16" s="33" t="s">
        <v>59</v>
      </c>
      <c r="D16" s="33" t="s">
        <v>72</v>
      </c>
      <c r="E16" s="33" t="s">
        <v>73</v>
      </c>
      <c r="F16" s="33" t="s">
        <v>74</v>
      </c>
      <c r="G16" s="33" t="s">
        <v>75</v>
      </c>
      <c r="H16" s="33" t="s">
        <v>76</v>
      </c>
      <c r="I16" s="33" t="s">
        <v>77</v>
      </c>
    </row>
    <row r="17" spans="1:9" x14ac:dyDescent="0.3">
      <c r="A17" s="31" t="s">
        <v>65</v>
      </c>
      <c r="B17" s="35">
        <v>155.88235294117649</v>
      </c>
      <c r="C17" s="31">
        <v>7.1211330271400684</v>
      </c>
      <c r="D17" s="31">
        <v>21.89010545752727</v>
      </c>
      <c r="E17" s="31">
        <v>2.3675907586994522E-13</v>
      </c>
      <c r="F17" s="31">
        <v>140.78622530048276</v>
      </c>
      <c r="G17" s="31">
        <v>170.97848058187023</v>
      </c>
      <c r="H17" s="31">
        <v>140.78622530048276</v>
      </c>
      <c r="I17" s="31">
        <v>170.97848058187023</v>
      </c>
    </row>
    <row r="18" spans="1:9" ht="15" thickBot="1" x14ac:dyDescent="0.35">
      <c r="A18" s="32" t="s">
        <v>78</v>
      </c>
      <c r="B18" s="36">
        <v>0.83694530443756432</v>
      </c>
      <c r="C18" s="32">
        <v>0.6578805720970532</v>
      </c>
      <c r="D18" s="32">
        <v>1.2721842533968228</v>
      </c>
      <c r="E18" s="32">
        <v>0.22148686835726439</v>
      </c>
      <c r="F18" s="32">
        <v>-0.55769920660568961</v>
      </c>
      <c r="G18" s="32">
        <v>2.2315898154808185</v>
      </c>
      <c r="H18" s="32">
        <v>-0.55769920660568961</v>
      </c>
      <c r="I18" s="32">
        <v>2.2315898154808185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C11" sqref="C11"/>
    </sheetView>
  </sheetViews>
  <sheetFormatPr defaultRowHeight="14.4" x14ac:dyDescent="0.3"/>
  <cols>
    <col min="3" max="3" width="26" bestFit="1" customWidth="1"/>
    <col min="4" max="4" width="29.33203125" bestFit="1" customWidth="1"/>
    <col min="5" max="5" width="15.5546875" customWidth="1"/>
    <col min="6" max="6" width="23.88671875" customWidth="1"/>
    <col min="7" max="7" width="21" customWidth="1"/>
  </cols>
  <sheetData>
    <row r="1" spans="1:7" ht="31.2" x14ac:dyDescent="0.3">
      <c r="A1" s="23" t="s">
        <v>13</v>
      </c>
      <c r="B1" s="23"/>
      <c r="C1" s="26" t="s">
        <v>1</v>
      </c>
      <c r="D1" s="26" t="s">
        <v>124</v>
      </c>
      <c r="E1" s="26"/>
      <c r="F1" s="26" t="s">
        <v>2</v>
      </c>
      <c r="G1" s="26" t="s">
        <v>94</v>
      </c>
    </row>
    <row r="2" spans="1:7" ht="46.8" x14ac:dyDescent="0.3">
      <c r="A2" s="23"/>
      <c r="B2" s="23"/>
      <c r="C2" s="26"/>
      <c r="D2" s="26"/>
      <c r="E2" s="26"/>
      <c r="F2" s="26" t="s">
        <v>32</v>
      </c>
      <c r="G2" s="3" t="s">
        <v>91</v>
      </c>
    </row>
    <row r="3" spans="1:7" ht="15.6" x14ac:dyDescent="0.3">
      <c r="A3" s="22">
        <v>36</v>
      </c>
      <c r="B3" s="22"/>
      <c r="C3" s="25">
        <v>0.5</v>
      </c>
      <c r="D3" s="25">
        <v>0.5</v>
      </c>
      <c r="E3" s="22"/>
      <c r="F3" s="16"/>
      <c r="G3" s="15"/>
    </row>
    <row r="5" spans="1:7" ht="46.8" x14ac:dyDescent="0.3">
      <c r="A5" s="23" t="s">
        <v>4</v>
      </c>
      <c r="B5" s="23" t="s">
        <v>16</v>
      </c>
      <c r="C5" s="26" t="s">
        <v>22</v>
      </c>
      <c r="D5" s="26" t="s">
        <v>19</v>
      </c>
      <c r="E5" s="26" t="s">
        <v>28</v>
      </c>
      <c r="F5" s="26" t="s">
        <v>21</v>
      </c>
      <c r="G5" s="26" t="s">
        <v>20</v>
      </c>
    </row>
    <row r="6" spans="1:7" x14ac:dyDescent="0.3">
      <c r="B6" s="5" t="s">
        <v>25</v>
      </c>
      <c r="C6" s="5" t="s">
        <v>26</v>
      </c>
      <c r="D6" s="5" t="s">
        <v>27</v>
      </c>
      <c r="E6" s="5" t="s">
        <v>29</v>
      </c>
      <c r="F6" s="5" t="s">
        <v>30</v>
      </c>
      <c r="G6" s="5" t="s">
        <v>37</v>
      </c>
    </row>
    <row r="7" spans="1:7" x14ac:dyDescent="0.3">
      <c r="A7" t="s">
        <v>31</v>
      </c>
      <c r="B7" s="17"/>
      <c r="C7" s="17"/>
      <c r="D7" s="17"/>
      <c r="E7" s="14" t="s">
        <v>33</v>
      </c>
    </row>
    <row r="8" spans="1:7" x14ac:dyDescent="0.3">
      <c r="B8" s="17"/>
      <c r="C8" s="17"/>
      <c r="D8" s="17"/>
      <c r="E8" s="14"/>
      <c r="F8" s="17" t="s">
        <v>34</v>
      </c>
      <c r="G8" s="17" t="s">
        <v>92</v>
      </c>
    </row>
    <row r="9" spans="1:7" x14ac:dyDescent="0.3">
      <c r="B9" s="17"/>
      <c r="C9" s="17" t="s">
        <v>35</v>
      </c>
      <c r="D9" s="17" t="s">
        <v>125</v>
      </c>
      <c r="E9" s="14"/>
      <c r="F9" s="17"/>
      <c r="G9" s="17"/>
    </row>
    <row r="10" spans="1:7" ht="43.2" x14ac:dyDescent="0.3">
      <c r="C10" s="4" t="s">
        <v>23</v>
      </c>
      <c r="D10" s="4" t="s">
        <v>24</v>
      </c>
    </row>
    <row r="11" spans="1:7" x14ac:dyDescent="0.3">
      <c r="A11">
        <v>0</v>
      </c>
      <c r="B11" s="4"/>
      <c r="C11">
        <f>B12</f>
        <v>165</v>
      </c>
      <c r="D11">
        <f>B13-B12</f>
        <v>6</v>
      </c>
    </row>
    <row r="12" spans="1:7" ht="15.6" x14ac:dyDescent="0.3">
      <c r="A12" s="18">
        <v>1</v>
      </c>
      <c r="B12" s="18">
        <v>165</v>
      </c>
      <c r="C12">
        <f>$C$3*B12+(1-$C$3)*(C11+D11)</f>
        <v>168</v>
      </c>
      <c r="D12">
        <f>$D$3*(C12-C11)+(1-$D$3)*D11</f>
        <v>4.5</v>
      </c>
      <c r="F12">
        <f>D12-C12</f>
        <v>-163.5</v>
      </c>
      <c r="G12">
        <f>F12^2</f>
        <v>26732.25</v>
      </c>
    </row>
    <row r="13" spans="1:7" ht="15.6" x14ac:dyDescent="0.3">
      <c r="A13" s="18">
        <v>2</v>
      </c>
      <c r="B13" s="18">
        <v>171</v>
      </c>
      <c r="C13">
        <f t="shared" ref="C13:C47" si="0">$C$3*B13+(1-$C$3)*(C12+D12)</f>
        <v>171.75</v>
      </c>
      <c r="D13">
        <f t="shared" ref="D13:D47" si="1">$D$3*(C13-C12)+(1-$D$3)*D12</f>
        <v>4.125</v>
      </c>
      <c r="F13">
        <f t="shared" ref="F13:F47" si="2">D13-C13</f>
        <v>-167.625</v>
      </c>
      <c r="G13">
        <f t="shared" ref="G13:G47" si="3">F13^2</f>
        <v>28098.140625</v>
      </c>
    </row>
    <row r="14" spans="1:7" ht="15.6" x14ac:dyDescent="0.3">
      <c r="A14" s="18">
        <v>3</v>
      </c>
      <c r="B14" s="18">
        <v>147</v>
      </c>
      <c r="C14">
        <f t="shared" si="0"/>
        <v>161.4375</v>
      </c>
      <c r="D14">
        <f t="shared" si="1"/>
        <v>-3.09375</v>
      </c>
      <c r="F14">
        <f t="shared" si="2"/>
        <v>-164.53125</v>
      </c>
      <c r="G14">
        <f t="shared" si="3"/>
        <v>27070.5322265625</v>
      </c>
    </row>
    <row r="15" spans="1:7" ht="15.6" x14ac:dyDescent="0.3">
      <c r="A15" s="18">
        <v>4</v>
      </c>
      <c r="B15" s="18">
        <v>143</v>
      </c>
      <c r="C15">
        <f t="shared" si="0"/>
        <v>150.671875</v>
      </c>
      <c r="D15">
        <f t="shared" si="1"/>
        <v>-6.9296875</v>
      </c>
      <c r="F15">
        <f t="shared" si="2"/>
        <v>-157.6015625</v>
      </c>
      <c r="G15">
        <f t="shared" si="3"/>
        <v>24838.252502441406</v>
      </c>
    </row>
    <row r="16" spans="1:7" ht="15.6" x14ac:dyDescent="0.3">
      <c r="A16" s="18">
        <v>5</v>
      </c>
      <c r="B16" s="18">
        <v>164</v>
      </c>
      <c r="C16">
        <f t="shared" si="0"/>
        <v>153.87109375</v>
      </c>
      <c r="D16">
        <f t="shared" si="1"/>
        <v>-1.865234375</v>
      </c>
      <c r="F16">
        <f t="shared" si="2"/>
        <v>-155.736328125</v>
      </c>
      <c r="G16">
        <f t="shared" si="3"/>
        <v>24253.803897857666</v>
      </c>
    </row>
    <row r="17" spans="1:7" ht="15.6" x14ac:dyDescent="0.3">
      <c r="A17" s="18">
        <v>6</v>
      </c>
      <c r="B17" s="18">
        <v>160</v>
      </c>
      <c r="C17">
        <f t="shared" si="0"/>
        <v>156.0029296875</v>
      </c>
      <c r="D17">
        <f t="shared" si="1"/>
        <v>0.13330078125</v>
      </c>
      <c r="F17">
        <f t="shared" si="2"/>
        <v>-155.86962890625</v>
      </c>
      <c r="G17">
        <f t="shared" si="3"/>
        <v>24295.341215372086</v>
      </c>
    </row>
    <row r="18" spans="1:7" ht="15.6" x14ac:dyDescent="0.3">
      <c r="A18" s="18">
        <v>7</v>
      </c>
      <c r="B18" s="18">
        <v>152</v>
      </c>
      <c r="C18">
        <f t="shared" si="0"/>
        <v>154.068115234375</v>
      </c>
      <c r="D18">
        <f t="shared" si="1"/>
        <v>-0.9007568359375</v>
      </c>
      <c r="F18">
        <f t="shared" si="2"/>
        <v>-154.9688720703125</v>
      </c>
      <c r="G18">
        <f t="shared" si="3"/>
        <v>24015.351310744882</v>
      </c>
    </row>
    <row r="19" spans="1:7" ht="15.6" x14ac:dyDescent="0.3">
      <c r="A19" s="18">
        <v>8</v>
      </c>
      <c r="B19" s="18">
        <v>150</v>
      </c>
      <c r="C19">
        <f t="shared" si="0"/>
        <v>151.58367919921875</v>
      </c>
      <c r="D19">
        <f t="shared" si="1"/>
        <v>-1.692596435546875</v>
      </c>
      <c r="F19">
        <f t="shared" si="2"/>
        <v>-153.27627563476562</v>
      </c>
      <c r="G19">
        <f t="shared" si="3"/>
        <v>23493.616672464646</v>
      </c>
    </row>
    <row r="20" spans="1:7" ht="15.6" x14ac:dyDescent="0.3">
      <c r="A20" s="18">
        <v>9</v>
      </c>
      <c r="B20" s="18">
        <v>159</v>
      </c>
      <c r="C20">
        <f t="shared" si="0"/>
        <v>154.44554138183594</v>
      </c>
      <c r="D20">
        <f t="shared" si="1"/>
        <v>0.58463287353515625</v>
      </c>
      <c r="F20">
        <f t="shared" si="2"/>
        <v>-153.86090850830078</v>
      </c>
      <c r="G20">
        <f t="shared" si="3"/>
        <v>23673.179166999704</v>
      </c>
    </row>
    <row r="21" spans="1:7" ht="15.6" x14ac:dyDescent="0.3">
      <c r="A21" s="18">
        <v>10</v>
      </c>
      <c r="B21" s="18">
        <v>169</v>
      </c>
      <c r="C21">
        <f t="shared" si="0"/>
        <v>162.01508712768555</v>
      </c>
      <c r="D21">
        <f t="shared" si="1"/>
        <v>4.0770893096923828</v>
      </c>
      <c r="F21">
        <f t="shared" si="2"/>
        <v>-157.93799781799316</v>
      </c>
      <c r="G21">
        <f t="shared" si="3"/>
        <v>24944.411154756413</v>
      </c>
    </row>
    <row r="22" spans="1:7" ht="15.6" x14ac:dyDescent="0.3">
      <c r="A22" s="18">
        <v>11</v>
      </c>
      <c r="B22" s="18">
        <v>173</v>
      </c>
      <c r="C22">
        <f t="shared" si="0"/>
        <v>169.54608821868896</v>
      </c>
      <c r="D22">
        <f t="shared" si="1"/>
        <v>5.8040452003479004</v>
      </c>
      <c r="F22">
        <f t="shared" si="2"/>
        <v>-163.74204301834106</v>
      </c>
      <c r="G22">
        <f t="shared" si="3"/>
        <v>26811.456651820256</v>
      </c>
    </row>
    <row r="23" spans="1:7" ht="15.6" x14ac:dyDescent="0.3">
      <c r="A23" s="18">
        <v>12</v>
      </c>
      <c r="B23" s="18">
        <v>203</v>
      </c>
      <c r="C23">
        <f t="shared" si="0"/>
        <v>189.17506670951843</v>
      </c>
      <c r="D23">
        <f t="shared" si="1"/>
        <v>12.716511845588684</v>
      </c>
      <c r="F23">
        <f t="shared" si="2"/>
        <v>-176.45855486392975</v>
      </c>
      <c r="G23">
        <f t="shared" si="3"/>
        <v>31137.621584666504</v>
      </c>
    </row>
    <row r="24" spans="1:7" ht="15.6" x14ac:dyDescent="0.3">
      <c r="A24" s="18">
        <v>13</v>
      </c>
      <c r="B24" s="18">
        <v>169</v>
      </c>
      <c r="C24">
        <f t="shared" si="0"/>
        <v>185.44578927755356</v>
      </c>
      <c r="D24">
        <f t="shared" si="1"/>
        <v>4.4936172068119049</v>
      </c>
      <c r="F24">
        <f t="shared" si="2"/>
        <v>-180.95217207074165</v>
      </c>
      <c r="G24">
        <f t="shared" si="3"/>
        <v>32743.688577119297</v>
      </c>
    </row>
    <row r="25" spans="1:7" ht="15.6" x14ac:dyDescent="0.3">
      <c r="A25" s="18">
        <v>14</v>
      </c>
      <c r="B25" s="18">
        <v>166</v>
      </c>
      <c r="C25">
        <f t="shared" si="0"/>
        <v>177.96970324218273</v>
      </c>
      <c r="D25">
        <f t="shared" si="1"/>
        <v>-1.4912344142794609</v>
      </c>
      <c r="F25">
        <f t="shared" si="2"/>
        <v>-179.46093765646219</v>
      </c>
      <c r="G25">
        <f t="shared" si="3"/>
        <v>32206.22814453661</v>
      </c>
    </row>
    <row r="26" spans="1:7" ht="15.6" x14ac:dyDescent="0.3">
      <c r="A26" s="18">
        <v>15</v>
      </c>
      <c r="B26" s="18">
        <v>162</v>
      </c>
      <c r="C26">
        <f t="shared" si="0"/>
        <v>169.23923441395164</v>
      </c>
      <c r="D26">
        <f t="shared" si="1"/>
        <v>-5.1108516212552786</v>
      </c>
      <c r="F26">
        <f t="shared" si="2"/>
        <v>-174.35008603520691</v>
      </c>
      <c r="G26">
        <f t="shared" si="3"/>
        <v>30397.952500484054</v>
      </c>
    </row>
    <row r="27" spans="1:7" ht="15.6" x14ac:dyDescent="0.3">
      <c r="A27" s="18">
        <v>16</v>
      </c>
      <c r="B27" s="18">
        <v>147</v>
      </c>
      <c r="C27">
        <f t="shared" si="0"/>
        <v>155.56419139634818</v>
      </c>
      <c r="D27">
        <f t="shared" si="1"/>
        <v>-9.3929473194293678</v>
      </c>
      <c r="F27">
        <f t="shared" si="2"/>
        <v>-164.95713871577755</v>
      </c>
      <c r="G27">
        <f t="shared" si="3"/>
        <v>27210.857613296277</v>
      </c>
    </row>
    <row r="28" spans="1:7" ht="15.6" x14ac:dyDescent="0.3">
      <c r="A28" s="18">
        <v>17</v>
      </c>
      <c r="B28" s="18">
        <v>188</v>
      </c>
      <c r="C28">
        <f t="shared" si="0"/>
        <v>167.08562203845941</v>
      </c>
      <c r="D28">
        <f t="shared" si="1"/>
        <v>1.0642416613409296</v>
      </c>
      <c r="F28">
        <f t="shared" si="2"/>
        <v>-166.02138037711848</v>
      </c>
      <c r="G28">
        <f t="shared" si="3"/>
        <v>27563.098742323858</v>
      </c>
    </row>
    <row r="29" spans="1:7" ht="15.6" x14ac:dyDescent="0.3">
      <c r="A29" s="18">
        <v>18</v>
      </c>
      <c r="B29" s="18">
        <v>161</v>
      </c>
      <c r="C29">
        <f t="shared" si="0"/>
        <v>164.57493184990017</v>
      </c>
      <c r="D29">
        <f t="shared" si="1"/>
        <v>-0.72322426360915415</v>
      </c>
      <c r="F29">
        <f t="shared" si="2"/>
        <v>-165.29815611350932</v>
      </c>
      <c r="G29">
        <f t="shared" si="3"/>
        <v>27323.480414526101</v>
      </c>
    </row>
    <row r="30" spans="1:7" ht="15.6" x14ac:dyDescent="0.3">
      <c r="A30" s="18">
        <v>19</v>
      </c>
      <c r="B30" s="18">
        <v>162</v>
      </c>
      <c r="C30">
        <f t="shared" si="0"/>
        <v>162.92585379314551</v>
      </c>
      <c r="D30">
        <f t="shared" si="1"/>
        <v>-1.1861511601819075</v>
      </c>
      <c r="F30">
        <f t="shared" si="2"/>
        <v>-164.11200495332741</v>
      </c>
      <c r="G30">
        <f t="shared" si="3"/>
        <v>26932.750169800962</v>
      </c>
    </row>
    <row r="31" spans="1:7" ht="15.6" x14ac:dyDescent="0.3">
      <c r="A31" s="18">
        <v>20</v>
      </c>
      <c r="B31" s="18">
        <v>169</v>
      </c>
      <c r="C31">
        <f t="shared" si="0"/>
        <v>165.3698513164818</v>
      </c>
      <c r="D31">
        <f t="shared" si="1"/>
        <v>0.62892318157719274</v>
      </c>
      <c r="F31">
        <f t="shared" si="2"/>
        <v>-164.74092813490461</v>
      </c>
      <c r="G31">
        <f t="shared" si="3"/>
        <v>27139.573402749804</v>
      </c>
    </row>
    <row r="32" spans="1:7" ht="15.6" x14ac:dyDescent="0.3">
      <c r="A32" s="18">
        <v>21</v>
      </c>
      <c r="B32" s="18">
        <v>185</v>
      </c>
      <c r="C32">
        <f t="shared" si="0"/>
        <v>175.4993872490295</v>
      </c>
      <c r="D32">
        <f t="shared" si="1"/>
        <v>5.3792295570624447</v>
      </c>
      <c r="F32">
        <f t="shared" si="2"/>
        <v>-170.12015769196705</v>
      </c>
      <c r="G32">
        <f t="shared" si="3"/>
        <v>28940.868053139737</v>
      </c>
    </row>
    <row r="33" spans="1:7" ht="15.6" x14ac:dyDescent="0.3">
      <c r="A33" s="18">
        <v>22</v>
      </c>
      <c r="B33" s="18">
        <v>188</v>
      </c>
      <c r="C33">
        <f t="shared" si="0"/>
        <v>184.43930840304597</v>
      </c>
      <c r="D33">
        <f t="shared" si="1"/>
        <v>7.1595753555394595</v>
      </c>
      <c r="F33">
        <f t="shared" si="2"/>
        <v>-177.27973304750651</v>
      </c>
      <c r="G33">
        <f t="shared" si="3"/>
        <v>31428.103749395174</v>
      </c>
    </row>
    <row r="34" spans="1:7" ht="15.6" x14ac:dyDescent="0.3">
      <c r="A34" s="18">
        <v>23</v>
      </c>
      <c r="B34" s="18">
        <v>200</v>
      </c>
      <c r="C34">
        <f t="shared" si="0"/>
        <v>195.79944187929271</v>
      </c>
      <c r="D34">
        <f t="shared" si="1"/>
        <v>9.259854415893102</v>
      </c>
      <c r="F34">
        <f t="shared" si="2"/>
        <v>-186.53958746339961</v>
      </c>
      <c r="G34">
        <f t="shared" si="3"/>
        <v>34797.017691015317</v>
      </c>
    </row>
    <row r="35" spans="1:7" ht="15.6" x14ac:dyDescent="0.3">
      <c r="A35" s="18">
        <v>24</v>
      </c>
      <c r="B35" s="18">
        <v>229</v>
      </c>
      <c r="C35">
        <f t="shared" si="0"/>
        <v>217.02964814759292</v>
      </c>
      <c r="D35">
        <f t="shared" si="1"/>
        <v>15.245030342096655</v>
      </c>
      <c r="F35">
        <f t="shared" si="2"/>
        <v>-201.78461780549628</v>
      </c>
      <c r="G35">
        <f t="shared" si="3"/>
        <v>40717.031982910208</v>
      </c>
    </row>
    <row r="36" spans="1:7" ht="15.6" x14ac:dyDescent="0.3">
      <c r="A36" s="18">
        <v>25</v>
      </c>
      <c r="B36" s="18">
        <v>189</v>
      </c>
      <c r="C36">
        <f t="shared" si="0"/>
        <v>210.63733924484478</v>
      </c>
      <c r="D36">
        <f t="shared" si="1"/>
        <v>4.4263607196742569</v>
      </c>
      <c r="F36">
        <f t="shared" si="2"/>
        <v>-206.21097852517053</v>
      </c>
      <c r="G36">
        <f t="shared" si="3"/>
        <v>42522.967664308344</v>
      </c>
    </row>
    <row r="37" spans="1:7" ht="15.6" x14ac:dyDescent="0.3">
      <c r="A37" s="18">
        <v>26</v>
      </c>
      <c r="B37" s="18">
        <v>218</v>
      </c>
      <c r="C37">
        <f t="shared" si="0"/>
        <v>216.53184998225953</v>
      </c>
      <c r="D37">
        <f t="shared" si="1"/>
        <v>5.1604357285445026</v>
      </c>
      <c r="F37">
        <f t="shared" si="2"/>
        <v>-211.37141425371502</v>
      </c>
      <c r="G37">
        <f t="shared" si="3"/>
        <v>44677.874763615597</v>
      </c>
    </row>
    <row r="38" spans="1:7" ht="15.6" x14ac:dyDescent="0.3">
      <c r="A38" s="18">
        <v>27</v>
      </c>
      <c r="B38" s="18">
        <v>185</v>
      </c>
      <c r="C38">
        <f t="shared" si="0"/>
        <v>203.34614285540204</v>
      </c>
      <c r="D38">
        <f t="shared" si="1"/>
        <v>-4.0126356991564958</v>
      </c>
      <c r="F38">
        <f t="shared" si="2"/>
        <v>-207.35877855455854</v>
      </c>
      <c r="G38">
        <f t="shared" si="3"/>
        <v>42997.663043638444</v>
      </c>
    </row>
    <row r="39" spans="1:7" ht="15.6" x14ac:dyDescent="0.3">
      <c r="A39" s="18">
        <v>28</v>
      </c>
      <c r="B39" s="18">
        <v>199</v>
      </c>
      <c r="C39">
        <f t="shared" si="0"/>
        <v>199.16675357812278</v>
      </c>
      <c r="D39">
        <f t="shared" si="1"/>
        <v>-4.0960124882178759</v>
      </c>
      <c r="F39">
        <f t="shared" si="2"/>
        <v>-203.26276606634065</v>
      </c>
      <c r="G39">
        <f t="shared" si="3"/>
        <v>41315.752068939924</v>
      </c>
    </row>
    <row r="40" spans="1:7" ht="15.6" x14ac:dyDescent="0.3">
      <c r="A40" s="18">
        <v>29</v>
      </c>
      <c r="B40" s="18">
        <v>210</v>
      </c>
      <c r="C40">
        <f t="shared" si="0"/>
        <v>202.53537054495246</v>
      </c>
      <c r="D40">
        <f t="shared" si="1"/>
        <v>-0.36369776069409943</v>
      </c>
      <c r="F40">
        <f t="shared" si="2"/>
        <v>-202.89906830564655</v>
      </c>
      <c r="G40">
        <f t="shared" si="3"/>
        <v>41168.031919299428</v>
      </c>
    </row>
    <row r="41" spans="1:7" ht="15.6" x14ac:dyDescent="0.3">
      <c r="A41" s="18">
        <v>30</v>
      </c>
      <c r="B41" s="18">
        <v>193</v>
      </c>
      <c r="C41">
        <f t="shared" si="0"/>
        <v>197.58583639212918</v>
      </c>
      <c r="D41">
        <f t="shared" si="1"/>
        <v>-2.6566159567586878</v>
      </c>
      <c r="F41">
        <f t="shared" si="2"/>
        <v>-200.24245234888787</v>
      </c>
      <c r="G41">
        <f t="shared" si="3"/>
        <v>40097.039722696631</v>
      </c>
    </row>
    <row r="42" spans="1:7" ht="15.6" x14ac:dyDescent="0.3">
      <c r="A42" s="18">
        <v>31</v>
      </c>
      <c r="B42" s="18">
        <v>211</v>
      </c>
      <c r="C42">
        <f t="shared" si="0"/>
        <v>202.96461021768525</v>
      </c>
      <c r="D42">
        <f t="shared" si="1"/>
        <v>1.3610789343986895</v>
      </c>
      <c r="F42">
        <f t="shared" si="2"/>
        <v>-201.60353128328657</v>
      </c>
      <c r="G42">
        <f t="shared" si="3"/>
        <v>40643.983825891104</v>
      </c>
    </row>
    <row r="43" spans="1:7" ht="15.6" x14ac:dyDescent="0.3">
      <c r="A43" s="18">
        <v>32</v>
      </c>
      <c r="B43" s="18">
        <v>208</v>
      </c>
      <c r="C43">
        <f t="shared" si="0"/>
        <v>206.16284457604195</v>
      </c>
      <c r="D43">
        <f t="shared" si="1"/>
        <v>2.2796566463776946</v>
      </c>
      <c r="F43">
        <f t="shared" si="2"/>
        <v>-203.88318792966425</v>
      </c>
      <c r="G43">
        <f t="shared" si="3"/>
        <v>41568.354320362785</v>
      </c>
    </row>
    <row r="44" spans="1:7" ht="15.6" x14ac:dyDescent="0.3">
      <c r="A44" s="18">
        <v>33</v>
      </c>
      <c r="B44" s="18">
        <v>216</v>
      </c>
      <c r="C44">
        <f t="shared" si="0"/>
        <v>212.22125061120983</v>
      </c>
      <c r="D44">
        <f t="shared" si="1"/>
        <v>4.1690313407727864</v>
      </c>
      <c r="F44">
        <f t="shared" si="2"/>
        <v>-208.05221927043704</v>
      </c>
      <c r="G44">
        <f t="shared" si="3"/>
        <v>43285.725943354009</v>
      </c>
    </row>
    <row r="45" spans="1:7" ht="15.6" x14ac:dyDescent="0.3">
      <c r="A45" s="18">
        <v>34</v>
      </c>
      <c r="B45" s="18">
        <v>218</v>
      </c>
      <c r="C45">
        <f t="shared" si="0"/>
        <v>217.19514097599131</v>
      </c>
      <c r="D45">
        <f t="shared" si="1"/>
        <v>4.5714608527771343</v>
      </c>
      <c r="F45">
        <f t="shared" si="2"/>
        <v>-212.62368012321417</v>
      </c>
      <c r="G45">
        <f t="shared" si="3"/>
        <v>45208.829349138898</v>
      </c>
    </row>
    <row r="46" spans="1:7" ht="15.6" x14ac:dyDescent="0.3">
      <c r="A46" s="18">
        <v>35</v>
      </c>
      <c r="B46" s="18">
        <v>264</v>
      </c>
      <c r="C46">
        <f t="shared" si="0"/>
        <v>242.88330091438422</v>
      </c>
      <c r="D46">
        <f t="shared" si="1"/>
        <v>15.129810395585025</v>
      </c>
      <c r="F46">
        <f t="shared" si="2"/>
        <v>-227.7534905187992</v>
      </c>
      <c r="G46">
        <f t="shared" si="3"/>
        <v>51871.652443496758</v>
      </c>
    </row>
    <row r="47" spans="1:7" ht="15.6" x14ac:dyDescent="0.3">
      <c r="A47" s="18">
        <v>36</v>
      </c>
      <c r="B47" s="18">
        <v>304</v>
      </c>
      <c r="C47">
        <f t="shared" si="0"/>
        <v>281.0065556549846</v>
      </c>
      <c r="D47">
        <f t="shared" si="1"/>
        <v>26.626532568092699</v>
      </c>
      <c r="F47">
        <f t="shared" si="2"/>
        <v>-254.3800230868919</v>
      </c>
      <c r="G47">
        <f t="shared" si="3"/>
        <v>64709.196145687652</v>
      </c>
    </row>
    <row r="48" spans="1:7" x14ac:dyDescent="0.3">
      <c r="A48" t="s">
        <v>36</v>
      </c>
      <c r="C48" s="27" t="s">
        <v>40</v>
      </c>
    </row>
    <row r="49" spans="1:3" x14ac:dyDescent="0.3">
      <c r="C49" s="27" t="s">
        <v>41</v>
      </c>
    </row>
    <row r="50" spans="1:3" x14ac:dyDescent="0.3">
      <c r="B50" s="27" t="s">
        <v>38</v>
      </c>
      <c r="C50" t="s">
        <v>39</v>
      </c>
    </row>
    <row r="51" spans="1:3" x14ac:dyDescent="0.3">
      <c r="B51" s="27"/>
      <c r="C51" t="s">
        <v>42</v>
      </c>
    </row>
    <row r="52" spans="1:3" x14ac:dyDescent="0.3">
      <c r="A52">
        <v>37</v>
      </c>
      <c r="B52">
        <f>A52-$A$47</f>
        <v>1</v>
      </c>
      <c r="C52">
        <f>C47+$D$47</f>
        <v>307.63308822307727</v>
      </c>
    </row>
    <row r="53" spans="1:3" x14ac:dyDescent="0.3">
      <c r="A53">
        <v>38</v>
      </c>
      <c r="B53">
        <f t="shared" ref="B53:B58" si="4">A53-$A$47</f>
        <v>2</v>
      </c>
      <c r="C53">
        <f t="shared" ref="C53:C58" si="5">C52+$D$47</f>
        <v>334.25962079116994</v>
      </c>
    </row>
    <row r="54" spans="1:3" x14ac:dyDescent="0.3">
      <c r="A54">
        <v>39</v>
      </c>
      <c r="B54">
        <f t="shared" si="4"/>
        <v>3</v>
      </c>
      <c r="C54">
        <f t="shared" si="5"/>
        <v>360.88615335926261</v>
      </c>
    </row>
    <row r="55" spans="1:3" x14ac:dyDescent="0.3">
      <c r="A55">
        <v>40</v>
      </c>
      <c r="B55">
        <f t="shared" si="4"/>
        <v>4</v>
      </c>
      <c r="C55">
        <f t="shared" si="5"/>
        <v>387.51268592735528</v>
      </c>
    </row>
    <row r="56" spans="1:3" x14ac:dyDescent="0.3">
      <c r="A56">
        <v>41</v>
      </c>
      <c r="B56">
        <f t="shared" si="4"/>
        <v>5</v>
      </c>
      <c r="C56">
        <f t="shared" si="5"/>
        <v>414.13921849544795</v>
      </c>
    </row>
    <row r="57" spans="1:3" x14ac:dyDescent="0.3">
      <c r="A57">
        <v>42</v>
      </c>
      <c r="B57">
        <f t="shared" si="4"/>
        <v>6</v>
      </c>
      <c r="C57">
        <f t="shared" si="5"/>
        <v>440.76575106354062</v>
      </c>
    </row>
    <row r="58" spans="1:3" x14ac:dyDescent="0.3">
      <c r="A58">
        <v>43</v>
      </c>
      <c r="B58">
        <f t="shared" si="4"/>
        <v>7</v>
      </c>
      <c r="C58">
        <f t="shared" si="5"/>
        <v>467.39228363163329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18" sqref="B18"/>
    </sheetView>
  </sheetViews>
  <sheetFormatPr defaultRowHeight="14.4" x14ac:dyDescent="0.3"/>
  <sheetData>
    <row r="1" spans="1:10" x14ac:dyDescent="0.3">
      <c r="A1" t="s">
        <v>54</v>
      </c>
    </row>
    <row r="2" spans="1:10" ht="15" thickBot="1" x14ac:dyDescent="0.35"/>
    <row r="3" spans="1:10" x14ac:dyDescent="0.3">
      <c r="A3" s="34" t="s">
        <v>55</v>
      </c>
      <c r="B3" s="34"/>
      <c r="F3" t="s">
        <v>79</v>
      </c>
    </row>
    <row r="4" spans="1:10" x14ac:dyDescent="0.3">
      <c r="A4" s="31" t="s">
        <v>56</v>
      </c>
      <c r="B4" s="31">
        <v>0.90612935715159171</v>
      </c>
      <c r="G4" t="s">
        <v>80</v>
      </c>
    </row>
    <row r="5" spans="1:10" x14ac:dyDescent="0.3">
      <c r="A5" s="31" t="s">
        <v>57</v>
      </c>
      <c r="B5" s="31">
        <v>0.82107041189195684</v>
      </c>
      <c r="H5" t="s">
        <v>81</v>
      </c>
    </row>
    <row r="6" spans="1:10" x14ac:dyDescent="0.3">
      <c r="A6" s="31" t="s">
        <v>58</v>
      </c>
      <c r="B6" s="31">
        <v>0.81580777694760265</v>
      </c>
      <c r="I6" t="s">
        <v>82</v>
      </c>
      <c r="J6" t="s">
        <v>49</v>
      </c>
    </row>
    <row r="7" spans="1:10" x14ac:dyDescent="0.3">
      <c r="A7" s="31" t="s">
        <v>59</v>
      </c>
      <c r="B7" s="31">
        <v>11.429513624358659</v>
      </c>
      <c r="I7" t="s">
        <v>83</v>
      </c>
      <c r="J7" t="s">
        <v>84</v>
      </c>
    </row>
    <row r="8" spans="1:10" ht="15" thickBot="1" x14ac:dyDescent="0.35">
      <c r="A8" s="32" t="s">
        <v>60</v>
      </c>
      <c r="B8" s="32">
        <v>36</v>
      </c>
    </row>
    <row r="10" spans="1:10" ht="15" thickBot="1" x14ac:dyDescent="0.35">
      <c r="A10" t="s">
        <v>61</v>
      </c>
    </row>
    <row r="11" spans="1:10" x14ac:dyDescent="0.3">
      <c r="A11" s="33"/>
      <c r="B11" s="33" t="s">
        <v>66</v>
      </c>
      <c r="C11" s="33" t="s">
        <v>67</v>
      </c>
      <c r="D11" s="33" t="s">
        <v>68</v>
      </c>
      <c r="E11" s="33" t="s">
        <v>69</v>
      </c>
      <c r="F11" s="33" t="s">
        <v>70</v>
      </c>
    </row>
    <row r="12" spans="1:10" x14ac:dyDescent="0.3">
      <c r="A12" s="31" t="s">
        <v>62</v>
      </c>
      <c r="B12" s="31">
        <v>1</v>
      </c>
      <c r="C12" s="31">
        <v>20381.336359609839</v>
      </c>
      <c r="D12" s="31">
        <v>20381.336359609839</v>
      </c>
      <c r="E12" s="31">
        <v>156.01888038477881</v>
      </c>
      <c r="F12" s="31">
        <v>2.9432126191899051E-14</v>
      </c>
    </row>
    <row r="13" spans="1:10" x14ac:dyDescent="0.3">
      <c r="A13" s="31" t="s">
        <v>63</v>
      </c>
      <c r="B13" s="31">
        <v>34</v>
      </c>
      <c r="C13" s="31">
        <v>4441.5485774396066</v>
      </c>
      <c r="D13" s="31">
        <v>130.63378168940019</v>
      </c>
      <c r="E13" s="31"/>
      <c r="F13" s="31"/>
    </row>
    <row r="14" spans="1:10" ht="15" thickBot="1" x14ac:dyDescent="0.35">
      <c r="A14" s="32" t="s">
        <v>64</v>
      </c>
      <c r="B14" s="32">
        <v>35</v>
      </c>
      <c r="C14" s="32">
        <v>24822.884937049446</v>
      </c>
      <c r="D14" s="32"/>
      <c r="E14" s="32"/>
      <c r="F14" s="32"/>
    </row>
    <row r="15" spans="1:10" ht="15" thickBot="1" x14ac:dyDescent="0.35"/>
    <row r="16" spans="1:10" x14ac:dyDescent="0.3">
      <c r="A16" s="33"/>
      <c r="B16" s="33" t="s">
        <v>71</v>
      </c>
      <c r="C16" s="33" t="s">
        <v>59</v>
      </c>
      <c r="D16" s="33" t="s">
        <v>72</v>
      </c>
      <c r="E16" s="33" t="s">
        <v>73</v>
      </c>
      <c r="F16" s="33" t="s">
        <v>74</v>
      </c>
      <c r="G16" s="33" t="s">
        <v>75</v>
      </c>
      <c r="H16" s="33" t="s">
        <v>76</v>
      </c>
      <c r="I16" s="33" t="s">
        <v>77</v>
      </c>
    </row>
    <row r="17" spans="1:11" x14ac:dyDescent="0.3">
      <c r="A17" s="31" t="s">
        <v>65</v>
      </c>
      <c r="B17" s="35">
        <v>144.42354225448099</v>
      </c>
      <c r="C17" s="31">
        <v>3.8906208064071164</v>
      </c>
      <c r="D17" s="31">
        <v>37.120950470588909</v>
      </c>
      <c r="E17" s="31">
        <v>4.2280328411407525E-29</v>
      </c>
      <c r="F17" s="31">
        <v>136.51684948282312</v>
      </c>
      <c r="G17" s="31">
        <v>152.33023502613938</v>
      </c>
      <c r="H17" s="31">
        <v>136.51684948282312</v>
      </c>
      <c r="I17" s="31">
        <v>152.33023502613938</v>
      </c>
      <c r="K17" s="5" t="s">
        <v>85</v>
      </c>
    </row>
    <row r="18" spans="1:11" ht="15" thickBot="1" x14ac:dyDescent="0.35">
      <c r="A18" s="32" t="s">
        <v>78</v>
      </c>
      <c r="B18" s="36">
        <v>2.2904500049389398</v>
      </c>
      <c r="C18" s="32">
        <v>0.1833716691095455</v>
      </c>
      <c r="D18" s="32">
        <v>12.490751794218745</v>
      </c>
      <c r="E18" s="32">
        <v>2.9432126191899051E-14</v>
      </c>
      <c r="F18" s="32">
        <v>1.9177939372266422</v>
      </c>
      <c r="G18" s="32">
        <v>2.663106072651241</v>
      </c>
      <c r="H18" s="32">
        <v>1.9177939372266422</v>
      </c>
      <c r="I18" s="32">
        <v>2.663106072651241</v>
      </c>
      <c r="K18" s="5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F15" sqref="F15"/>
    </sheetView>
  </sheetViews>
  <sheetFormatPr defaultRowHeight="14.4" x14ac:dyDescent="0.3"/>
  <cols>
    <col min="3" max="3" width="44.6640625" bestFit="1" customWidth="1"/>
    <col min="5" max="5" width="24.88671875" bestFit="1" customWidth="1"/>
    <col min="7" max="7" width="16" customWidth="1"/>
  </cols>
  <sheetData>
    <row r="1" spans="1:11" ht="72" x14ac:dyDescent="0.3">
      <c r="C1" s="4" t="s">
        <v>123</v>
      </c>
      <c r="J1" s="4" t="s">
        <v>48</v>
      </c>
      <c r="K1" s="4" t="s">
        <v>50</v>
      </c>
    </row>
    <row r="2" spans="1:11" x14ac:dyDescent="0.3">
      <c r="K2" s="27" t="s">
        <v>51</v>
      </c>
    </row>
    <row r="3" spans="1:11" ht="15.6" x14ac:dyDescent="0.3">
      <c r="A3" s="22">
        <v>1</v>
      </c>
      <c r="B3" s="22">
        <v>165</v>
      </c>
      <c r="C3" s="50"/>
      <c r="I3">
        <v>1</v>
      </c>
      <c r="J3" s="29">
        <f>F9</f>
        <v>0.98823339924446252</v>
      </c>
    </row>
    <row r="4" spans="1:11" ht="15.6" x14ac:dyDescent="0.3">
      <c r="A4" s="22">
        <v>2</v>
      </c>
      <c r="B4" s="22">
        <v>171</v>
      </c>
      <c r="C4" s="50"/>
      <c r="I4">
        <v>2</v>
      </c>
      <c r="J4" s="29">
        <f t="shared" ref="J4:J12" si="0">F10</f>
        <v>1.0394595142086607</v>
      </c>
    </row>
    <row r="5" spans="1:11" ht="15.6" x14ac:dyDescent="0.3">
      <c r="A5" s="22">
        <v>3</v>
      </c>
      <c r="B5" s="22">
        <v>147</v>
      </c>
      <c r="C5" s="50"/>
      <c r="I5">
        <v>3</v>
      </c>
      <c r="J5" s="29">
        <f t="shared" si="0"/>
        <v>0.93293329171244777</v>
      </c>
    </row>
    <row r="6" spans="1:11" ht="15.6" x14ac:dyDescent="0.3">
      <c r="A6" s="22">
        <v>4</v>
      </c>
      <c r="B6" s="22">
        <v>143</v>
      </c>
      <c r="C6" s="50"/>
      <c r="I6">
        <v>4</v>
      </c>
      <c r="J6" s="29">
        <f t="shared" si="0"/>
        <v>0.91259775591054715</v>
      </c>
    </row>
    <row r="7" spans="1:11" ht="15.6" x14ac:dyDescent="0.3">
      <c r="A7" s="22">
        <v>5</v>
      </c>
      <c r="B7" s="22">
        <v>164</v>
      </c>
      <c r="C7" s="50"/>
      <c r="I7">
        <v>5</v>
      </c>
      <c r="J7" s="29">
        <f t="shared" si="0"/>
        <v>1.0430106047420362</v>
      </c>
    </row>
    <row r="8" spans="1:11" ht="15.6" x14ac:dyDescent="0.3">
      <c r="A8" s="22">
        <v>6</v>
      </c>
      <c r="B8" s="22">
        <v>160</v>
      </c>
      <c r="C8" s="51"/>
      <c r="D8" t="s">
        <v>45</v>
      </c>
      <c r="E8" t="s">
        <v>46</v>
      </c>
      <c r="F8" s="28" t="s">
        <v>47</v>
      </c>
      <c r="I8">
        <v>6</v>
      </c>
      <c r="J8" s="29">
        <f t="shared" si="0"/>
        <v>0.90644245153667458</v>
      </c>
    </row>
    <row r="9" spans="1:11" ht="43.2" x14ac:dyDescent="0.3">
      <c r="A9" s="22">
        <v>7</v>
      </c>
      <c r="B9" s="22">
        <v>152</v>
      </c>
      <c r="C9">
        <f>(AVERAGE(B3:B14)+AVERAGE(B4:B15))/2</f>
        <v>163.16666666666669</v>
      </c>
      <c r="D9">
        <v>1</v>
      </c>
      <c r="E9">
        <f>B9/C9</f>
        <v>0.93156281920326856</v>
      </c>
      <c r="F9" s="5">
        <f>(E15+E27)/2</f>
        <v>0.98823339924446252</v>
      </c>
      <c r="G9" s="4" t="s">
        <v>52</v>
      </c>
      <c r="I9">
        <v>7</v>
      </c>
      <c r="J9" s="29">
        <f t="shared" si="0"/>
        <v>0.92083758937691518</v>
      </c>
    </row>
    <row r="10" spans="1:11" ht="15.6" x14ac:dyDescent="0.3">
      <c r="A10" s="22">
        <v>8</v>
      </c>
      <c r="B10" s="22">
        <v>150</v>
      </c>
      <c r="C10">
        <f t="shared" ref="C10:C32" si="1">(AVERAGE(B4:B15)+AVERAGE(B5:B16))/2</f>
        <v>163.125</v>
      </c>
      <c r="D10">
        <v>2</v>
      </c>
      <c r="E10">
        <f t="shared" ref="E10:E32" si="2">B10/C10</f>
        <v>0.91954022988505746</v>
      </c>
      <c r="F10" s="5">
        <f t="shared" ref="F10:F14" si="3">(E16+E28)/2</f>
        <v>1.0394595142086607</v>
      </c>
      <c r="I10">
        <v>8</v>
      </c>
      <c r="J10" s="29">
        <f t="shared" si="0"/>
        <v>0.92662094367181047</v>
      </c>
    </row>
    <row r="11" spans="1:11" ht="15.6" x14ac:dyDescent="0.3">
      <c r="A11" s="22">
        <v>9</v>
      </c>
      <c r="B11" s="22">
        <v>159</v>
      </c>
      <c r="C11">
        <f t="shared" si="1"/>
        <v>163.54166666666666</v>
      </c>
      <c r="D11">
        <v>3</v>
      </c>
      <c r="E11">
        <f t="shared" si="2"/>
        <v>0.97222929936305735</v>
      </c>
      <c r="F11" s="5">
        <f t="shared" si="3"/>
        <v>0.93293329171244777</v>
      </c>
      <c r="I11">
        <v>9</v>
      </c>
      <c r="J11" s="29">
        <f t="shared" si="0"/>
        <v>0.98849075287229571</v>
      </c>
    </row>
    <row r="12" spans="1:11" ht="15.6" x14ac:dyDescent="0.3">
      <c r="A12" s="22">
        <v>10</v>
      </c>
      <c r="B12" s="22">
        <v>169</v>
      </c>
      <c r="C12">
        <f t="shared" si="1"/>
        <v>164.33333333333331</v>
      </c>
      <c r="D12">
        <v>4</v>
      </c>
      <c r="E12">
        <f t="shared" si="2"/>
        <v>1.028397565922921</v>
      </c>
      <c r="F12" s="5">
        <f t="shared" si="3"/>
        <v>0.91259775591054715</v>
      </c>
      <c r="I12">
        <v>10</v>
      </c>
      <c r="J12" s="29">
        <f t="shared" si="0"/>
        <v>1.0162014531884298</v>
      </c>
    </row>
    <row r="13" spans="1:11" ht="15.6" x14ac:dyDescent="0.3">
      <c r="A13" s="22">
        <v>11</v>
      </c>
      <c r="B13" s="22">
        <v>173</v>
      </c>
      <c r="C13">
        <f t="shared" si="1"/>
        <v>165.5</v>
      </c>
      <c r="D13">
        <v>5</v>
      </c>
      <c r="E13">
        <f t="shared" si="2"/>
        <v>1.0453172205438066</v>
      </c>
      <c r="F13" s="5">
        <f t="shared" si="3"/>
        <v>1.0430106047420362</v>
      </c>
      <c r="I13">
        <v>11</v>
      </c>
      <c r="J13" s="29">
        <f>F19</f>
        <v>1.0480526558060541</v>
      </c>
    </row>
    <row r="14" spans="1:11" ht="15.6" x14ac:dyDescent="0.3">
      <c r="A14" s="22">
        <v>12</v>
      </c>
      <c r="B14" s="22">
        <v>203</v>
      </c>
      <c r="C14">
        <f t="shared" si="1"/>
        <v>166.54166666666669</v>
      </c>
      <c r="D14">
        <v>6</v>
      </c>
      <c r="E14">
        <f t="shared" si="2"/>
        <v>1.2189141856392294</v>
      </c>
      <c r="F14" s="5">
        <f t="shared" si="3"/>
        <v>0.90644245153667458</v>
      </c>
      <c r="I14">
        <v>12</v>
      </c>
      <c r="J14" s="29">
        <f>F20</f>
        <v>1.2040049076184032</v>
      </c>
    </row>
    <row r="15" spans="1:11" ht="15.6" x14ac:dyDescent="0.3">
      <c r="A15" s="22">
        <v>13</v>
      </c>
      <c r="B15" s="22">
        <v>169</v>
      </c>
      <c r="C15">
        <f t="shared" si="1"/>
        <v>167</v>
      </c>
      <c r="D15">
        <v>7</v>
      </c>
      <c r="E15">
        <f t="shared" si="2"/>
        <v>1.0119760479041917</v>
      </c>
      <c r="F15" s="5">
        <f>(E9+E21)/2</f>
        <v>0.92083758937691518</v>
      </c>
      <c r="G15" t="s">
        <v>53</v>
      </c>
      <c r="I15">
        <v>1</v>
      </c>
      <c r="J15" s="30">
        <f>F9</f>
        <v>0.98823339924446252</v>
      </c>
    </row>
    <row r="16" spans="1:11" ht="15.6" x14ac:dyDescent="0.3">
      <c r="A16" s="22">
        <v>14</v>
      </c>
      <c r="B16" s="22">
        <v>166</v>
      </c>
      <c r="C16">
        <f t="shared" si="1"/>
        <v>168.20833333333331</v>
      </c>
      <c r="D16">
        <v>8</v>
      </c>
      <c r="E16">
        <f t="shared" si="2"/>
        <v>0.98687143918751563</v>
      </c>
      <c r="F16" s="5">
        <f t="shared" ref="F16:F20" si="4">(E10+E22)/2</f>
        <v>0.92662094367181047</v>
      </c>
      <c r="I16">
        <v>2</v>
      </c>
      <c r="J16" s="30">
        <f t="shared" ref="J16:J26" si="5">F10</f>
        <v>1.0394595142086607</v>
      </c>
    </row>
    <row r="17" spans="1:10" ht="15.6" x14ac:dyDescent="0.3">
      <c r="A17" s="22">
        <v>15</v>
      </c>
      <c r="B17" s="22">
        <v>162</v>
      </c>
      <c r="C17">
        <f t="shared" si="1"/>
        <v>170.08333333333331</v>
      </c>
      <c r="D17">
        <v>9</v>
      </c>
      <c r="E17">
        <f t="shared" si="2"/>
        <v>0.95247427731504175</v>
      </c>
      <c r="F17" s="5">
        <f t="shared" si="4"/>
        <v>0.98849075287229571</v>
      </c>
      <c r="I17">
        <v>3</v>
      </c>
      <c r="J17" s="30">
        <f t="shared" si="5"/>
        <v>0.93293329171244777</v>
      </c>
    </row>
    <row r="18" spans="1:10" ht="15.6" x14ac:dyDescent="0.3">
      <c r="A18" s="22">
        <v>16</v>
      </c>
      <c r="B18" s="22">
        <v>147</v>
      </c>
      <c r="C18">
        <f t="shared" si="1"/>
        <v>171.95833333333331</v>
      </c>
      <c r="D18">
        <v>10</v>
      </c>
      <c r="E18">
        <f t="shared" si="2"/>
        <v>0.85485825054519027</v>
      </c>
      <c r="F18" s="5">
        <f t="shared" si="4"/>
        <v>1.0162014531884298</v>
      </c>
      <c r="I18">
        <v>4</v>
      </c>
      <c r="J18" s="30">
        <f t="shared" si="5"/>
        <v>0.91259775591054715</v>
      </c>
    </row>
    <row r="19" spans="1:10" ht="15.6" x14ac:dyDescent="0.3">
      <c r="A19" s="22">
        <v>17</v>
      </c>
      <c r="B19" s="22">
        <v>188</v>
      </c>
      <c r="C19">
        <f t="shared" si="1"/>
        <v>173.875</v>
      </c>
      <c r="D19">
        <v>11</v>
      </c>
      <c r="E19">
        <f t="shared" si="2"/>
        <v>1.081236520488857</v>
      </c>
      <c r="F19" s="5">
        <f t="shared" si="4"/>
        <v>1.0480526558060541</v>
      </c>
      <c r="I19">
        <v>5</v>
      </c>
      <c r="J19" s="30">
        <f t="shared" si="5"/>
        <v>1.0430106047420362</v>
      </c>
    </row>
    <row r="20" spans="1:10" ht="15.6" x14ac:dyDescent="0.3">
      <c r="A20" s="22">
        <v>18</v>
      </c>
      <c r="B20" s="22">
        <v>161</v>
      </c>
      <c r="C20">
        <f t="shared" si="1"/>
        <v>176.08333333333331</v>
      </c>
      <c r="D20">
        <v>12</v>
      </c>
      <c r="E20">
        <f t="shared" si="2"/>
        <v>0.91433980123047809</v>
      </c>
      <c r="F20" s="5">
        <f t="shared" si="4"/>
        <v>1.2040049076184032</v>
      </c>
      <c r="I20">
        <v>6</v>
      </c>
      <c r="J20" s="30">
        <f t="shared" si="5"/>
        <v>0.90644245153667458</v>
      </c>
    </row>
    <row r="21" spans="1:10" ht="15.6" x14ac:dyDescent="0.3">
      <c r="A21" s="22">
        <v>19</v>
      </c>
      <c r="B21" s="22">
        <v>162</v>
      </c>
      <c r="C21">
        <f t="shared" si="1"/>
        <v>178</v>
      </c>
      <c r="D21">
        <v>1</v>
      </c>
      <c r="E21">
        <f t="shared" si="2"/>
        <v>0.9101123595505618</v>
      </c>
      <c r="I21">
        <v>7</v>
      </c>
      <c r="J21" s="30">
        <f t="shared" si="5"/>
        <v>0.92083758937691518</v>
      </c>
    </row>
    <row r="22" spans="1:10" ht="15.6" x14ac:dyDescent="0.3">
      <c r="A22" s="22">
        <v>20</v>
      </c>
      <c r="B22" s="22">
        <v>169</v>
      </c>
      <c r="C22">
        <f t="shared" si="1"/>
        <v>181</v>
      </c>
      <c r="D22">
        <v>2</v>
      </c>
      <c r="E22">
        <f t="shared" si="2"/>
        <v>0.93370165745856348</v>
      </c>
      <c r="I22">
        <v>8</v>
      </c>
      <c r="J22" s="30">
        <f t="shared" si="5"/>
        <v>0.92662094367181047</v>
      </c>
    </row>
    <row r="23" spans="1:10" ht="15.6" x14ac:dyDescent="0.3">
      <c r="A23" s="22">
        <v>21</v>
      </c>
      <c r="B23" s="22">
        <v>185</v>
      </c>
      <c r="C23">
        <f t="shared" si="1"/>
        <v>184.125</v>
      </c>
      <c r="D23">
        <v>3</v>
      </c>
      <c r="E23">
        <f t="shared" si="2"/>
        <v>1.0047522063815342</v>
      </c>
      <c r="I23">
        <v>9</v>
      </c>
      <c r="J23" s="30">
        <f t="shared" si="5"/>
        <v>0.98849075287229571</v>
      </c>
    </row>
    <row r="24" spans="1:10" ht="15.6" x14ac:dyDescent="0.3">
      <c r="A24" s="22">
        <v>22</v>
      </c>
      <c r="B24" s="22">
        <v>188</v>
      </c>
      <c r="C24">
        <f t="shared" si="1"/>
        <v>187.25</v>
      </c>
      <c r="D24">
        <v>4</v>
      </c>
      <c r="E24">
        <f t="shared" si="2"/>
        <v>1.0040053404539386</v>
      </c>
      <c r="I24">
        <v>10</v>
      </c>
      <c r="J24" s="30">
        <f t="shared" si="5"/>
        <v>1.0162014531884298</v>
      </c>
    </row>
    <row r="25" spans="1:10" ht="15.6" x14ac:dyDescent="0.3">
      <c r="A25" s="22">
        <v>23</v>
      </c>
      <c r="B25" s="22">
        <v>200</v>
      </c>
      <c r="C25">
        <f t="shared" si="1"/>
        <v>190.33333333333331</v>
      </c>
      <c r="D25">
        <v>5</v>
      </c>
      <c r="E25">
        <f t="shared" si="2"/>
        <v>1.0507880910683014</v>
      </c>
      <c r="I25">
        <v>11</v>
      </c>
      <c r="J25" s="30">
        <f t="shared" si="5"/>
        <v>1.0480526558060541</v>
      </c>
    </row>
    <row r="26" spans="1:10" ht="15.6" x14ac:dyDescent="0.3">
      <c r="A26" s="22">
        <v>24</v>
      </c>
      <c r="B26" s="22">
        <v>229</v>
      </c>
      <c r="C26">
        <f t="shared" si="1"/>
        <v>192.58333333333331</v>
      </c>
      <c r="D26">
        <v>6</v>
      </c>
      <c r="E26">
        <f t="shared" si="2"/>
        <v>1.189095629597577</v>
      </c>
      <c r="I26">
        <v>12</v>
      </c>
      <c r="J26" s="30">
        <f t="shared" si="5"/>
        <v>1.2040049076184032</v>
      </c>
    </row>
    <row r="27" spans="1:10" ht="15.6" x14ac:dyDescent="0.3">
      <c r="A27" s="22">
        <v>25</v>
      </c>
      <c r="B27" s="22">
        <v>189</v>
      </c>
      <c r="C27">
        <f t="shared" si="1"/>
        <v>195.95833333333331</v>
      </c>
      <c r="D27">
        <v>7</v>
      </c>
      <c r="E27">
        <f t="shared" si="2"/>
        <v>0.96449075058473321</v>
      </c>
      <c r="I27">
        <v>1</v>
      </c>
      <c r="J27" s="29">
        <f>F9</f>
        <v>0.98823339924446252</v>
      </c>
    </row>
    <row r="28" spans="1:10" ht="15.6" x14ac:dyDescent="0.3">
      <c r="A28" s="22">
        <v>26</v>
      </c>
      <c r="B28" s="22">
        <v>218</v>
      </c>
      <c r="C28">
        <f t="shared" si="1"/>
        <v>199.625</v>
      </c>
      <c r="D28">
        <v>8</v>
      </c>
      <c r="E28">
        <f t="shared" si="2"/>
        <v>1.0920475892298058</v>
      </c>
      <c r="I28">
        <v>2</v>
      </c>
      <c r="J28" s="29">
        <f t="shared" ref="J28:J38" si="6">F10</f>
        <v>1.0394595142086607</v>
      </c>
    </row>
    <row r="29" spans="1:10" ht="15.6" x14ac:dyDescent="0.3">
      <c r="A29" s="22">
        <v>27</v>
      </c>
      <c r="B29" s="22">
        <v>185</v>
      </c>
      <c r="C29">
        <f t="shared" si="1"/>
        <v>202.54166666666669</v>
      </c>
      <c r="D29">
        <v>9</v>
      </c>
      <c r="E29">
        <f t="shared" si="2"/>
        <v>0.91339230610985389</v>
      </c>
      <c r="I29">
        <v>3</v>
      </c>
      <c r="J29" s="29">
        <f t="shared" si="6"/>
        <v>0.93293329171244777</v>
      </c>
    </row>
    <row r="30" spans="1:10" ht="15.6" x14ac:dyDescent="0.3">
      <c r="A30" s="22">
        <v>28</v>
      </c>
      <c r="B30" s="22">
        <v>199</v>
      </c>
      <c r="C30">
        <f t="shared" si="1"/>
        <v>205.08333333333334</v>
      </c>
      <c r="D30">
        <v>10</v>
      </c>
      <c r="E30">
        <f t="shared" si="2"/>
        <v>0.97033726127590403</v>
      </c>
      <c r="I30">
        <v>4</v>
      </c>
      <c r="J30" s="29">
        <f t="shared" si="6"/>
        <v>0.91259775591054715</v>
      </c>
    </row>
    <row r="31" spans="1:10" ht="15.6" x14ac:dyDescent="0.3">
      <c r="A31" s="22">
        <v>29</v>
      </c>
      <c r="B31" s="22">
        <v>210</v>
      </c>
      <c r="C31">
        <f t="shared" si="1"/>
        <v>209</v>
      </c>
      <c r="D31">
        <v>11</v>
      </c>
      <c r="E31">
        <f t="shared" si="2"/>
        <v>1.0047846889952152</v>
      </c>
      <c r="I31">
        <v>5</v>
      </c>
      <c r="J31" s="29">
        <f t="shared" si="6"/>
        <v>1.0430106047420362</v>
      </c>
    </row>
    <row r="32" spans="1:10" ht="15.6" x14ac:dyDescent="0.3">
      <c r="A32" s="22">
        <v>30</v>
      </c>
      <c r="B32" s="22">
        <v>193</v>
      </c>
      <c r="C32">
        <f t="shared" si="1"/>
        <v>214.79166666666666</v>
      </c>
      <c r="D32">
        <v>12</v>
      </c>
      <c r="E32">
        <f t="shared" si="2"/>
        <v>0.89854510184287106</v>
      </c>
      <c r="I32">
        <v>6</v>
      </c>
      <c r="J32" s="29">
        <f t="shared" si="6"/>
        <v>0.90644245153667458</v>
      </c>
    </row>
    <row r="33" spans="1:10" ht="15.6" x14ac:dyDescent="0.3">
      <c r="A33" s="22">
        <v>31</v>
      </c>
      <c r="B33" s="22">
        <v>211</v>
      </c>
      <c r="C33" s="50"/>
      <c r="I33">
        <v>7</v>
      </c>
      <c r="J33" s="29">
        <f t="shared" si="6"/>
        <v>0.92083758937691518</v>
      </c>
    </row>
    <row r="34" spans="1:10" ht="15.6" x14ac:dyDescent="0.3">
      <c r="A34" s="22">
        <v>32</v>
      </c>
      <c r="B34" s="22">
        <v>208</v>
      </c>
      <c r="C34" s="50"/>
      <c r="I34">
        <v>8</v>
      </c>
      <c r="J34" s="29">
        <f t="shared" si="6"/>
        <v>0.92662094367181047</v>
      </c>
    </row>
    <row r="35" spans="1:10" ht="15.6" x14ac:dyDescent="0.3">
      <c r="A35" s="22">
        <v>33</v>
      </c>
      <c r="B35" s="22">
        <v>216</v>
      </c>
      <c r="C35" s="50"/>
      <c r="I35">
        <v>9</v>
      </c>
      <c r="J35" s="29">
        <f t="shared" si="6"/>
        <v>0.98849075287229571</v>
      </c>
    </row>
    <row r="36" spans="1:10" ht="15.6" x14ac:dyDescent="0.3">
      <c r="A36" s="22">
        <v>34</v>
      </c>
      <c r="B36" s="22">
        <v>218</v>
      </c>
      <c r="C36" s="50"/>
      <c r="I36">
        <v>10</v>
      </c>
      <c r="J36" s="29">
        <f t="shared" si="6"/>
        <v>1.0162014531884298</v>
      </c>
    </row>
    <row r="37" spans="1:10" ht="15.6" x14ac:dyDescent="0.3">
      <c r="A37" s="22">
        <v>35</v>
      </c>
      <c r="B37" s="22">
        <v>264</v>
      </c>
      <c r="C37" s="50"/>
      <c r="I37">
        <v>11</v>
      </c>
      <c r="J37" s="29">
        <f t="shared" si="6"/>
        <v>1.0480526558060541</v>
      </c>
    </row>
    <row r="38" spans="1:10" ht="15.6" x14ac:dyDescent="0.3">
      <c r="A38" s="22">
        <v>36</v>
      </c>
      <c r="B38" s="22">
        <v>304</v>
      </c>
      <c r="C38" s="50"/>
      <c r="I38">
        <v>12</v>
      </c>
      <c r="J38" s="29">
        <f t="shared" si="6"/>
        <v>1.2040049076184032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40" workbookViewId="0">
      <selection activeCell="E19" sqref="E19"/>
    </sheetView>
  </sheetViews>
  <sheetFormatPr defaultRowHeight="14.4" x14ac:dyDescent="0.3"/>
  <cols>
    <col min="2" max="2" width="17.6640625" customWidth="1"/>
    <col min="3" max="3" width="19.88671875" customWidth="1"/>
    <col min="4" max="4" width="13.88671875" customWidth="1"/>
    <col min="5" max="5" width="19.6640625" customWidth="1"/>
    <col min="6" max="6" width="16.109375" customWidth="1"/>
    <col min="7" max="7" width="19.33203125" customWidth="1"/>
    <col min="8" max="8" width="19.88671875" customWidth="1"/>
  </cols>
  <sheetData>
    <row r="1" spans="1:8" ht="62.4" x14ac:dyDescent="0.3">
      <c r="A1" s="19" t="s">
        <v>13</v>
      </c>
      <c r="B1" s="19"/>
      <c r="C1" s="21" t="s">
        <v>1</v>
      </c>
      <c r="D1" s="21" t="s">
        <v>14</v>
      </c>
      <c r="E1" s="21" t="s">
        <v>15</v>
      </c>
      <c r="F1" s="18"/>
      <c r="G1" s="21" t="s">
        <v>2</v>
      </c>
      <c r="H1" s="21" t="s">
        <v>3</v>
      </c>
    </row>
    <row r="2" spans="1:8" ht="46.8" x14ac:dyDescent="0.3">
      <c r="A2" s="19"/>
      <c r="B2" s="19"/>
      <c r="C2" s="21" t="s">
        <v>88</v>
      </c>
      <c r="D2" s="21" t="s">
        <v>103</v>
      </c>
      <c r="E2" s="21" t="s">
        <v>104</v>
      </c>
      <c r="F2" s="18"/>
      <c r="G2" s="21" t="s">
        <v>18</v>
      </c>
      <c r="H2" s="3" t="s">
        <v>118</v>
      </c>
    </row>
    <row r="3" spans="1:8" ht="15.6" x14ac:dyDescent="0.3">
      <c r="A3" s="18">
        <v>36</v>
      </c>
      <c r="B3" s="18"/>
      <c r="C3" s="47">
        <v>0.5</v>
      </c>
      <c r="D3" s="48">
        <v>0.5</v>
      </c>
      <c r="E3" s="49">
        <v>0.5</v>
      </c>
      <c r="F3" s="18"/>
      <c r="G3" s="20">
        <f>SUM(H19:H54)</f>
        <v>5212.8080982401443</v>
      </c>
      <c r="H3" s="20">
        <f>SQRT(G3/(A3-3))</f>
        <v>12.568368301607526</v>
      </c>
    </row>
    <row r="5" spans="1:8" ht="46.8" x14ac:dyDescent="0.3">
      <c r="A5" s="19" t="s">
        <v>4</v>
      </c>
      <c r="B5" s="19" t="s">
        <v>97</v>
      </c>
      <c r="C5" s="19" t="s">
        <v>95</v>
      </c>
      <c r="D5" s="19" t="s">
        <v>96</v>
      </c>
      <c r="E5" s="19" t="s">
        <v>98</v>
      </c>
      <c r="F5" s="19" t="s">
        <v>99</v>
      </c>
      <c r="G5" s="19" t="s">
        <v>100</v>
      </c>
      <c r="H5" s="19" t="s">
        <v>17</v>
      </c>
    </row>
    <row r="6" spans="1:8" ht="62.4" x14ac:dyDescent="0.3">
      <c r="A6" s="23"/>
      <c r="B6" s="4"/>
      <c r="C6" s="39" t="s">
        <v>119</v>
      </c>
      <c r="D6" s="40" t="s">
        <v>120</v>
      </c>
      <c r="E6" s="4" t="s">
        <v>121</v>
      </c>
      <c r="F6" s="39" t="s">
        <v>122</v>
      </c>
      <c r="G6" s="17" t="s">
        <v>101</v>
      </c>
      <c r="H6" t="s">
        <v>102</v>
      </c>
    </row>
    <row r="7" spans="1:8" ht="15.6" x14ac:dyDescent="0.3">
      <c r="A7" s="23">
        <v>-11</v>
      </c>
      <c r="B7" s="23"/>
      <c r="C7" s="23"/>
      <c r="D7" s="23"/>
      <c r="E7" s="38">
        <f>TESseizoensinvloeden!F9</f>
        <v>0.98823339924446252</v>
      </c>
      <c r="F7" s="23"/>
      <c r="G7" s="23"/>
      <c r="H7" s="23"/>
    </row>
    <row r="8" spans="1:8" ht="15.6" x14ac:dyDescent="0.3">
      <c r="A8" s="23">
        <v>-10</v>
      </c>
      <c r="B8" s="23"/>
      <c r="C8" s="23"/>
      <c r="D8" s="23"/>
      <c r="E8" s="38">
        <f>TESseizoensinvloeden!F10</f>
        <v>1.0394595142086607</v>
      </c>
      <c r="F8" s="23"/>
      <c r="G8" s="23"/>
      <c r="H8" s="23"/>
    </row>
    <row r="9" spans="1:8" ht="15.6" x14ac:dyDescent="0.3">
      <c r="A9" s="23">
        <v>-9</v>
      </c>
      <c r="B9" s="23"/>
      <c r="C9" s="23"/>
      <c r="D9" s="23"/>
      <c r="E9" s="38">
        <f>TESseizoensinvloeden!F11</f>
        <v>0.93293329171244777</v>
      </c>
      <c r="F9" s="44" t="s">
        <v>109</v>
      </c>
      <c r="G9" s="23"/>
      <c r="H9" s="23"/>
    </row>
    <row r="10" spans="1:8" ht="15.6" x14ac:dyDescent="0.3">
      <c r="A10" s="23">
        <v>-8</v>
      </c>
      <c r="B10" s="23"/>
      <c r="C10" s="23"/>
      <c r="D10" s="23"/>
      <c r="E10" s="38">
        <f>TESseizoensinvloeden!F12</f>
        <v>0.91259775591054715</v>
      </c>
      <c r="F10" s="44" t="s">
        <v>110</v>
      </c>
      <c r="G10" s="23"/>
      <c r="H10" s="23"/>
    </row>
    <row r="11" spans="1:8" ht="15.6" x14ac:dyDescent="0.3">
      <c r="A11" s="23">
        <v>-7</v>
      </c>
      <c r="B11" s="23"/>
      <c r="C11" s="23"/>
      <c r="D11" s="23"/>
      <c r="E11" s="38">
        <f>TESseizoensinvloeden!F13</f>
        <v>1.0430106047420362</v>
      </c>
      <c r="F11" s="44" t="s">
        <v>111</v>
      </c>
      <c r="G11" s="23"/>
      <c r="H11" s="23"/>
    </row>
    <row r="12" spans="1:8" ht="15.6" x14ac:dyDescent="0.3">
      <c r="A12" s="23">
        <v>-6</v>
      </c>
      <c r="B12" s="23"/>
      <c r="C12" s="23"/>
      <c r="D12" s="23"/>
      <c r="E12" s="38">
        <f>TESseizoensinvloeden!F14</f>
        <v>0.90644245153667458</v>
      </c>
      <c r="F12" s="44" t="s">
        <v>112</v>
      </c>
      <c r="G12" s="23"/>
      <c r="H12" s="23"/>
    </row>
    <row r="13" spans="1:8" ht="15.6" x14ac:dyDescent="0.3">
      <c r="A13" s="23">
        <v>-5</v>
      </c>
      <c r="B13" s="23"/>
      <c r="C13" s="23"/>
      <c r="D13" s="23"/>
      <c r="E13" s="38">
        <f>TESseizoensinvloeden!F15</f>
        <v>0.92083758937691518</v>
      </c>
      <c r="F13" s="44">
        <v>12</v>
      </c>
      <c r="G13" s="23"/>
      <c r="H13" s="23"/>
    </row>
    <row r="14" spans="1:8" ht="15.6" x14ac:dyDescent="0.3">
      <c r="A14" s="23">
        <v>-4</v>
      </c>
      <c r="B14" s="23"/>
      <c r="C14" s="23"/>
      <c r="D14" s="23"/>
      <c r="E14" s="38">
        <f>TESseizoensinvloeden!F16</f>
        <v>0.92662094367181047</v>
      </c>
      <c r="F14" s="44" t="s">
        <v>113</v>
      </c>
      <c r="G14" s="23"/>
      <c r="H14" s="23"/>
    </row>
    <row r="15" spans="1:8" ht="15.6" x14ac:dyDescent="0.3">
      <c r="A15" s="23">
        <v>-3</v>
      </c>
      <c r="B15" s="23"/>
      <c r="C15" s="23" t="s">
        <v>115</v>
      </c>
      <c r="D15" s="23"/>
      <c r="E15" s="38">
        <f>TESseizoensinvloeden!F17</f>
        <v>0.98849075287229571</v>
      </c>
      <c r="F15" s="23"/>
      <c r="G15" s="23"/>
      <c r="H15" s="23"/>
    </row>
    <row r="16" spans="1:8" ht="15.6" x14ac:dyDescent="0.3">
      <c r="A16" s="23">
        <v>-2</v>
      </c>
      <c r="B16" s="23"/>
      <c r="C16" s="23" t="s">
        <v>116</v>
      </c>
      <c r="D16" s="23"/>
      <c r="E16" s="38">
        <f>TESseizoensinvloeden!F18</f>
        <v>1.0162014531884298</v>
      </c>
      <c r="F16" s="23"/>
      <c r="G16" s="23"/>
      <c r="H16" s="23"/>
    </row>
    <row r="17" spans="1:9" ht="15.6" x14ac:dyDescent="0.3">
      <c r="A17">
        <v>-1</v>
      </c>
      <c r="C17" t="s">
        <v>114</v>
      </c>
      <c r="D17" t="s">
        <v>117</v>
      </c>
      <c r="E17" s="38">
        <f>TESseizoensinvloeden!F19</f>
        <v>1.0480526558060541</v>
      </c>
    </row>
    <row r="18" spans="1:9" ht="15.6" x14ac:dyDescent="0.3">
      <c r="A18">
        <v>0</v>
      </c>
      <c r="C18" s="37">
        <f>Lin_regression_TES!B17</f>
        <v>144.42354225448099</v>
      </c>
      <c r="D18" s="37">
        <f>Lin_regression_TES!B18</f>
        <v>2.2904500049389398</v>
      </c>
      <c r="E18" s="38">
        <f>TESseizoensinvloeden!F20</f>
        <v>1.2040049076184032</v>
      </c>
      <c r="F18" t="s">
        <v>29</v>
      </c>
      <c r="G18" t="s">
        <v>30</v>
      </c>
      <c r="H18" t="s">
        <v>37</v>
      </c>
    </row>
    <row r="19" spans="1:9" ht="15.6" x14ac:dyDescent="0.3">
      <c r="A19" s="41">
        <v>1</v>
      </c>
      <c r="B19" s="18">
        <v>165</v>
      </c>
      <c r="C19" s="1">
        <f>C18+D18+$C$3*G19/E7</f>
        <v>156.83929905842501</v>
      </c>
      <c r="D19" s="1">
        <f>D18+D$3*C$3*G19/E7</f>
        <v>7.3531034044414705</v>
      </c>
      <c r="E19" s="1">
        <f>E7+E$3*(1-C$3)*G19/(C18+D18)</f>
        <v>1.0223343265053093</v>
      </c>
      <c r="F19" s="1">
        <f>(C18+D18) * E7</f>
        <v>144.98766728725232</v>
      </c>
      <c r="G19" s="1">
        <f>B19-F19</f>
        <v>20.012332712747678</v>
      </c>
      <c r="H19" s="1">
        <f>G19^2</f>
        <v>400.49346060571088</v>
      </c>
      <c r="I19" t="s">
        <v>105</v>
      </c>
    </row>
    <row r="20" spans="1:9" ht="15.6" x14ac:dyDescent="0.3">
      <c r="A20" s="41">
        <v>2</v>
      </c>
      <c r="B20" s="18">
        <v>171</v>
      </c>
      <c r="C20" s="1">
        <f t="shared" ref="C20:C54" si="0">C19+D19+$C$3*G20/E8</f>
        <v>164.35048707063791</v>
      </c>
      <c r="D20" s="1">
        <f t="shared" ref="D20:D54" si="1">D19+D$3*C$3*G20/E8</f>
        <v>7.4321457083271847</v>
      </c>
      <c r="E20" s="1">
        <f t="shared" ref="E20:E54" si="2">E8+E$3*(1-C$3)*G20/(C19+D19)</f>
        <v>1.0399599105337438</v>
      </c>
      <c r="F20" s="1">
        <f t="shared" ref="F20:F54" si="3">(C19+D19) * E8</f>
        <v>170.67135490080409</v>
      </c>
      <c r="G20" s="1">
        <f t="shared" ref="G20:G54" si="4">B20-F20</f>
        <v>0.32864509919591001</v>
      </c>
      <c r="H20" s="1">
        <f t="shared" ref="H20:H54" si="5">G20^2</f>
        <v>0.10800760122548952</v>
      </c>
    </row>
    <row r="21" spans="1:9" ht="15.6" x14ac:dyDescent="0.3">
      <c r="A21" s="41">
        <v>3</v>
      </c>
      <c r="B21" s="18">
        <v>147</v>
      </c>
      <c r="C21" s="1">
        <f t="shared" si="0"/>
        <v>164.6750843747443</v>
      </c>
      <c r="D21" s="1">
        <f t="shared" si="1"/>
        <v>3.8783715062167814</v>
      </c>
      <c r="E21" s="1">
        <f t="shared" si="2"/>
        <v>0.913633120264711</v>
      </c>
      <c r="F21" s="1">
        <f t="shared" si="3"/>
        <v>160.26173705751054</v>
      </c>
      <c r="G21" s="1">
        <f t="shared" si="4"/>
        <v>-13.261737057510544</v>
      </c>
      <c r="H21" s="1">
        <f t="shared" si="5"/>
        <v>175.87366978254843</v>
      </c>
    </row>
    <row r="22" spans="1:9" ht="15.6" x14ac:dyDescent="0.3">
      <c r="A22" s="41">
        <v>4</v>
      </c>
      <c r="B22" s="18">
        <v>143</v>
      </c>
      <c r="C22" s="1">
        <f t="shared" si="0"/>
        <v>162.62449894574743</v>
      </c>
      <c r="D22" s="1">
        <f t="shared" si="1"/>
        <v>0.91389303860995597</v>
      </c>
      <c r="E22" s="1">
        <f t="shared" si="2"/>
        <v>0.8965472016051298</v>
      </c>
      <c r="F22" s="1">
        <f t="shared" si="3"/>
        <v>153.82150558793251</v>
      </c>
      <c r="G22" s="1">
        <f t="shared" si="4"/>
        <v>-10.821505587932506</v>
      </c>
      <c r="H22" s="1">
        <f t="shared" si="5"/>
        <v>117.10498318965446</v>
      </c>
    </row>
    <row r="23" spans="1:9" ht="15.6" x14ac:dyDescent="0.3">
      <c r="A23" s="41">
        <v>5</v>
      </c>
      <c r="B23" s="18">
        <v>164</v>
      </c>
      <c r="C23" s="1">
        <f t="shared" si="0"/>
        <v>160.38776384488114</v>
      </c>
      <c r="D23" s="1">
        <f t="shared" si="1"/>
        <v>-0.66142103112816497</v>
      </c>
      <c r="E23" s="1">
        <f t="shared" si="2"/>
        <v>1.032963610512734</v>
      </c>
      <c r="F23" s="1">
        <f t="shared" si="3"/>
        <v>170.57227712214478</v>
      </c>
      <c r="G23" s="1">
        <f t="shared" si="4"/>
        <v>-6.5722771221447829</v>
      </c>
      <c r="H23" s="1">
        <f t="shared" si="5"/>
        <v>43.194826570267708</v>
      </c>
    </row>
    <row r="24" spans="1:9" ht="15.6" x14ac:dyDescent="0.3">
      <c r="A24" s="41">
        <v>6</v>
      </c>
      <c r="B24" s="18">
        <v>160</v>
      </c>
      <c r="C24" s="1">
        <f t="shared" si="0"/>
        <v>168.12029116597154</v>
      </c>
      <c r="D24" s="1">
        <f t="shared" si="1"/>
        <v>3.5355531449811179</v>
      </c>
      <c r="E24" s="1">
        <f t="shared" si="2"/>
        <v>0.93026016058961769</v>
      </c>
      <c r="F24" s="1">
        <f t="shared" si="3"/>
        <v>144.78273775508555</v>
      </c>
      <c r="G24" s="1">
        <f t="shared" si="4"/>
        <v>15.217262244914451</v>
      </c>
      <c r="H24" s="1">
        <f t="shared" si="5"/>
        <v>231.5650702304988</v>
      </c>
    </row>
    <row r="25" spans="1:9" ht="15.6" x14ac:dyDescent="0.3">
      <c r="A25" s="41">
        <v>7</v>
      </c>
      <c r="B25" s="18">
        <v>152</v>
      </c>
      <c r="C25" s="1">
        <f t="shared" si="0"/>
        <v>168.36147734127778</v>
      </c>
      <c r="D25" s="1">
        <f t="shared" si="1"/>
        <v>1.8883696601436752</v>
      </c>
      <c r="E25" s="1">
        <f t="shared" si="2"/>
        <v>0.9120013713295323</v>
      </c>
      <c r="F25" s="1">
        <f t="shared" si="3"/>
        <v>158.06715387775671</v>
      </c>
      <c r="G25" s="1">
        <f t="shared" si="4"/>
        <v>-6.0671538777567093</v>
      </c>
      <c r="H25" s="1">
        <f t="shared" si="5"/>
        <v>36.810356176378278</v>
      </c>
    </row>
    <row r="26" spans="1:9" ht="15.6" x14ac:dyDescent="0.3">
      <c r="A26" s="41">
        <v>8</v>
      </c>
      <c r="B26" s="18">
        <v>150</v>
      </c>
      <c r="C26" s="1">
        <f t="shared" si="0"/>
        <v>166.06416895182952</v>
      </c>
      <c r="D26" s="1">
        <f t="shared" si="1"/>
        <v>-0.20446936465228527</v>
      </c>
      <c r="E26" s="1">
        <f t="shared" si="2"/>
        <v>0.91523022287960065</v>
      </c>
      <c r="F26" s="1">
        <f t="shared" si="3"/>
        <v>157.7570738884385</v>
      </c>
      <c r="G26" s="1">
        <f t="shared" si="4"/>
        <v>-7.757073888438498</v>
      </c>
      <c r="H26" s="1">
        <f t="shared" si="5"/>
        <v>60.172195310694356</v>
      </c>
    </row>
    <row r="27" spans="1:9" ht="15.6" x14ac:dyDescent="0.3">
      <c r="A27" s="41">
        <v>9</v>
      </c>
      <c r="B27" s="18">
        <v>159</v>
      </c>
      <c r="C27" s="1">
        <f t="shared" si="0"/>
        <v>163.35548834305789</v>
      </c>
      <c r="D27" s="1">
        <f t="shared" si="1"/>
        <v>-1.4565749867119586</v>
      </c>
      <c r="E27" s="1">
        <f t="shared" si="2"/>
        <v>0.98102845291572993</v>
      </c>
      <c r="F27" s="1">
        <f t="shared" si="3"/>
        <v>163.9507793161016</v>
      </c>
      <c r="G27" s="1">
        <f t="shared" si="4"/>
        <v>-4.9507793161016025</v>
      </c>
      <c r="H27" s="1">
        <f t="shared" si="5"/>
        <v>24.510215836739452</v>
      </c>
    </row>
    <row r="28" spans="1:9" ht="15.6" x14ac:dyDescent="0.3">
      <c r="A28" s="41">
        <v>10</v>
      </c>
      <c r="B28" s="18">
        <v>169</v>
      </c>
      <c r="C28" s="1">
        <f t="shared" si="0"/>
        <v>164.10226042084932</v>
      </c>
      <c r="D28" s="1">
        <f t="shared" si="1"/>
        <v>-0.35490145446027044</v>
      </c>
      <c r="E28" s="1">
        <f t="shared" si="2"/>
        <v>1.0231163991951968</v>
      </c>
      <c r="F28" s="1">
        <f t="shared" si="3"/>
        <v>164.52191102234642</v>
      </c>
      <c r="G28" s="1">
        <f t="shared" si="4"/>
        <v>4.4780889776535844</v>
      </c>
      <c r="H28" s="1">
        <f t="shared" si="5"/>
        <v>20.053280891782524</v>
      </c>
    </row>
    <row r="29" spans="1:9" ht="15.6" x14ac:dyDescent="0.3">
      <c r="A29" s="41">
        <v>11</v>
      </c>
      <c r="B29" s="18">
        <v>173</v>
      </c>
      <c r="C29" s="1">
        <f t="shared" si="0"/>
        <v>164.40770057536295</v>
      </c>
      <c r="D29" s="1">
        <f t="shared" si="1"/>
        <v>-2.473064997332175E-2</v>
      </c>
      <c r="E29" s="1">
        <f t="shared" si="2"/>
        <v>1.0501658892083907</v>
      </c>
      <c r="F29" s="1">
        <f t="shared" si="3"/>
        <v>171.61585444595133</v>
      </c>
      <c r="G29" s="1">
        <f t="shared" si="4"/>
        <v>1.384145554048672</v>
      </c>
      <c r="H29" s="1">
        <f t="shared" si="5"/>
        <v>1.9158589147927052</v>
      </c>
    </row>
    <row r="30" spans="1:9" ht="15.6" x14ac:dyDescent="0.3">
      <c r="A30" s="41">
        <v>12</v>
      </c>
      <c r="B30" s="18">
        <v>203</v>
      </c>
      <c r="C30" s="1">
        <f t="shared" si="0"/>
        <v>166.49346692120139</v>
      </c>
      <c r="D30" s="1">
        <f t="shared" si="1"/>
        <v>1.0305178479325576</v>
      </c>
      <c r="E30" s="1">
        <f t="shared" si="2"/>
        <v>1.211733958692321</v>
      </c>
      <c r="F30" s="1">
        <f t="shared" si="3"/>
        <v>197.91790251905749</v>
      </c>
      <c r="G30" s="1">
        <f t="shared" si="4"/>
        <v>5.0820974809425081</v>
      </c>
      <c r="H30" s="1">
        <f t="shared" si="5"/>
        <v>25.827714805802188</v>
      </c>
    </row>
    <row r="31" spans="1:9" ht="15.6" x14ac:dyDescent="0.3">
      <c r="A31" s="43">
        <v>13</v>
      </c>
      <c r="B31" s="18">
        <v>169</v>
      </c>
      <c r="C31" s="1">
        <f t="shared" si="0"/>
        <v>166.41597142961197</v>
      </c>
      <c r="D31" s="1">
        <f t="shared" si="1"/>
        <v>0.47651117817155686</v>
      </c>
      <c r="E31" s="1">
        <f t="shared" si="2"/>
        <v>1.0189534372768798</v>
      </c>
      <c r="F31" s="1">
        <f t="shared" si="3"/>
        <v>171.26552014243825</v>
      </c>
      <c r="G31" s="1">
        <f t="shared" si="4"/>
        <v>-2.2655201424382483</v>
      </c>
      <c r="H31" s="1">
        <f t="shared" si="5"/>
        <v>5.1325815157934205</v>
      </c>
    </row>
    <row r="32" spans="1:9" ht="15.6" x14ac:dyDescent="0.3">
      <c r="A32" s="43">
        <v>14</v>
      </c>
      <c r="B32" s="18">
        <v>166</v>
      </c>
      <c r="C32" s="1">
        <f t="shared" si="0"/>
        <v>163.25701012227967</v>
      </c>
      <c r="D32" s="1">
        <f t="shared" si="1"/>
        <v>-1.3412250645803723</v>
      </c>
      <c r="E32" s="1">
        <f t="shared" si="2"/>
        <v>1.0286330203656058</v>
      </c>
      <c r="F32" s="1">
        <f t="shared" si="3"/>
        <v>173.56149128154496</v>
      </c>
      <c r="G32" s="1">
        <f t="shared" si="4"/>
        <v>-7.56149128154496</v>
      </c>
      <c r="H32" s="1">
        <f t="shared" si="5"/>
        <v>57.176150400880438</v>
      </c>
    </row>
    <row r="33" spans="1:8" ht="15.6" x14ac:dyDescent="0.3">
      <c r="A33" s="43">
        <v>15</v>
      </c>
      <c r="B33" s="18">
        <v>162</v>
      </c>
      <c r="C33" s="1">
        <f t="shared" si="0"/>
        <v>169.61492367558773</v>
      </c>
      <c r="D33" s="1">
        <f t="shared" si="1"/>
        <v>2.5083442443638542</v>
      </c>
      <c r="E33" s="1">
        <f t="shared" si="2"/>
        <v>0.93535486912417309</v>
      </c>
      <c r="F33" s="1">
        <f t="shared" si="3"/>
        <v>147.93162392237608</v>
      </c>
      <c r="G33" s="1">
        <f t="shared" si="4"/>
        <v>14.068376077623924</v>
      </c>
      <c r="H33" s="1">
        <f t="shared" si="5"/>
        <v>197.9192054614611</v>
      </c>
    </row>
    <row r="34" spans="1:8" ht="15.6" x14ac:dyDescent="0.3">
      <c r="A34" s="43">
        <v>16</v>
      </c>
      <c r="B34" s="18">
        <v>147</v>
      </c>
      <c r="C34" s="1">
        <f t="shared" si="0"/>
        <v>168.04281673363184</v>
      </c>
      <c r="D34" s="1">
        <f t="shared" si="1"/>
        <v>0.46811865120398366</v>
      </c>
      <c r="E34" s="1">
        <f t="shared" si="2"/>
        <v>0.88592017500788134</v>
      </c>
      <c r="F34" s="1">
        <f t="shared" si="3"/>
        <v>154.31663418476259</v>
      </c>
      <c r="G34" s="1">
        <f t="shared" si="4"/>
        <v>-7.3166341847625915</v>
      </c>
      <c r="H34" s="1">
        <f t="shared" si="5"/>
        <v>53.533135793636554</v>
      </c>
    </row>
    <row r="35" spans="1:8" ht="15.6" x14ac:dyDescent="0.3">
      <c r="A35" s="43">
        <v>17</v>
      </c>
      <c r="B35" s="18">
        <v>188</v>
      </c>
      <c r="C35" s="1">
        <f t="shared" si="0"/>
        <v>175.25576919707697</v>
      </c>
      <c r="D35" s="1">
        <f t="shared" si="1"/>
        <v>3.8405355573245572</v>
      </c>
      <c r="E35" s="1">
        <f t="shared" si="2"/>
        <v>1.053636357569445</v>
      </c>
      <c r="F35" s="1">
        <f t="shared" si="3"/>
        <v>174.06566422599803</v>
      </c>
      <c r="G35" s="1">
        <f t="shared" si="4"/>
        <v>13.934335774001966</v>
      </c>
      <c r="H35" s="1">
        <f t="shared" si="5"/>
        <v>194.16571346263095</v>
      </c>
    </row>
    <row r="36" spans="1:8" ht="15.6" x14ac:dyDescent="0.3">
      <c r="A36" s="43">
        <v>18</v>
      </c>
      <c r="B36" s="18">
        <v>161</v>
      </c>
      <c r="C36" s="1">
        <f t="shared" si="0"/>
        <v>176.08308465784091</v>
      </c>
      <c r="D36" s="1">
        <f t="shared" si="1"/>
        <v>2.3339255090442537</v>
      </c>
      <c r="E36" s="1">
        <f t="shared" si="2"/>
        <v>0.92243454237051969</v>
      </c>
      <c r="F36" s="1">
        <f t="shared" si="3"/>
        <v>166.60615722183667</v>
      </c>
      <c r="G36" s="1">
        <f t="shared" si="4"/>
        <v>-5.6061572218366678</v>
      </c>
      <c r="H36" s="1">
        <f t="shared" si="5"/>
        <v>31.428998795951426</v>
      </c>
    </row>
    <row r="37" spans="1:8" ht="15.6" x14ac:dyDescent="0.3">
      <c r="A37" s="43">
        <v>19</v>
      </c>
      <c r="B37" s="18">
        <v>162</v>
      </c>
      <c r="C37" s="1">
        <f t="shared" si="0"/>
        <v>178.02416100939445</v>
      </c>
      <c r="D37" s="1">
        <f t="shared" si="1"/>
        <v>2.1375009302988923</v>
      </c>
      <c r="E37" s="1">
        <f t="shared" si="2"/>
        <v>0.91099732196780925</v>
      </c>
      <c r="F37" s="1">
        <f t="shared" si="3"/>
        <v>162.71655794071438</v>
      </c>
      <c r="G37" s="1">
        <f t="shared" si="4"/>
        <v>-0.71655794071438095</v>
      </c>
      <c r="H37" s="1">
        <f t="shared" si="5"/>
        <v>0.51345528240083427</v>
      </c>
    </row>
    <row r="38" spans="1:8" ht="15.6" x14ac:dyDescent="0.3">
      <c r="A38" s="43">
        <v>20</v>
      </c>
      <c r="B38" s="18">
        <v>169</v>
      </c>
      <c r="C38" s="1">
        <f t="shared" si="0"/>
        <v>182.40732750329434</v>
      </c>
      <c r="D38" s="1">
        <f t="shared" si="1"/>
        <v>3.2603337120993947</v>
      </c>
      <c r="E38" s="1">
        <f t="shared" si="2"/>
        <v>0.92093426937917056</v>
      </c>
      <c r="F38" s="1">
        <f t="shared" si="3"/>
        <v>164.88939801142482</v>
      </c>
      <c r="G38" s="1">
        <f t="shared" si="4"/>
        <v>4.1106019885751834</v>
      </c>
      <c r="H38" s="1">
        <f t="shared" si="5"/>
        <v>16.897048708478252</v>
      </c>
    </row>
    <row r="39" spans="1:8" ht="15.6" x14ac:dyDescent="0.3">
      <c r="A39" s="43">
        <v>21</v>
      </c>
      <c r="B39" s="18">
        <v>185</v>
      </c>
      <c r="C39" s="1">
        <f t="shared" si="0"/>
        <v>187.12263510167389</v>
      </c>
      <c r="D39" s="1">
        <f t="shared" si="1"/>
        <v>3.9878206552394739</v>
      </c>
      <c r="E39" s="1">
        <f t="shared" si="2"/>
        <v>0.98487233927522444</v>
      </c>
      <c r="F39" s="1">
        <f t="shared" si="3"/>
        <v>182.14525843861958</v>
      </c>
      <c r="G39" s="1">
        <f t="shared" si="4"/>
        <v>2.8547415613804219</v>
      </c>
      <c r="H39" s="1">
        <f t="shared" si="5"/>
        <v>8.1495493822727294</v>
      </c>
    </row>
    <row r="40" spans="1:8" ht="15.6" x14ac:dyDescent="0.3">
      <c r="A40" s="43">
        <v>22</v>
      </c>
      <c r="B40" s="18">
        <v>188</v>
      </c>
      <c r="C40" s="1">
        <f t="shared" si="0"/>
        <v>187.43138202273803</v>
      </c>
      <c r="D40" s="1">
        <f t="shared" si="1"/>
        <v>2.1482837881518133</v>
      </c>
      <c r="E40" s="1">
        <f t="shared" si="2"/>
        <v>1.0132683752962037</v>
      </c>
      <c r="F40" s="1">
        <f t="shared" si="3"/>
        <v>195.52824134256616</v>
      </c>
      <c r="G40" s="1">
        <f t="shared" si="4"/>
        <v>-7.5282413425661616</v>
      </c>
      <c r="H40" s="1">
        <f t="shared" si="5"/>
        <v>56.674417711922366</v>
      </c>
    </row>
    <row r="41" spans="1:8" ht="15.6" x14ac:dyDescent="0.3">
      <c r="A41" s="43">
        <v>23</v>
      </c>
      <c r="B41" s="46">
        <v>200</v>
      </c>
      <c r="C41" s="1">
        <f t="shared" si="0"/>
        <v>190.01288388016232</v>
      </c>
      <c r="D41" s="1">
        <f t="shared" si="1"/>
        <v>2.3648928227880446</v>
      </c>
      <c r="E41" s="1">
        <f t="shared" si="2"/>
        <v>1.0513657827649932</v>
      </c>
      <c r="F41" s="1">
        <f t="shared" si="3"/>
        <v>199.09009832212269</v>
      </c>
      <c r="G41" s="1">
        <f t="shared" si="4"/>
        <v>0.9099016778773148</v>
      </c>
      <c r="H41" s="1">
        <f t="shared" si="5"/>
        <v>0.82792106340395277</v>
      </c>
    </row>
    <row r="42" spans="1:8" ht="15.6" x14ac:dyDescent="0.3">
      <c r="A42" s="43">
        <v>24</v>
      </c>
      <c r="B42" s="46">
        <v>229</v>
      </c>
      <c r="C42" s="1">
        <f t="shared" si="0"/>
        <v>190.68157726114816</v>
      </c>
      <c r="D42" s="1">
        <f t="shared" si="1"/>
        <v>1.5167931018869352</v>
      </c>
      <c r="E42" s="1">
        <f t="shared" si="2"/>
        <v>1.2063920150968288</v>
      </c>
      <c r="F42" s="1">
        <f t="shared" si="3"/>
        <v>233.11068492869342</v>
      </c>
      <c r="G42" s="1">
        <f t="shared" si="4"/>
        <v>-4.1106849286934164</v>
      </c>
      <c r="H42" s="1">
        <f t="shared" si="5"/>
        <v>16.897730582987197</v>
      </c>
    </row>
    <row r="43" spans="1:8" ht="15.6" x14ac:dyDescent="0.3">
      <c r="A43" s="42">
        <v>25</v>
      </c>
      <c r="B43" s="46">
        <v>189</v>
      </c>
      <c r="C43" s="1">
        <f t="shared" si="0"/>
        <v>188.84140140343658</v>
      </c>
      <c r="D43" s="1">
        <f t="shared" si="1"/>
        <v>-0.16169137791232746</v>
      </c>
      <c r="E43" s="1">
        <f t="shared" si="2"/>
        <v>1.0100548314932989</v>
      </c>
      <c r="F43" s="1">
        <f t="shared" si="3"/>
        <v>195.84119012042942</v>
      </c>
      <c r="G43" s="1">
        <f t="shared" si="4"/>
        <v>-6.8411901204294168</v>
      </c>
      <c r="H43" s="1">
        <f t="shared" si="5"/>
        <v>46.80188226386106</v>
      </c>
    </row>
    <row r="44" spans="1:8" ht="15.6" x14ac:dyDescent="0.3">
      <c r="A44" s="42">
        <v>26</v>
      </c>
      <c r="B44" s="46">
        <v>218</v>
      </c>
      <c r="C44" s="1">
        <f t="shared" si="0"/>
        <v>200.30573190174073</v>
      </c>
      <c r="D44" s="1">
        <f t="shared" si="1"/>
        <v>5.651319560195911</v>
      </c>
      <c r="E44" s="1">
        <f t="shared" si="2"/>
        <v>1.0603240537993317</v>
      </c>
      <c r="F44" s="1">
        <f t="shared" si="3"/>
        <v>194.08218000526168</v>
      </c>
      <c r="G44" s="1">
        <f t="shared" si="4"/>
        <v>23.917819994738323</v>
      </c>
      <c r="H44" s="1">
        <f t="shared" si="5"/>
        <v>572.06211330070437</v>
      </c>
    </row>
    <row r="45" spans="1:8" ht="15.6" x14ac:dyDescent="0.3">
      <c r="A45" s="42">
        <v>27</v>
      </c>
      <c r="B45" s="46">
        <v>185</v>
      </c>
      <c r="C45" s="1">
        <f t="shared" si="0"/>
        <v>201.87147326714046</v>
      </c>
      <c r="D45" s="1">
        <f t="shared" si="1"/>
        <v>3.6085304627978232</v>
      </c>
      <c r="E45" s="1">
        <f t="shared" si="2"/>
        <v>0.92607753331419618</v>
      </c>
      <c r="F45" s="1">
        <f t="shared" si="3"/>
        <v>192.6429309153803</v>
      </c>
      <c r="G45" s="1">
        <f t="shared" si="4"/>
        <v>-7.6429309153803047</v>
      </c>
      <c r="H45" s="1">
        <f t="shared" si="5"/>
        <v>58.414392977276023</v>
      </c>
    </row>
    <row r="46" spans="1:8" ht="15.6" x14ac:dyDescent="0.3">
      <c r="A46" s="42">
        <v>28</v>
      </c>
      <c r="B46" s="46">
        <v>199</v>
      </c>
      <c r="C46" s="1">
        <f t="shared" si="0"/>
        <v>215.05260384303654</v>
      </c>
      <c r="D46" s="1">
        <f t="shared" si="1"/>
        <v>8.3948305193469537</v>
      </c>
      <c r="E46" s="1">
        <f t="shared" si="2"/>
        <v>0.90655614788488803</v>
      </c>
      <c r="F46" s="1">
        <f t="shared" si="3"/>
        <v>182.03888086504705</v>
      </c>
      <c r="G46" s="1">
        <f t="shared" si="4"/>
        <v>16.961119134952952</v>
      </c>
      <c r="H46" s="1">
        <f t="shared" si="5"/>
        <v>287.67956231006718</v>
      </c>
    </row>
    <row r="47" spans="1:8" ht="15.6" x14ac:dyDescent="0.3">
      <c r="A47" s="42">
        <v>29</v>
      </c>
      <c r="B47" s="46">
        <v>210</v>
      </c>
      <c r="C47" s="1">
        <f t="shared" si="0"/>
        <v>211.37859264716053</v>
      </c>
      <c r="D47" s="1">
        <f t="shared" si="1"/>
        <v>2.3604096617354742</v>
      </c>
      <c r="E47" s="1">
        <f t="shared" si="2"/>
        <v>1.0251818567129105</v>
      </c>
      <c r="F47" s="1">
        <f t="shared" si="3"/>
        <v>235.43234084981938</v>
      </c>
      <c r="G47" s="1">
        <f t="shared" si="4"/>
        <v>-25.432340849819383</v>
      </c>
      <c r="H47" s="1">
        <f t="shared" si="5"/>
        <v>646.80396110139168</v>
      </c>
    </row>
    <row r="48" spans="1:8" ht="15.6" x14ac:dyDescent="0.3">
      <c r="A48" s="42">
        <v>30</v>
      </c>
      <c r="B48" s="46">
        <v>193</v>
      </c>
      <c r="C48" s="1">
        <f t="shared" si="0"/>
        <v>211.48397033077495</v>
      </c>
      <c r="D48" s="1">
        <f t="shared" si="1"/>
        <v>1.2328936726749533</v>
      </c>
      <c r="E48" s="1">
        <f t="shared" si="2"/>
        <v>0.91756851565499598</v>
      </c>
      <c r="F48" s="1">
        <f t="shared" si="3"/>
        <v>197.16023878153794</v>
      </c>
      <c r="G48" s="1">
        <f t="shared" si="4"/>
        <v>-4.1602387815379416</v>
      </c>
      <c r="H48" s="1">
        <f t="shared" si="5"/>
        <v>17.307586719412296</v>
      </c>
    </row>
    <row r="49" spans="1:8" ht="15.6" x14ac:dyDescent="0.3">
      <c r="A49" s="42">
        <v>31</v>
      </c>
      <c r="B49" s="46">
        <v>211</v>
      </c>
      <c r="C49" s="1">
        <f t="shared" si="0"/>
        <v>222.16557814361877</v>
      </c>
      <c r="D49" s="1">
        <f t="shared" si="1"/>
        <v>5.9572507427593955</v>
      </c>
      <c r="E49" s="1">
        <f t="shared" si="2"/>
        <v>0.93123021069071188</v>
      </c>
      <c r="F49" s="1">
        <f t="shared" si="3"/>
        <v>193.78449344453355</v>
      </c>
      <c r="G49" s="1">
        <f t="shared" si="4"/>
        <v>17.215506555466447</v>
      </c>
      <c r="H49" s="1">
        <f t="shared" si="5"/>
        <v>296.37366596130823</v>
      </c>
    </row>
    <row r="50" spans="1:8" ht="15.6" x14ac:dyDescent="0.3">
      <c r="A50" s="42">
        <v>32</v>
      </c>
      <c r="B50" s="46">
        <v>208</v>
      </c>
      <c r="C50" s="1">
        <f t="shared" si="0"/>
        <v>226.99021235849472</v>
      </c>
      <c r="D50" s="1">
        <f t="shared" si="1"/>
        <v>5.3909424788176734</v>
      </c>
      <c r="E50" s="1">
        <f t="shared" si="2"/>
        <v>0.91864807693695638</v>
      </c>
      <c r="F50" s="1">
        <f t="shared" si="3"/>
        <v>210.08613074918622</v>
      </c>
      <c r="G50" s="1">
        <f t="shared" si="4"/>
        <v>-2.0861307491862249</v>
      </c>
      <c r="H50" s="1">
        <f t="shared" si="5"/>
        <v>4.3519415027002797</v>
      </c>
    </row>
    <row r="51" spans="1:8" ht="15.6" x14ac:dyDescent="0.3">
      <c r="A51" s="42">
        <v>33</v>
      </c>
      <c r="B51" s="46">
        <v>216</v>
      </c>
      <c r="C51" s="1">
        <f t="shared" si="0"/>
        <v>225.84945978657615</v>
      </c>
      <c r="D51" s="1">
        <f t="shared" si="1"/>
        <v>2.1250949534495591</v>
      </c>
      <c r="E51" s="1">
        <f t="shared" si="2"/>
        <v>0.97103110118396319</v>
      </c>
      <c r="F51" s="1">
        <f t="shared" si="3"/>
        <v>228.86577156810199</v>
      </c>
      <c r="G51" s="1">
        <f t="shared" si="4"/>
        <v>-12.865771568101991</v>
      </c>
      <c r="H51" s="1">
        <f t="shared" si="5"/>
        <v>165.52807804258157</v>
      </c>
    </row>
    <row r="52" spans="1:8" ht="15.6" x14ac:dyDescent="0.3">
      <c r="A52" s="42">
        <v>34</v>
      </c>
      <c r="B52" s="46">
        <v>218</v>
      </c>
      <c r="C52" s="1">
        <f t="shared" si="0"/>
        <v>221.55996261062006</v>
      </c>
      <c r="D52" s="1">
        <f t="shared" si="1"/>
        <v>-1.0822011112532515</v>
      </c>
      <c r="E52" s="1">
        <f t="shared" si="2"/>
        <v>0.99901304896699417</v>
      </c>
      <c r="F52" s="1">
        <f t="shared" si="3"/>
        <v>230.9994066903013</v>
      </c>
      <c r="G52" s="1">
        <f t="shared" si="4"/>
        <v>-12.999406690301299</v>
      </c>
      <c r="H52" s="1">
        <f t="shared" si="5"/>
        <v>168.98457429985018</v>
      </c>
    </row>
    <row r="53" spans="1:8" ht="15.6" x14ac:dyDescent="0.3">
      <c r="A53" s="42">
        <v>35</v>
      </c>
      <c r="B53" s="46">
        <v>264</v>
      </c>
      <c r="C53" s="1">
        <f t="shared" si="0"/>
        <v>235.78985659830994</v>
      </c>
      <c r="D53" s="1">
        <f t="shared" si="1"/>
        <v>6.5738464382183208</v>
      </c>
      <c r="E53" s="1">
        <f t="shared" si="2"/>
        <v>1.0878742558644867</v>
      </c>
      <c r="F53" s="1">
        <f t="shared" si="3"/>
        <v>231.80277430105525</v>
      </c>
      <c r="G53" s="1">
        <f t="shared" si="4"/>
        <v>32.197225698944749</v>
      </c>
      <c r="H53" s="1">
        <f t="shared" si="5"/>
        <v>1036.6613427087882</v>
      </c>
    </row>
    <row r="54" spans="1:8" ht="15.6" x14ac:dyDescent="0.3">
      <c r="A54" s="42">
        <v>36</v>
      </c>
      <c r="B54" s="46">
        <v>304</v>
      </c>
      <c r="C54" s="1">
        <f t="shared" si="0"/>
        <v>247.177380415892</v>
      </c>
      <c r="D54" s="1">
        <f t="shared" si="1"/>
        <v>8.9806851279001929</v>
      </c>
      <c r="E54" s="1">
        <f t="shared" si="2"/>
        <v>1.2183723196576182</v>
      </c>
      <c r="F54" s="1">
        <f t="shared" si="3"/>
        <v>292.3856360925667</v>
      </c>
      <c r="G54" s="1">
        <f t="shared" si="4"/>
        <v>11.614363907433301</v>
      </c>
      <c r="H54" s="1">
        <f t="shared" si="5"/>
        <v>134.89344897428933</v>
      </c>
    </row>
    <row r="55" spans="1:8" ht="15.6" x14ac:dyDescent="0.3">
      <c r="A55" s="45">
        <v>37</v>
      </c>
      <c r="C55" s="1">
        <f>(C$54+(A55-A$54)*D$54)*E43</f>
        <v>258.73369172848442</v>
      </c>
      <c r="D55" s="17" t="s">
        <v>36</v>
      </c>
      <c r="E55" s="17"/>
      <c r="F55" s="17"/>
      <c r="G55" s="17"/>
      <c r="H55" s="17"/>
    </row>
    <row r="56" spans="1:8" ht="15.6" x14ac:dyDescent="0.3">
      <c r="A56" s="45">
        <v>38</v>
      </c>
      <c r="C56" s="1">
        <f t="shared" ref="C56:C62" si="6">(C$54+(A56-A$54)*D$54)*E44</f>
        <v>281.13299493149913</v>
      </c>
      <c r="D56" s="17" t="s">
        <v>106</v>
      </c>
      <c r="E56" s="17"/>
      <c r="F56" s="17"/>
      <c r="G56" s="17"/>
      <c r="H56" s="17"/>
    </row>
    <row r="57" spans="1:8" ht="15.6" x14ac:dyDescent="0.3">
      <c r="A57" s="45">
        <v>39</v>
      </c>
      <c r="C57" s="1">
        <f t="shared" si="6"/>
        <v>253.85585093876585</v>
      </c>
      <c r="D57" s="17" t="s">
        <v>108</v>
      </c>
      <c r="E57" s="17"/>
      <c r="F57" s="17"/>
      <c r="G57" s="17"/>
      <c r="H57" s="17"/>
    </row>
    <row r="58" spans="1:8" ht="15.6" x14ac:dyDescent="0.3">
      <c r="A58" s="45">
        <v>40</v>
      </c>
      <c r="C58" s="1">
        <f t="shared" si="6"/>
        <v>256.64615509377381</v>
      </c>
      <c r="D58" s="17" t="s">
        <v>107</v>
      </c>
      <c r="E58" s="17"/>
      <c r="F58" s="17"/>
      <c r="G58" s="17"/>
      <c r="H58" s="17"/>
    </row>
    <row r="59" spans="1:8" ht="15.6" x14ac:dyDescent="0.3">
      <c r="A59" s="45">
        <v>41</v>
      </c>
      <c r="C59" s="1">
        <f t="shared" si="6"/>
        <v>299.43594306207126</v>
      </c>
      <c r="D59" s="17"/>
      <c r="E59" s="17"/>
      <c r="F59" s="17"/>
      <c r="G59" s="17"/>
      <c r="H59" s="17"/>
    </row>
    <row r="60" spans="1:8" ht="15.6" x14ac:dyDescent="0.3">
      <c r="A60" s="45">
        <v>42</v>
      </c>
      <c r="C60" s="1">
        <f t="shared" si="6"/>
        <v>276.24454558593391</v>
      </c>
      <c r="D60" s="17"/>
      <c r="E60" s="17"/>
      <c r="F60" s="17"/>
      <c r="G60" s="17"/>
      <c r="H60" s="17"/>
    </row>
    <row r="61" spans="1:8" ht="15.6" x14ac:dyDescent="0.3">
      <c r="A61" s="45">
        <v>43</v>
      </c>
      <c r="C61" s="1">
        <f t="shared" si="6"/>
        <v>288.72064116927942</v>
      </c>
      <c r="D61" s="17"/>
      <c r="E61" s="17"/>
      <c r="F61" s="17"/>
      <c r="G61" s="17"/>
      <c r="H61" s="17"/>
    </row>
    <row r="62" spans="1:8" ht="15.6" x14ac:dyDescent="0.3">
      <c r="A62" s="45">
        <v>44</v>
      </c>
      <c r="C62" s="1">
        <f t="shared" si="6"/>
        <v>293.06973815994837</v>
      </c>
      <c r="D62" s="17"/>
      <c r="E62" s="17"/>
      <c r="F62" s="17"/>
      <c r="G62" s="17"/>
      <c r="H6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SES</vt:lpstr>
      <vt:lpstr>DES_lin_reg_18mnd</vt:lpstr>
      <vt:lpstr>DES</vt:lpstr>
      <vt:lpstr>Lin_regression_TES</vt:lpstr>
      <vt:lpstr>TESseizoensinvloeden</vt:lpstr>
      <vt:lpstr>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Thuis</dc:creator>
  <cp:lastModifiedBy>Mike Schouten</cp:lastModifiedBy>
  <dcterms:created xsi:type="dcterms:W3CDTF">2016-01-06T06:33:18Z</dcterms:created>
  <dcterms:modified xsi:type="dcterms:W3CDTF">2020-01-11T12:42:28Z</dcterms:modified>
</cp:coreProperties>
</file>