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girand\iCloudDrive\"/>
    </mc:Choice>
  </mc:AlternateContent>
  <xr:revisionPtr revIDLastSave="0" documentId="13_ncr:1_{923C63A3-5BFB-4AFE-98F3-A883153C064D}" xr6:coauthVersionLast="47" xr6:coauthVersionMax="47" xr10:uidLastSave="{00000000-0000-0000-0000-000000000000}"/>
  <bookViews>
    <workbookView xWindow="390" yWindow="390" windowWidth="23295" windowHeight="14490" xr2:uid="{00000000-000D-0000-FFFF-FFFF00000000}"/>
  </bookViews>
  <sheets>
    <sheet name="interest rates" sheetId="7" r:id="rId1"/>
    <sheet name="other commodities" sheetId="6" r:id="rId2"/>
    <sheet name="equity asset prices" sheetId="5" r:id="rId3"/>
    <sheet name="currencies" sheetId="4" r:id="rId4"/>
    <sheet name="energy prices" sheetId="3" r:id="rId5"/>
    <sheet name="inflation expectation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B4" i="7"/>
  <c r="C4" i="7"/>
  <c r="D4" i="7"/>
  <c r="E4" i="7"/>
  <c r="F4" i="7"/>
  <c r="G4" i="7"/>
  <c r="H4" i="7"/>
  <c r="B5" i="7"/>
  <c r="C5" i="7"/>
  <c r="D5" i="7"/>
  <c r="E5" i="7"/>
  <c r="F5" i="7"/>
  <c r="G5" i="7"/>
  <c r="H5" i="7"/>
  <c r="B6" i="7"/>
  <c r="C6" i="7"/>
  <c r="D6" i="7"/>
  <c r="E6" i="7"/>
  <c r="F6" i="7"/>
  <c r="G6" i="7"/>
  <c r="H6" i="7"/>
  <c r="B7" i="7"/>
  <c r="C7" i="7"/>
  <c r="D7" i="7"/>
  <c r="E7" i="7"/>
  <c r="F7" i="7"/>
  <c r="G7" i="7"/>
  <c r="H7" i="7"/>
  <c r="B8" i="7"/>
  <c r="C8" i="7"/>
  <c r="D8" i="7"/>
  <c r="E8" i="7"/>
  <c r="F8" i="7"/>
  <c r="G8" i="7"/>
  <c r="H8" i="7"/>
  <c r="B9" i="7"/>
  <c r="C9" i="7"/>
  <c r="D9" i="7"/>
  <c r="E9" i="7"/>
  <c r="F9" i="7"/>
  <c r="G9" i="7"/>
  <c r="H9" i="7"/>
  <c r="B10" i="7"/>
  <c r="C10" i="7"/>
  <c r="D10" i="7"/>
  <c r="E10" i="7"/>
  <c r="F10" i="7"/>
  <c r="G10" i="7"/>
  <c r="H10" i="7"/>
  <c r="B11" i="7"/>
  <c r="C11" i="7"/>
  <c r="D11" i="7"/>
  <c r="E11" i="7"/>
  <c r="F11" i="7"/>
  <c r="G11" i="7"/>
  <c r="H11" i="7"/>
  <c r="B12" i="7"/>
  <c r="C12" i="7"/>
  <c r="D12" i="7"/>
  <c r="E12" i="7"/>
  <c r="F12" i="7"/>
  <c r="G12" i="7"/>
  <c r="H12" i="7"/>
  <c r="B13" i="7"/>
  <c r="C13" i="7"/>
  <c r="D13" i="7"/>
  <c r="E13" i="7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C52" i="7"/>
  <c r="D52" i="7"/>
  <c r="E52" i="7"/>
  <c r="F52" i="7"/>
  <c r="G52" i="7"/>
  <c r="H52" i="7"/>
  <c r="B53" i="7"/>
  <c r="C53" i="7"/>
  <c r="D53" i="7"/>
  <c r="E53" i="7"/>
  <c r="F53" i="7"/>
  <c r="G53" i="7"/>
  <c r="H53" i="7"/>
  <c r="B54" i="7"/>
  <c r="C54" i="7"/>
  <c r="D54" i="7"/>
  <c r="E54" i="7"/>
  <c r="F54" i="7"/>
  <c r="G54" i="7"/>
  <c r="H54" i="7"/>
  <c r="B55" i="7"/>
  <c r="C55" i="7"/>
  <c r="D55" i="7"/>
  <c r="E55" i="7"/>
  <c r="F55" i="7"/>
  <c r="G55" i="7"/>
  <c r="H55" i="7"/>
  <c r="B56" i="7"/>
  <c r="C56" i="7"/>
  <c r="D56" i="7"/>
  <c r="E56" i="7"/>
  <c r="F56" i="7"/>
  <c r="G56" i="7"/>
  <c r="H56" i="7"/>
  <c r="B57" i="7"/>
  <c r="C57" i="7"/>
  <c r="D57" i="7"/>
  <c r="E57" i="7"/>
  <c r="F57" i="7"/>
  <c r="G57" i="7"/>
  <c r="H57" i="7"/>
  <c r="B58" i="7"/>
  <c r="C58" i="7"/>
  <c r="D58" i="7"/>
  <c r="E58" i="7"/>
  <c r="F58" i="7"/>
  <c r="G58" i="7"/>
  <c r="H58" i="7"/>
  <c r="B59" i="7"/>
  <c r="C59" i="7"/>
  <c r="D59" i="7"/>
  <c r="E59" i="7"/>
  <c r="F59" i="7"/>
  <c r="G59" i="7"/>
  <c r="H59" i="7"/>
  <c r="B60" i="7"/>
  <c r="C60" i="7"/>
  <c r="D60" i="7"/>
  <c r="E60" i="7"/>
  <c r="F60" i="7"/>
  <c r="G60" i="7"/>
  <c r="H60" i="7"/>
  <c r="B61" i="7"/>
  <c r="C61" i="7"/>
  <c r="D61" i="7"/>
  <c r="E61" i="7"/>
  <c r="F61" i="7"/>
  <c r="G61" i="7"/>
  <c r="H61" i="7"/>
  <c r="B62" i="7"/>
  <c r="C62" i="7"/>
  <c r="D62" i="7"/>
  <c r="E62" i="7"/>
  <c r="F62" i="7"/>
  <c r="G62" i="7"/>
  <c r="H62" i="7"/>
  <c r="B63" i="7"/>
  <c r="C63" i="7"/>
  <c r="D63" i="7"/>
  <c r="E63" i="7"/>
  <c r="F63" i="7"/>
  <c r="G63" i="7"/>
  <c r="H63" i="7"/>
  <c r="B64" i="7"/>
  <c r="C64" i="7"/>
  <c r="D64" i="7"/>
  <c r="E64" i="7"/>
  <c r="F64" i="7"/>
  <c r="G64" i="7"/>
  <c r="H64" i="7"/>
  <c r="B65" i="7"/>
  <c r="C65" i="7"/>
  <c r="D65" i="7"/>
  <c r="E65" i="7"/>
  <c r="F65" i="7"/>
  <c r="G65" i="7"/>
  <c r="H65" i="7"/>
  <c r="B66" i="7"/>
  <c r="C66" i="7"/>
  <c r="D66" i="7"/>
  <c r="E66" i="7"/>
  <c r="F66" i="7"/>
  <c r="G66" i="7"/>
  <c r="H66" i="7"/>
  <c r="B67" i="7"/>
  <c r="C67" i="7"/>
  <c r="D67" i="7"/>
  <c r="E67" i="7"/>
  <c r="F67" i="7"/>
  <c r="G67" i="7"/>
  <c r="H67" i="7"/>
  <c r="B68" i="7"/>
  <c r="C68" i="7"/>
  <c r="D68" i="7"/>
  <c r="E68" i="7"/>
  <c r="F68" i="7"/>
  <c r="G68" i="7"/>
  <c r="H68" i="7"/>
  <c r="B69" i="7"/>
  <c r="C69" i="7"/>
  <c r="D69" i="7"/>
  <c r="E69" i="7"/>
  <c r="F69" i="7"/>
  <c r="G69" i="7"/>
  <c r="H69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D91" i="7"/>
  <c r="E91" i="7"/>
  <c r="F91" i="7"/>
  <c r="G91" i="7"/>
  <c r="H91" i="7"/>
  <c r="B92" i="7"/>
  <c r="C92" i="7"/>
  <c r="D92" i="7"/>
  <c r="E92" i="7"/>
  <c r="F92" i="7"/>
  <c r="G92" i="7"/>
  <c r="H92" i="7"/>
  <c r="B93" i="7"/>
  <c r="C93" i="7"/>
  <c r="D93" i="7"/>
  <c r="E93" i="7"/>
  <c r="F93" i="7"/>
  <c r="G93" i="7"/>
  <c r="H93" i="7"/>
  <c r="B94" i="7"/>
  <c r="C94" i="7"/>
  <c r="D94" i="7"/>
  <c r="E94" i="7"/>
  <c r="F94" i="7"/>
  <c r="G94" i="7"/>
  <c r="H94" i="7"/>
  <c r="B95" i="7"/>
  <c r="C95" i="7"/>
  <c r="D95" i="7"/>
  <c r="E95" i="7"/>
  <c r="F95" i="7"/>
  <c r="G95" i="7"/>
  <c r="H95" i="7"/>
  <c r="B96" i="7"/>
  <c r="C96" i="7"/>
  <c r="D96" i="7"/>
  <c r="E96" i="7"/>
  <c r="F96" i="7"/>
  <c r="G96" i="7"/>
  <c r="H96" i="7"/>
  <c r="B97" i="7"/>
  <c r="C97" i="7"/>
  <c r="D97" i="7"/>
  <c r="E97" i="7"/>
  <c r="F97" i="7"/>
  <c r="G97" i="7"/>
  <c r="H97" i="7"/>
  <c r="B98" i="7"/>
  <c r="C98" i="7"/>
  <c r="D98" i="7"/>
  <c r="E98" i="7"/>
  <c r="F98" i="7"/>
  <c r="G98" i="7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C101" i="7"/>
  <c r="D101" i="7"/>
  <c r="E101" i="7"/>
  <c r="F101" i="7"/>
  <c r="G101" i="7"/>
  <c r="H101" i="7"/>
  <c r="B102" i="7"/>
  <c r="C102" i="7"/>
  <c r="D102" i="7"/>
  <c r="E102" i="7"/>
  <c r="F102" i="7"/>
  <c r="G102" i="7"/>
  <c r="H102" i="7"/>
  <c r="B103" i="7"/>
  <c r="C103" i="7"/>
  <c r="D103" i="7"/>
  <c r="E103" i="7"/>
  <c r="F103" i="7"/>
  <c r="G103" i="7"/>
  <c r="H103" i="7"/>
  <c r="B104" i="7"/>
  <c r="C104" i="7"/>
  <c r="D104" i="7"/>
  <c r="E104" i="7"/>
  <c r="F104" i="7"/>
  <c r="G104" i="7"/>
  <c r="H104" i="7"/>
  <c r="B105" i="7"/>
  <c r="C105" i="7"/>
  <c r="D105" i="7"/>
  <c r="E105" i="7"/>
  <c r="F105" i="7"/>
  <c r="G105" i="7"/>
  <c r="H105" i="7"/>
  <c r="B106" i="7"/>
  <c r="C106" i="7"/>
  <c r="D106" i="7"/>
  <c r="E106" i="7"/>
  <c r="F106" i="7"/>
  <c r="G106" i="7"/>
  <c r="H106" i="7"/>
  <c r="B107" i="7"/>
  <c r="C107" i="7"/>
  <c r="D107" i="7"/>
  <c r="E107" i="7"/>
  <c r="F107" i="7"/>
  <c r="G107" i="7"/>
  <c r="H107" i="7"/>
  <c r="B108" i="7"/>
  <c r="C108" i="7"/>
  <c r="D108" i="7"/>
  <c r="E108" i="7"/>
  <c r="F108" i="7"/>
  <c r="G108" i="7"/>
  <c r="H108" i="7"/>
  <c r="B109" i="7"/>
  <c r="C109" i="7"/>
  <c r="D109" i="7"/>
  <c r="E109" i="7"/>
  <c r="F109" i="7"/>
  <c r="G109" i="7"/>
  <c r="H109" i="7"/>
  <c r="B110" i="7"/>
  <c r="C110" i="7"/>
  <c r="D110" i="7"/>
  <c r="E110" i="7"/>
  <c r="F110" i="7"/>
  <c r="G110" i="7"/>
  <c r="H110" i="7"/>
  <c r="B111" i="7"/>
  <c r="C111" i="7"/>
  <c r="D111" i="7"/>
  <c r="E111" i="7"/>
  <c r="F111" i="7"/>
  <c r="G111" i="7"/>
  <c r="H111" i="7"/>
  <c r="B112" i="7"/>
  <c r="C112" i="7"/>
  <c r="D112" i="7"/>
  <c r="E112" i="7"/>
  <c r="F112" i="7"/>
  <c r="G112" i="7"/>
  <c r="H112" i="7"/>
  <c r="B113" i="7"/>
  <c r="C113" i="7"/>
  <c r="D113" i="7"/>
  <c r="E113" i="7"/>
  <c r="F113" i="7"/>
  <c r="G113" i="7"/>
  <c r="H113" i="7"/>
  <c r="B114" i="7"/>
  <c r="C114" i="7"/>
  <c r="D114" i="7"/>
  <c r="E114" i="7"/>
  <c r="F114" i="7"/>
  <c r="G114" i="7"/>
  <c r="H114" i="7"/>
  <c r="B115" i="7"/>
  <c r="C115" i="7"/>
  <c r="D115" i="7"/>
  <c r="E115" i="7"/>
  <c r="F115" i="7"/>
  <c r="G115" i="7"/>
  <c r="H115" i="7"/>
  <c r="B116" i="7"/>
  <c r="C116" i="7"/>
  <c r="D116" i="7"/>
  <c r="E116" i="7"/>
  <c r="F116" i="7"/>
  <c r="G116" i="7"/>
  <c r="H116" i="7"/>
  <c r="B117" i="7"/>
  <c r="C117" i="7"/>
  <c r="D117" i="7"/>
  <c r="E117" i="7"/>
  <c r="F117" i="7"/>
  <c r="G117" i="7"/>
  <c r="H117" i="7"/>
  <c r="B118" i="7"/>
  <c r="C118" i="7"/>
  <c r="D118" i="7"/>
  <c r="E118" i="7"/>
  <c r="F118" i="7"/>
  <c r="G118" i="7"/>
  <c r="H118" i="7"/>
  <c r="B119" i="7"/>
  <c r="C119" i="7"/>
  <c r="D119" i="7"/>
  <c r="E119" i="7"/>
  <c r="F119" i="7"/>
  <c r="G119" i="7"/>
  <c r="H119" i="7"/>
  <c r="B120" i="7"/>
  <c r="C120" i="7"/>
  <c r="D120" i="7"/>
  <c r="E120" i="7"/>
  <c r="F120" i="7"/>
  <c r="G120" i="7"/>
  <c r="H120" i="7"/>
  <c r="B121" i="7"/>
  <c r="C121" i="7"/>
  <c r="D121" i="7"/>
  <c r="E121" i="7"/>
  <c r="F121" i="7"/>
  <c r="G121" i="7"/>
  <c r="H121" i="7"/>
  <c r="B122" i="7"/>
  <c r="C122" i="7"/>
  <c r="D122" i="7"/>
  <c r="E122" i="7"/>
  <c r="F122" i="7"/>
  <c r="G122" i="7"/>
  <c r="H122" i="7"/>
  <c r="B123" i="7"/>
  <c r="C123" i="7"/>
  <c r="D123" i="7"/>
  <c r="E123" i="7"/>
  <c r="F123" i="7"/>
  <c r="G123" i="7"/>
  <c r="H123" i="7"/>
  <c r="B124" i="7"/>
  <c r="C124" i="7"/>
  <c r="D124" i="7"/>
  <c r="E124" i="7"/>
  <c r="F124" i="7"/>
  <c r="G124" i="7"/>
  <c r="H124" i="7"/>
  <c r="B125" i="7"/>
  <c r="C125" i="7"/>
  <c r="D125" i="7"/>
  <c r="E125" i="7"/>
  <c r="F125" i="7"/>
  <c r="G125" i="7"/>
  <c r="H125" i="7"/>
  <c r="B126" i="7"/>
  <c r="C126" i="7"/>
  <c r="D126" i="7"/>
  <c r="E126" i="7"/>
  <c r="F126" i="7"/>
  <c r="G126" i="7"/>
  <c r="H126" i="7"/>
  <c r="B127" i="7"/>
  <c r="C127" i="7"/>
  <c r="D127" i="7"/>
  <c r="E127" i="7"/>
  <c r="F127" i="7"/>
  <c r="G127" i="7"/>
  <c r="H127" i="7"/>
  <c r="B128" i="7"/>
  <c r="C128" i="7"/>
  <c r="D128" i="7"/>
  <c r="E128" i="7"/>
  <c r="F128" i="7"/>
  <c r="G128" i="7"/>
  <c r="H128" i="7"/>
  <c r="B129" i="7"/>
  <c r="C129" i="7"/>
  <c r="D129" i="7"/>
  <c r="E129" i="7"/>
  <c r="F129" i="7"/>
  <c r="G129" i="7"/>
  <c r="H129" i="7"/>
  <c r="B130" i="7"/>
  <c r="C130" i="7"/>
  <c r="D130" i="7"/>
  <c r="E130" i="7"/>
  <c r="F130" i="7"/>
  <c r="G130" i="7"/>
  <c r="H130" i="7"/>
  <c r="B131" i="7"/>
  <c r="C131" i="7"/>
  <c r="D131" i="7"/>
  <c r="E131" i="7"/>
  <c r="F131" i="7"/>
  <c r="G131" i="7"/>
  <c r="H131" i="7"/>
  <c r="B132" i="7"/>
  <c r="C132" i="7"/>
  <c r="D132" i="7"/>
  <c r="E132" i="7"/>
  <c r="F132" i="7"/>
  <c r="G132" i="7"/>
  <c r="H132" i="7"/>
  <c r="B133" i="7"/>
  <c r="C133" i="7"/>
  <c r="D133" i="7"/>
  <c r="E133" i="7"/>
  <c r="F133" i="7"/>
  <c r="G133" i="7"/>
  <c r="H133" i="7"/>
  <c r="B134" i="7"/>
  <c r="C134" i="7"/>
  <c r="D134" i="7"/>
  <c r="E134" i="7"/>
  <c r="F134" i="7"/>
  <c r="G134" i="7"/>
  <c r="H134" i="7"/>
  <c r="B135" i="7"/>
  <c r="C135" i="7"/>
  <c r="D135" i="7"/>
  <c r="E135" i="7"/>
  <c r="F135" i="7"/>
  <c r="G135" i="7"/>
  <c r="H135" i="7"/>
  <c r="B136" i="7"/>
  <c r="C136" i="7"/>
  <c r="D136" i="7"/>
  <c r="E136" i="7"/>
  <c r="F136" i="7"/>
  <c r="G136" i="7"/>
  <c r="H136" i="7"/>
  <c r="B137" i="7"/>
  <c r="C137" i="7"/>
  <c r="D137" i="7"/>
  <c r="E137" i="7"/>
  <c r="F137" i="7"/>
  <c r="G137" i="7"/>
  <c r="H137" i="7"/>
  <c r="B138" i="7"/>
  <c r="C138" i="7"/>
  <c r="D138" i="7"/>
  <c r="E138" i="7"/>
  <c r="F138" i="7"/>
  <c r="G138" i="7"/>
  <c r="H138" i="7"/>
  <c r="B139" i="7"/>
  <c r="C139" i="7"/>
  <c r="D139" i="7"/>
  <c r="E139" i="7"/>
  <c r="F139" i="7"/>
  <c r="G139" i="7"/>
  <c r="H139" i="7"/>
  <c r="B140" i="7"/>
  <c r="C140" i="7"/>
  <c r="D140" i="7"/>
  <c r="E140" i="7"/>
  <c r="F140" i="7"/>
  <c r="G140" i="7"/>
  <c r="H140" i="7"/>
  <c r="B141" i="7"/>
  <c r="C141" i="7"/>
  <c r="D141" i="7"/>
  <c r="E141" i="7"/>
  <c r="F141" i="7"/>
  <c r="G141" i="7"/>
  <c r="H141" i="7"/>
  <c r="B142" i="7"/>
  <c r="C142" i="7"/>
  <c r="D142" i="7"/>
  <c r="E142" i="7"/>
  <c r="F142" i="7"/>
  <c r="G142" i="7"/>
  <c r="H142" i="7"/>
  <c r="B143" i="7"/>
  <c r="C143" i="7"/>
  <c r="D143" i="7"/>
  <c r="E143" i="7"/>
  <c r="F143" i="7"/>
  <c r="G143" i="7"/>
  <c r="H143" i="7"/>
  <c r="B144" i="7"/>
  <c r="C144" i="7"/>
  <c r="D144" i="7"/>
  <c r="E144" i="7"/>
  <c r="F144" i="7"/>
  <c r="G144" i="7"/>
  <c r="H144" i="7"/>
  <c r="B145" i="7"/>
  <c r="C145" i="7"/>
  <c r="D145" i="7"/>
  <c r="E145" i="7"/>
  <c r="F145" i="7"/>
  <c r="G145" i="7"/>
  <c r="H145" i="7"/>
  <c r="B146" i="7"/>
  <c r="C146" i="7"/>
  <c r="D146" i="7"/>
  <c r="E146" i="7"/>
  <c r="F146" i="7"/>
  <c r="G146" i="7"/>
  <c r="H146" i="7"/>
  <c r="B147" i="7"/>
  <c r="C147" i="7"/>
  <c r="D147" i="7"/>
  <c r="E147" i="7"/>
  <c r="F147" i="7"/>
  <c r="G147" i="7"/>
  <c r="H147" i="7"/>
  <c r="B148" i="7"/>
  <c r="C148" i="7"/>
  <c r="D148" i="7"/>
  <c r="E148" i="7"/>
  <c r="F148" i="7"/>
  <c r="G148" i="7"/>
  <c r="H148" i="7"/>
  <c r="B149" i="7"/>
  <c r="C149" i="7"/>
  <c r="D149" i="7"/>
  <c r="E149" i="7"/>
  <c r="F149" i="7"/>
  <c r="G149" i="7"/>
  <c r="H149" i="7"/>
  <c r="B150" i="7"/>
  <c r="C150" i="7"/>
  <c r="D150" i="7"/>
  <c r="E150" i="7"/>
  <c r="F150" i="7"/>
  <c r="G150" i="7"/>
  <c r="H150" i="7"/>
  <c r="B151" i="7"/>
  <c r="C151" i="7"/>
  <c r="D151" i="7"/>
  <c r="E151" i="7"/>
  <c r="F151" i="7"/>
  <c r="G151" i="7"/>
  <c r="H151" i="7"/>
  <c r="B152" i="7"/>
  <c r="C152" i="7"/>
  <c r="D152" i="7"/>
  <c r="E152" i="7"/>
  <c r="F152" i="7"/>
  <c r="G152" i="7"/>
  <c r="H152" i="7"/>
  <c r="B153" i="7"/>
  <c r="C153" i="7"/>
  <c r="D153" i="7"/>
  <c r="E153" i="7"/>
  <c r="F153" i="7"/>
  <c r="G153" i="7"/>
  <c r="H153" i="7"/>
  <c r="B154" i="7"/>
  <c r="C154" i="7"/>
  <c r="D154" i="7"/>
  <c r="E154" i="7"/>
  <c r="F154" i="7"/>
  <c r="G154" i="7"/>
  <c r="H154" i="7"/>
  <c r="B155" i="7"/>
  <c r="C155" i="7"/>
  <c r="D155" i="7"/>
  <c r="E155" i="7"/>
  <c r="F155" i="7"/>
  <c r="G155" i="7"/>
  <c r="H155" i="7"/>
  <c r="B156" i="7"/>
  <c r="C156" i="7"/>
  <c r="D156" i="7"/>
  <c r="E156" i="7"/>
  <c r="F156" i="7"/>
  <c r="G156" i="7"/>
  <c r="H156" i="7"/>
  <c r="B157" i="7"/>
  <c r="C157" i="7"/>
  <c r="D157" i="7"/>
  <c r="E157" i="7"/>
  <c r="F157" i="7"/>
  <c r="G157" i="7"/>
  <c r="H157" i="7"/>
  <c r="B158" i="7"/>
  <c r="C158" i="7"/>
  <c r="D158" i="7"/>
  <c r="E158" i="7"/>
  <c r="F158" i="7"/>
  <c r="G158" i="7"/>
  <c r="H158" i="7"/>
  <c r="B159" i="7"/>
  <c r="C159" i="7"/>
  <c r="D159" i="7"/>
  <c r="E159" i="7"/>
  <c r="F159" i="7"/>
  <c r="G159" i="7"/>
  <c r="H159" i="7"/>
  <c r="B160" i="7"/>
  <c r="C160" i="7"/>
  <c r="D160" i="7"/>
  <c r="E160" i="7"/>
  <c r="F160" i="7"/>
  <c r="G160" i="7"/>
  <c r="H160" i="7"/>
  <c r="B161" i="7"/>
  <c r="C161" i="7"/>
  <c r="D161" i="7"/>
  <c r="E161" i="7"/>
  <c r="F161" i="7"/>
  <c r="G161" i="7"/>
  <c r="H161" i="7"/>
  <c r="B162" i="7"/>
  <c r="C162" i="7"/>
  <c r="D162" i="7"/>
  <c r="E162" i="7"/>
  <c r="F162" i="7"/>
  <c r="G162" i="7"/>
  <c r="H162" i="7"/>
  <c r="B163" i="7"/>
  <c r="C163" i="7"/>
  <c r="D163" i="7"/>
  <c r="E163" i="7"/>
  <c r="F163" i="7"/>
  <c r="G163" i="7"/>
  <c r="H163" i="7"/>
  <c r="B164" i="7"/>
  <c r="C164" i="7"/>
  <c r="D164" i="7"/>
  <c r="E164" i="7"/>
  <c r="F164" i="7"/>
  <c r="G164" i="7"/>
  <c r="H164" i="7"/>
  <c r="B165" i="7"/>
  <c r="C165" i="7"/>
  <c r="D165" i="7"/>
  <c r="E165" i="7"/>
  <c r="F165" i="7"/>
  <c r="G165" i="7"/>
  <c r="H165" i="7"/>
  <c r="B166" i="7"/>
  <c r="C166" i="7"/>
  <c r="D166" i="7"/>
  <c r="E166" i="7"/>
  <c r="F166" i="7"/>
  <c r="G166" i="7"/>
  <c r="H166" i="7"/>
  <c r="B167" i="7"/>
  <c r="C167" i="7"/>
  <c r="D167" i="7"/>
  <c r="E167" i="7"/>
  <c r="F167" i="7"/>
  <c r="G167" i="7"/>
  <c r="H167" i="7"/>
  <c r="B168" i="7"/>
  <c r="C168" i="7"/>
  <c r="D168" i="7"/>
  <c r="E168" i="7"/>
  <c r="F168" i="7"/>
  <c r="G168" i="7"/>
  <c r="H168" i="7"/>
  <c r="B169" i="7"/>
  <c r="C169" i="7"/>
  <c r="D169" i="7"/>
  <c r="E169" i="7"/>
  <c r="F169" i="7"/>
  <c r="G169" i="7"/>
  <c r="H169" i="7"/>
  <c r="B170" i="7"/>
  <c r="C170" i="7"/>
  <c r="D170" i="7"/>
  <c r="E170" i="7"/>
  <c r="F170" i="7"/>
  <c r="G170" i="7"/>
  <c r="H170" i="7"/>
  <c r="B171" i="7"/>
  <c r="C171" i="7"/>
  <c r="D171" i="7"/>
  <c r="E171" i="7"/>
  <c r="F171" i="7"/>
  <c r="G171" i="7"/>
  <c r="H171" i="7"/>
  <c r="B172" i="7"/>
  <c r="C172" i="7"/>
  <c r="D172" i="7"/>
  <c r="E172" i="7"/>
  <c r="F172" i="7"/>
  <c r="G172" i="7"/>
  <c r="H172" i="7"/>
  <c r="B173" i="7"/>
  <c r="C173" i="7"/>
  <c r="D173" i="7"/>
  <c r="E173" i="7"/>
  <c r="F173" i="7"/>
  <c r="G173" i="7"/>
  <c r="H173" i="7"/>
  <c r="B174" i="7"/>
  <c r="C174" i="7"/>
  <c r="D174" i="7"/>
  <c r="E174" i="7"/>
  <c r="F174" i="7"/>
  <c r="G174" i="7"/>
  <c r="H174" i="7"/>
  <c r="B175" i="7"/>
  <c r="C175" i="7"/>
  <c r="D175" i="7"/>
  <c r="E175" i="7"/>
  <c r="F175" i="7"/>
  <c r="G175" i="7"/>
  <c r="H175" i="7"/>
  <c r="B176" i="7"/>
  <c r="C176" i="7"/>
  <c r="D176" i="7"/>
  <c r="E176" i="7"/>
  <c r="F176" i="7"/>
  <c r="G176" i="7"/>
  <c r="H176" i="7"/>
  <c r="B177" i="7"/>
  <c r="C177" i="7"/>
  <c r="D177" i="7"/>
  <c r="E177" i="7"/>
  <c r="F177" i="7"/>
  <c r="G177" i="7"/>
  <c r="H177" i="7"/>
  <c r="B178" i="7"/>
  <c r="C178" i="7"/>
  <c r="D178" i="7"/>
  <c r="E178" i="7"/>
  <c r="F178" i="7"/>
  <c r="G178" i="7"/>
  <c r="H178" i="7"/>
  <c r="B179" i="7"/>
  <c r="C179" i="7"/>
  <c r="D179" i="7"/>
  <c r="E179" i="7"/>
  <c r="F179" i="7"/>
  <c r="G179" i="7"/>
  <c r="H179" i="7"/>
  <c r="B180" i="7"/>
  <c r="C180" i="7"/>
  <c r="D180" i="7"/>
  <c r="E180" i="7"/>
  <c r="F180" i="7"/>
  <c r="G180" i="7"/>
  <c r="H180" i="7"/>
  <c r="B181" i="7"/>
  <c r="C181" i="7"/>
  <c r="D181" i="7"/>
  <c r="E181" i="7"/>
  <c r="F181" i="7"/>
  <c r="G181" i="7"/>
  <c r="H181" i="7"/>
  <c r="B182" i="7"/>
  <c r="C182" i="7"/>
  <c r="D182" i="7"/>
  <c r="E182" i="7"/>
  <c r="F182" i="7"/>
  <c r="G182" i="7"/>
  <c r="H182" i="7"/>
  <c r="B183" i="7"/>
  <c r="C183" i="7"/>
  <c r="D183" i="7"/>
  <c r="E183" i="7"/>
  <c r="F183" i="7"/>
  <c r="G183" i="7"/>
  <c r="H183" i="7"/>
  <c r="B184" i="7"/>
  <c r="C184" i="7"/>
  <c r="D184" i="7"/>
  <c r="E184" i="7"/>
  <c r="F184" i="7"/>
  <c r="G184" i="7"/>
  <c r="H184" i="7"/>
  <c r="B185" i="7"/>
  <c r="C185" i="7"/>
  <c r="D185" i="7"/>
  <c r="E185" i="7"/>
  <c r="F185" i="7"/>
  <c r="G185" i="7"/>
  <c r="H185" i="7"/>
  <c r="B186" i="7"/>
  <c r="C186" i="7"/>
  <c r="D186" i="7"/>
  <c r="E186" i="7"/>
  <c r="F186" i="7"/>
  <c r="G186" i="7"/>
  <c r="H186" i="7"/>
  <c r="B187" i="7"/>
  <c r="C187" i="7"/>
  <c r="D187" i="7"/>
  <c r="E187" i="7"/>
  <c r="F187" i="7"/>
  <c r="G187" i="7"/>
  <c r="H187" i="7"/>
  <c r="B188" i="7"/>
  <c r="C188" i="7"/>
  <c r="D188" i="7"/>
  <c r="E188" i="7"/>
  <c r="F188" i="7"/>
  <c r="G188" i="7"/>
  <c r="H188" i="7"/>
  <c r="B189" i="7"/>
  <c r="C189" i="7"/>
  <c r="D189" i="7"/>
  <c r="E189" i="7"/>
  <c r="F189" i="7"/>
  <c r="G189" i="7"/>
  <c r="H189" i="7"/>
  <c r="B190" i="7"/>
  <c r="C190" i="7"/>
  <c r="D190" i="7"/>
  <c r="E190" i="7"/>
  <c r="F190" i="7"/>
  <c r="G190" i="7"/>
  <c r="H190" i="7"/>
  <c r="B191" i="7"/>
  <c r="C191" i="7"/>
  <c r="D191" i="7"/>
  <c r="E191" i="7"/>
  <c r="F191" i="7"/>
  <c r="G191" i="7"/>
  <c r="H191" i="7"/>
  <c r="B192" i="7"/>
  <c r="C192" i="7"/>
  <c r="D192" i="7"/>
  <c r="E192" i="7"/>
  <c r="F192" i="7"/>
  <c r="G192" i="7"/>
  <c r="H192" i="7"/>
  <c r="B193" i="7"/>
  <c r="C193" i="7"/>
  <c r="D193" i="7"/>
  <c r="E193" i="7"/>
  <c r="F193" i="7"/>
  <c r="G193" i="7"/>
  <c r="H193" i="7"/>
  <c r="B194" i="7"/>
  <c r="C194" i="7"/>
  <c r="D194" i="7"/>
  <c r="E194" i="7"/>
  <c r="F194" i="7"/>
  <c r="G194" i="7"/>
  <c r="H194" i="7"/>
  <c r="B195" i="7"/>
  <c r="C195" i="7"/>
  <c r="D195" i="7"/>
  <c r="E195" i="7"/>
  <c r="F195" i="7"/>
  <c r="G195" i="7"/>
  <c r="H195" i="7"/>
  <c r="B196" i="7"/>
  <c r="C196" i="7"/>
  <c r="D196" i="7"/>
  <c r="E196" i="7"/>
  <c r="F196" i="7"/>
  <c r="G196" i="7"/>
  <c r="H196" i="7"/>
  <c r="B197" i="7"/>
  <c r="C197" i="7"/>
  <c r="D197" i="7"/>
  <c r="E197" i="7"/>
  <c r="F197" i="7"/>
  <c r="G197" i="7"/>
  <c r="H197" i="7"/>
  <c r="B198" i="7"/>
  <c r="C198" i="7"/>
  <c r="D198" i="7"/>
  <c r="E198" i="7"/>
  <c r="F198" i="7"/>
  <c r="G198" i="7"/>
  <c r="H198" i="7"/>
  <c r="B199" i="7"/>
  <c r="C199" i="7"/>
  <c r="D199" i="7"/>
  <c r="E199" i="7"/>
  <c r="F199" i="7"/>
  <c r="G199" i="7"/>
  <c r="H199" i="7"/>
  <c r="B200" i="7"/>
  <c r="C200" i="7"/>
  <c r="D200" i="7"/>
  <c r="E200" i="7"/>
  <c r="F200" i="7"/>
  <c r="G200" i="7"/>
  <c r="H200" i="7"/>
  <c r="B201" i="7"/>
  <c r="C201" i="7"/>
  <c r="D201" i="7"/>
  <c r="E201" i="7"/>
  <c r="F201" i="7"/>
  <c r="G201" i="7"/>
  <c r="H201" i="7"/>
  <c r="B202" i="7"/>
  <c r="C202" i="7"/>
  <c r="D202" i="7"/>
  <c r="E202" i="7"/>
  <c r="F202" i="7"/>
  <c r="G202" i="7"/>
  <c r="H202" i="7"/>
  <c r="B203" i="7"/>
  <c r="C203" i="7"/>
  <c r="D203" i="7"/>
  <c r="E203" i="7"/>
  <c r="F203" i="7"/>
  <c r="G203" i="7"/>
  <c r="H203" i="7"/>
  <c r="B204" i="7"/>
  <c r="C204" i="7"/>
  <c r="D204" i="7"/>
  <c r="E204" i="7"/>
  <c r="F204" i="7"/>
  <c r="G204" i="7"/>
  <c r="H204" i="7"/>
  <c r="B205" i="7"/>
  <c r="C205" i="7"/>
  <c r="D205" i="7"/>
  <c r="E205" i="7"/>
  <c r="F205" i="7"/>
  <c r="G205" i="7"/>
  <c r="H205" i="7"/>
  <c r="B206" i="7"/>
  <c r="C206" i="7"/>
  <c r="D206" i="7"/>
  <c r="E206" i="7"/>
  <c r="F206" i="7"/>
  <c r="G206" i="7"/>
  <c r="H206" i="7"/>
  <c r="B207" i="7"/>
  <c r="C207" i="7"/>
  <c r="D207" i="7"/>
  <c r="E207" i="7"/>
  <c r="F207" i="7"/>
  <c r="G207" i="7"/>
  <c r="H207" i="7"/>
  <c r="B208" i="7"/>
  <c r="C208" i="7"/>
  <c r="D208" i="7"/>
  <c r="E208" i="7"/>
  <c r="F208" i="7"/>
  <c r="G208" i="7"/>
  <c r="H208" i="7"/>
  <c r="B209" i="7"/>
  <c r="C209" i="7"/>
  <c r="D209" i="7"/>
  <c r="E209" i="7"/>
  <c r="F209" i="7"/>
  <c r="G209" i="7"/>
  <c r="H209" i="7"/>
  <c r="B210" i="7"/>
  <c r="C210" i="7"/>
  <c r="D210" i="7"/>
  <c r="E210" i="7"/>
  <c r="F210" i="7"/>
  <c r="G210" i="7"/>
  <c r="H210" i="7"/>
  <c r="B211" i="7"/>
  <c r="C211" i="7"/>
  <c r="D211" i="7"/>
  <c r="E211" i="7"/>
  <c r="F211" i="7"/>
  <c r="G211" i="7"/>
  <c r="H211" i="7"/>
  <c r="B212" i="7"/>
  <c r="C212" i="7"/>
  <c r="D212" i="7"/>
  <c r="E212" i="7"/>
  <c r="F212" i="7"/>
  <c r="G212" i="7"/>
  <c r="H212" i="7"/>
  <c r="B213" i="7"/>
  <c r="C213" i="7"/>
  <c r="D213" i="7"/>
  <c r="E213" i="7"/>
  <c r="F213" i="7"/>
  <c r="G213" i="7"/>
  <c r="H213" i="7"/>
  <c r="B214" i="7"/>
  <c r="C214" i="7"/>
  <c r="D214" i="7"/>
  <c r="E214" i="7"/>
  <c r="F214" i="7"/>
  <c r="G214" i="7"/>
  <c r="H214" i="7"/>
  <c r="B215" i="7"/>
  <c r="C215" i="7"/>
  <c r="D215" i="7"/>
  <c r="E215" i="7"/>
  <c r="F215" i="7"/>
  <c r="G215" i="7"/>
  <c r="H215" i="7"/>
  <c r="B216" i="7"/>
  <c r="C216" i="7"/>
  <c r="D216" i="7"/>
  <c r="E216" i="7"/>
  <c r="F216" i="7"/>
  <c r="G216" i="7"/>
  <c r="H216" i="7"/>
  <c r="B217" i="7"/>
  <c r="C217" i="7"/>
  <c r="D217" i="7"/>
  <c r="E217" i="7"/>
  <c r="F217" i="7"/>
  <c r="G217" i="7"/>
  <c r="H217" i="7"/>
  <c r="B218" i="7"/>
  <c r="C218" i="7"/>
  <c r="D218" i="7"/>
  <c r="E218" i="7"/>
  <c r="F218" i="7"/>
  <c r="G218" i="7"/>
  <c r="H218" i="7"/>
  <c r="B219" i="7"/>
  <c r="C219" i="7"/>
  <c r="D219" i="7"/>
  <c r="E219" i="7"/>
  <c r="F219" i="7"/>
  <c r="G219" i="7"/>
  <c r="H219" i="7"/>
  <c r="B220" i="7"/>
  <c r="C220" i="7"/>
  <c r="D220" i="7"/>
  <c r="E220" i="7"/>
  <c r="F220" i="7"/>
  <c r="G220" i="7"/>
  <c r="H220" i="7"/>
  <c r="B221" i="7"/>
  <c r="C221" i="7"/>
  <c r="D221" i="7"/>
  <c r="E221" i="7"/>
  <c r="F221" i="7"/>
  <c r="G221" i="7"/>
  <c r="H221" i="7"/>
  <c r="B222" i="7"/>
  <c r="C222" i="7"/>
  <c r="D222" i="7"/>
  <c r="E222" i="7"/>
  <c r="F222" i="7"/>
  <c r="G222" i="7"/>
  <c r="H222" i="7"/>
  <c r="B223" i="7"/>
  <c r="C223" i="7"/>
  <c r="D223" i="7"/>
  <c r="E223" i="7"/>
  <c r="F223" i="7"/>
  <c r="G223" i="7"/>
  <c r="H223" i="7"/>
  <c r="B224" i="7"/>
  <c r="C224" i="7"/>
  <c r="D224" i="7"/>
  <c r="E224" i="7"/>
  <c r="F224" i="7"/>
  <c r="G224" i="7"/>
  <c r="H224" i="7"/>
  <c r="B225" i="7"/>
  <c r="C225" i="7"/>
  <c r="D225" i="7"/>
  <c r="E225" i="7"/>
  <c r="F225" i="7"/>
  <c r="G225" i="7"/>
  <c r="H225" i="7"/>
  <c r="B226" i="7"/>
  <c r="C226" i="7"/>
  <c r="D226" i="7"/>
  <c r="E226" i="7"/>
  <c r="F226" i="7"/>
  <c r="G226" i="7"/>
  <c r="H226" i="7"/>
  <c r="B227" i="7"/>
  <c r="C227" i="7"/>
  <c r="D227" i="7"/>
  <c r="E227" i="7"/>
  <c r="F227" i="7"/>
  <c r="G227" i="7"/>
  <c r="H227" i="7"/>
  <c r="B228" i="7"/>
  <c r="C228" i="7"/>
  <c r="D228" i="7"/>
  <c r="E228" i="7"/>
  <c r="F228" i="7"/>
  <c r="G228" i="7"/>
  <c r="H228" i="7"/>
  <c r="B229" i="7"/>
  <c r="C229" i="7"/>
  <c r="D229" i="7"/>
  <c r="E229" i="7"/>
  <c r="F229" i="7"/>
  <c r="G229" i="7"/>
  <c r="H229" i="7"/>
  <c r="B230" i="7"/>
  <c r="C230" i="7"/>
  <c r="D230" i="7"/>
  <c r="E230" i="7"/>
  <c r="F230" i="7"/>
  <c r="G230" i="7"/>
  <c r="H230" i="7"/>
  <c r="B231" i="7"/>
  <c r="C231" i="7"/>
  <c r="D231" i="7"/>
  <c r="E231" i="7"/>
  <c r="F231" i="7"/>
  <c r="G231" i="7"/>
  <c r="H231" i="7"/>
  <c r="B232" i="7"/>
  <c r="C232" i="7"/>
  <c r="D232" i="7"/>
  <c r="E232" i="7"/>
  <c r="F232" i="7"/>
  <c r="G232" i="7"/>
  <c r="H232" i="7"/>
  <c r="B233" i="7"/>
  <c r="C233" i="7"/>
  <c r="D233" i="7"/>
  <c r="E233" i="7"/>
  <c r="F233" i="7"/>
  <c r="G233" i="7"/>
  <c r="H233" i="7"/>
  <c r="B234" i="7"/>
  <c r="C234" i="7"/>
  <c r="D234" i="7"/>
  <c r="E234" i="7"/>
  <c r="F234" i="7"/>
  <c r="G234" i="7"/>
  <c r="H234" i="7"/>
  <c r="B235" i="7"/>
  <c r="C235" i="7"/>
  <c r="D235" i="7"/>
  <c r="E235" i="7"/>
  <c r="F235" i="7"/>
  <c r="G235" i="7"/>
  <c r="H235" i="7"/>
  <c r="B236" i="7"/>
  <c r="C236" i="7"/>
  <c r="D236" i="7"/>
  <c r="E236" i="7"/>
  <c r="F236" i="7"/>
  <c r="G236" i="7"/>
  <c r="H236" i="7"/>
  <c r="B237" i="7"/>
  <c r="C237" i="7"/>
  <c r="D237" i="7"/>
  <c r="E237" i="7"/>
  <c r="F237" i="7"/>
  <c r="G237" i="7"/>
  <c r="H237" i="7"/>
  <c r="B238" i="7"/>
  <c r="C238" i="7"/>
  <c r="D238" i="7"/>
  <c r="E238" i="7"/>
  <c r="F238" i="7"/>
  <c r="G238" i="7"/>
  <c r="H238" i="7"/>
  <c r="B239" i="7"/>
  <c r="C239" i="7"/>
  <c r="D239" i="7"/>
  <c r="E239" i="7"/>
  <c r="F239" i="7"/>
  <c r="G239" i="7"/>
  <c r="H239" i="7"/>
  <c r="B240" i="7"/>
  <c r="C240" i="7"/>
  <c r="D240" i="7"/>
  <c r="E240" i="7"/>
  <c r="F240" i="7"/>
  <c r="G240" i="7"/>
  <c r="H240" i="7"/>
  <c r="B241" i="7"/>
  <c r="C241" i="7"/>
  <c r="D241" i="7"/>
  <c r="E241" i="7"/>
  <c r="F241" i="7"/>
  <c r="G241" i="7"/>
  <c r="H241" i="7"/>
  <c r="B242" i="7"/>
  <c r="C242" i="7"/>
  <c r="D242" i="7"/>
  <c r="E242" i="7"/>
  <c r="F242" i="7"/>
  <c r="G242" i="7"/>
  <c r="H242" i="7"/>
  <c r="B243" i="7"/>
  <c r="C243" i="7"/>
  <c r="D243" i="7"/>
  <c r="E243" i="7"/>
  <c r="F243" i="7"/>
  <c r="G243" i="7"/>
  <c r="H243" i="7"/>
  <c r="B244" i="7"/>
  <c r="C244" i="7"/>
  <c r="D244" i="7"/>
  <c r="E244" i="7"/>
  <c r="F244" i="7"/>
  <c r="G244" i="7"/>
  <c r="H244" i="7"/>
  <c r="B245" i="7"/>
  <c r="C245" i="7"/>
  <c r="D245" i="7"/>
  <c r="E245" i="7"/>
  <c r="F245" i="7"/>
  <c r="G245" i="7"/>
  <c r="H245" i="7"/>
  <c r="B246" i="7"/>
  <c r="C246" i="7"/>
  <c r="D246" i="7"/>
  <c r="E246" i="7"/>
  <c r="F246" i="7"/>
  <c r="G246" i="7"/>
  <c r="H246" i="7"/>
  <c r="B247" i="7"/>
  <c r="C247" i="7"/>
  <c r="D247" i="7"/>
  <c r="E247" i="7"/>
  <c r="F247" i="7"/>
  <c r="G247" i="7"/>
  <c r="H247" i="7"/>
  <c r="B248" i="7"/>
  <c r="C248" i="7"/>
  <c r="D248" i="7"/>
  <c r="E248" i="7"/>
  <c r="F248" i="7"/>
  <c r="G248" i="7"/>
  <c r="H248" i="7"/>
  <c r="B249" i="7"/>
  <c r="C249" i="7"/>
  <c r="D249" i="7"/>
  <c r="E249" i="7"/>
  <c r="F249" i="7"/>
  <c r="G249" i="7"/>
  <c r="H249" i="7"/>
  <c r="B250" i="7"/>
  <c r="C250" i="7"/>
  <c r="D250" i="7"/>
  <c r="E250" i="7"/>
  <c r="F250" i="7"/>
  <c r="G250" i="7"/>
  <c r="H250" i="7"/>
  <c r="B251" i="7"/>
  <c r="C251" i="7"/>
  <c r="D251" i="7"/>
  <c r="E251" i="7"/>
  <c r="F251" i="7"/>
  <c r="G251" i="7"/>
  <c r="H251" i="7"/>
  <c r="B252" i="7"/>
  <c r="C252" i="7"/>
  <c r="D252" i="7"/>
  <c r="E252" i="7"/>
  <c r="F252" i="7"/>
  <c r="G252" i="7"/>
  <c r="H252" i="7"/>
  <c r="B253" i="7"/>
  <c r="C253" i="7"/>
  <c r="D253" i="7"/>
  <c r="E253" i="7"/>
  <c r="F253" i="7"/>
  <c r="G253" i="7"/>
  <c r="H253" i="7"/>
  <c r="B254" i="7"/>
  <c r="C254" i="7"/>
  <c r="D254" i="7"/>
  <c r="E254" i="7"/>
  <c r="F254" i="7"/>
  <c r="G254" i="7"/>
  <c r="H254" i="7"/>
  <c r="B255" i="7"/>
  <c r="C255" i="7"/>
  <c r="D255" i="7"/>
  <c r="E255" i="7"/>
  <c r="F255" i="7"/>
  <c r="G255" i="7"/>
  <c r="H255" i="7"/>
  <c r="B256" i="7"/>
  <c r="C256" i="7"/>
  <c r="D256" i="7"/>
  <c r="E256" i="7"/>
  <c r="F256" i="7"/>
  <c r="G256" i="7"/>
  <c r="H256" i="7"/>
  <c r="B257" i="7"/>
  <c r="C257" i="7"/>
  <c r="D257" i="7"/>
  <c r="E257" i="7"/>
  <c r="F257" i="7"/>
  <c r="G257" i="7"/>
  <c r="H257" i="7"/>
  <c r="B258" i="7"/>
  <c r="C258" i="7"/>
  <c r="D258" i="7"/>
  <c r="E258" i="7"/>
  <c r="F258" i="7"/>
  <c r="G258" i="7"/>
  <c r="H258" i="7"/>
  <c r="B259" i="7"/>
  <c r="C259" i="7"/>
  <c r="D259" i="7"/>
  <c r="E259" i="7"/>
  <c r="F259" i="7"/>
  <c r="G259" i="7"/>
  <c r="H259" i="7"/>
  <c r="B260" i="7"/>
  <c r="C260" i="7"/>
  <c r="D260" i="7"/>
  <c r="E260" i="7"/>
  <c r="F260" i="7"/>
  <c r="G260" i="7"/>
  <c r="H260" i="7"/>
  <c r="B261" i="7"/>
  <c r="C261" i="7"/>
  <c r="D261" i="7"/>
  <c r="E261" i="7"/>
  <c r="F261" i="7"/>
  <c r="G261" i="7"/>
  <c r="H261" i="7"/>
  <c r="B262" i="7"/>
  <c r="C262" i="7"/>
  <c r="D262" i="7"/>
  <c r="E262" i="7"/>
  <c r="F262" i="7"/>
  <c r="G262" i="7"/>
  <c r="H262" i="7"/>
  <c r="B263" i="7"/>
  <c r="C263" i="7"/>
  <c r="D263" i="7"/>
  <c r="E263" i="7"/>
  <c r="F263" i="7"/>
  <c r="G263" i="7"/>
  <c r="H263" i="7"/>
  <c r="B264" i="7"/>
  <c r="C264" i="7"/>
  <c r="D264" i="7"/>
  <c r="E264" i="7"/>
  <c r="F264" i="7"/>
  <c r="G264" i="7"/>
  <c r="H264" i="7"/>
  <c r="B265" i="7"/>
  <c r="C265" i="7"/>
  <c r="D265" i="7"/>
  <c r="E265" i="7"/>
  <c r="F265" i="7"/>
  <c r="G265" i="7"/>
  <c r="H265" i="7"/>
  <c r="B266" i="7"/>
  <c r="C266" i="7"/>
  <c r="D266" i="7"/>
  <c r="E266" i="7"/>
  <c r="F266" i="7"/>
  <c r="G266" i="7"/>
  <c r="H266" i="7"/>
  <c r="B267" i="7"/>
  <c r="C267" i="7"/>
  <c r="D267" i="7"/>
  <c r="E267" i="7"/>
  <c r="F267" i="7"/>
  <c r="G267" i="7"/>
  <c r="H267" i="7"/>
  <c r="B268" i="7"/>
  <c r="C268" i="7"/>
  <c r="D268" i="7"/>
  <c r="E268" i="7"/>
  <c r="F268" i="7"/>
  <c r="G268" i="7"/>
  <c r="H268" i="7"/>
  <c r="B269" i="7"/>
  <c r="C269" i="7"/>
  <c r="D269" i="7"/>
  <c r="E269" i="7"/>
  <c r="F269" i="7"/>
  <c r="G269" i="7"/>
  <c r="H269" i="7"/>
  <c r="B270" i="7"/>
  <c r="C270" i="7"/>
  <c r="D270" i="7"/>
  <c r="E270" i="7"/>
  <c r="F270" i="7"/>
  <c r="G270" i="7"/>
  <c r="H270" i="7"/>
  <c r="B271" i="7"/>
  <c r="C271" i="7"/>
  <c r="D271" i="7"/>
  <c r="E271" i="7"/>
  <c r="F271" i="7"/>
  <c r="G271" i="7"/>
  <c r="H271" i="7"/>
  <c r="B272" i="7"/>
  <c r="C272" i="7"/>
  <c r="D272" i="7"/>
  <c r="E272" i="7"/>
  <c r="F272" i="7"/>
  <c r="G272" i="7"/>
  <c r="H272" i="7"/>
  <c r="B273" i="7"/>
  <c r="C273" i="7"/>
  <c r="D273" i="7"/>
  <c r="E273" i="7"/>
  <c r="F273" i="7"/>
  <c r="G273" i="7"/>
  <c r="H273" i="7"/>
  <c r="B274" i="7"/>
  <c r="C274" i="7"/>
  <c r="D274" i="7"/>
  <c r="E274" i="7"/>
  <c r="F274" i="7"/>
  <c r="G274" i="7"/>
  <c r="H274" i="7"/>
  <c r="B275" i="7"/>
  <c r="C275" i="7"/>
  <c r="D275" i="7"/>
  <c r="E275" i="7"/>
  <c r="F275" i="7"/>
  <c r="G275" i="7"/>
  <c r="H275" i="7"/>
  <c r="B276" i="7"/>
  <c r="C276" i="7"/>
  <c r="D276" i="7"/>
  <c r="E276" i="7"/>
  <c r="F276" i="7"/>
  <c r="G276" i="7"/>
  <c r="H276" i="7"/>
  <c r="B277" i="7"/>
  <c r="C277" i="7"/>
  <c r="D277" i="7"/>
  <c r="E277" i="7"/>
  <c r="F277" i="7"/>
  <c r="G277" i="7"/>
  <c r="H277" i="7"/>
  <c r="B278" i="7"/>
  <c r="C278" i="7"/>
  <c r="D278" i="7"/>
  <c r="E278" i="7"/>
  <c r="F278" i="7"/>
  <c r="G278" i="7"/>
  <c r="H278" i="7"/>
  <c r="B279" i="7"/>
  <c r="C279" i="7"/>
  <c r="D279" i="7"/>
  <c r="E279" i="7"/>
  <c r="F279" i="7"/>
  <c r="G279" i="7"/>
  <c r="H279" i="7"/>
  <c r="B280" i="7"/>
  <c r="C280" i="7"/>
  <c r="D280" i="7"/>
  <c r="E280" i="7"/>
  <c r="F280" i="7"/>
  <c r="G280" i="7"/>
  <c r="H280" i="7"/>
  <c r="B281" i="7"/>
  <c r="C281" i="7"/>
  <c r="D281" i="7"/>
  <c r="E281" i="7"/>
  <c r="F281" i="7"/>
  <c r="G281" i="7"/>
  <c r="H281" i="7"/>
  <c r="B282" i="7"/>
  <c r="C282" i="7"/>
  <c r="D282" i="7"/>
  <c r="E282" i="7"/>
  <c r="F282" i="7"/>
  <c r="G282" i="7"/>
  <c r="H282" i="7"/>
  <c r="B283" i="7"/>
  <c r="C283" i="7"/>
  <c r="D283" i="7"/>
  <c r="E283" i="7"/>
  <c r="F283" i="7"/>
  <c r="G283" i="7"/>
  <c r="H283" i="7"/>
  <c r="B284" i="7"/>
  <c r="C284" i="7"/>
  <c r="D284" i="7"/>
  <c r="E284" i="7"/>
  <c r="F284" i="7"/>
  <c r="G284" i="7"/>
  <c r="H284" i="7"/>
  <c r="B285" i="7"/>
  <c r="C285" i="7"/>
  <c r="D285" i="7"/>
  <c r="E285" i="7"/>
  <c r="F285" i="7"/>
  <c r="G285" i="7"/>
  <c r="H285" i="7"/>
  <c r="B286" i="7"/>
  <c r="C286" i="7"/>
  <c r="D286" i="7"/>
  <c r="E286" i="7"/>
  <c r="F286" i="7"/>
  <c r="G286" i="7"/>
  <c r="H286" i="7"/>
  <c r="B287" i="7"/>
  <c r="C287" i="7"/>
  <c r="D287" i="7"/>
  <c r="E287" i="7"/>
  <c r="F287" i="7"/>
  <c r="G287" i="7"/>
  <c r="H287" i="7"/>
  <c r="B288" i="7"/>
  <c r="C288" i="7"/>
  <c r="D288" i="7"/>
  <c r="E288" i="7"/>
  <c r="F288" i="7"/>
  <c r="G288" i="7"/>
  <c r="H288" i="7"/>
  <c r="B289" i="7"/>
  <c r="C289" i="7"/>
  <c r="D289" i="7"/>
  <c r="E289" i="7"/>
  <c r="F289" i="7"/>
  <c r="G289" i="7"/>
  <c r="H289" i="7"/>
  <c r="B290" i="7"/>
  <c r="C290" i="7"/>
  <c r="D290" i="7"/>
  <c r="E290" i="7"/>
  <c r="F290" i="7"/>
  <c r="G290" i="7"/>
  <c r="H290" i="7"/>
  <c r="B291" i="7"/>
  <c r="C291" i="7"/>
  <c r="D291" i="7"/>
  <c r="E291" i="7"/>
  <c r="F291" i="7"/>
  <c r="G291" i="7"/>
  <c r="H291" i="7"/>
  <c r="B292" i="7"/>
  <c r="C292" i="7"/>
  <c r="D292" i="7"/>
  <c r="E292" i="7"/>
  <c r="F292" i="7"/>
  <c r="G292" i="7"/>
  <c r="H292" i="7"/>
  <c r="B293" i="7"/>
  <c r="C293" i="7"/>
  <c r="D293" i="7"/>
  <c r="E293" i="7"/>
  <c r="F293" i="7"/>
  <c r="G293" i="7"/>
  <c r="H293" i="7"/>
  <c r="B294" i="7"/>
  <c r="C294" i="7"/>
  <c r="D294" i="7"/>
  <c r="E294" i="7"/>
  <c r="F294" i="7"/>
  <c r="G294" i="7"/>
  <c r="H294" i="7"/>
  <c r="B295" i="7"/>
  <c r="C295" i="7"/>
  <c r="D295" i="7"/>
  <c r="E295" i="7"/>
  <c r="F295" i="7"/>
  <c r="G295" i="7"/>
  <c r="H295" i="7"/>
  <c r="B296" i="7"/>
  <c r="C296" i="7"/>
  <c r="D296" i="7"/>
  <c r="E296" i="7"/>
  <c r="F296" i="7"/>
  <c r="G296" i="7"/>
  <c r="H296" i="7"/>
  <c r="B297" i="7"/>
  <c r="C297" i="7"/>
  <c r="D297" i="7"/>
  <c r="E297" i="7"/>
  <c r="F297" i="7"/>
  <c r="G297" i="7"/>
  <c r="H297" i="7"/>
  <c r="B298" i="7"/>
  <c r="C298" i="7"/>
  <c r="D298" i="7"/>
  <c r="E298" i="7"/>
  <c r="F298" i="7"/>
  <c r="G298" i="7"/>
  <c r="H298" i="7"/>
  <c r="B299" i="7"/>
  <c r="C299" i="7"/>
  <c r="D299" i="7"/>
  <c r="E299" i="7"/>
  <c r="F299" i="7"/>
  <c r="G299" i="7"/>
  <c r="H299" i="7"/>
  <c r="B300" i="7"/>
  <c r="C300" i="7"/>
  <c r="D300" i="7"/>
  <c r="E300" i="7"/>
  <c r="F300" i="7"/>
  <c r="G300" i="7"/>
  <c r="H300" i="7"/>
  <c r="B301" i="7"/>
  <c r="C301" i="7"/>
  <c r="D301" i="7"/>
  <c r="E301" i="7"/>
  <c r="F301" i="7"/>
  <c r="G301" i="7"/>
  <c r="H301" i="7"/>
  <c r="B302" i="7"/>
  <c r="C302" i="7"/>
  <c r="D302" i="7"/>
  <c r="E302" i="7"/>
  <c r="F302" i="7"/>
  <c r="G302" i="7"/>
  <c r="H302" i="7"/>
  <c r="B303" i="7"/>
  <c r="C303" i="7"/>
  <c r="D303" i="7"/>
  <c r="E303" i="7"/>
  <c r="F303" i="7"/>
  <c r="G303" i="7"/>
  <c r="H303" i="7"/>
  <c r="B304" i="7"/>
  <c r="C304" i="7"/>
  <c r="D304" i="7"/>
  <c r="E304" i="7"/>
  <c r="F304" i="7"/>
  <c r="G304" i="7"/>
  <c r="H304" i="7"/>
  <c r="B305" i="7"/>
  <c r="C305" i="7"/>
  <c r="D305" i="7"/>
  <c r="E305" i="7"/>
  <c r="F305" i="7"/>
  <c r="G305" i="7"/>
  <c r="H305" i="7"/>
  <c r="B306" i="7"/>
  <c r="C306" i="7"/>
  <c r="D306" i="7"/>
  <c r="E306" i="7"/>
  <c r="F306" i="7"/>
  <c r="G306" i="7"/>
  <c r="H306" i="7"/>
  <c r="B307" i="7"/>
  <c r="C307" i="7"/>
  <c r="D307" i="7"/>
  <c r="E307" i="7"/>
  <c r="F307" i="7"/>
  <c r="G307" i="7"/>
  <c r="H307" i="7"/>
  <c r="B308" i="7"/>
  <c r="C308" i="7"/>
  <c r="D308" i="7"/>
  <c r="E308" i="7"/>
  <c r="F308" i="7"/>
  <c r="G308" i="7"/>
  <c r="H308" i="7"/>
  <c r="B309" i="7"/>
  <c r="C309" i="7"/>
  <c r="D309" i="7"/>
  <c r="E309" i="7"/>
  <c r="F309" i="7"/>
  <c r="G309" i="7"/>
  <c r="H309" i="7"/>
  <c r="B310" i="7"/>
  <c r="C310" i="7"/>
  <c r="D310" i="7"/>
  <c r="E310" i="7"/>
  <c r="F310" i="7"/>
  <c r="G310" i="7"/>
  <c r="H310" i="7"/>
  <c r="B311" i="7"/>
  <c r="C311" i="7"/>
  <c r="D311" i="7"/>
  <c r="E311" i="7"/>
  <c r="F311" i="7"/>
  <c r="G311" i="7"/>
  <c r="H311" i="7"/>
  <c r="B312" i="7"/>
  <c r="C312" i="7"/>
  <c r="D312" i="7"/>
  <c r="E312" i="7"/>
  <c r="F312" i="7"/>
  <c r="G312" i="7"/>
  <c r="H312" i="7"/>
  <c r="B313" i="7"/>
  <c r="C313" i="7"/>
  <c r="D313" i="7"/>
  <c r="E313" i="7"/>
  <c r="F313" i="7"/>
  <c r="G313" i="7"/>
  <c r="H313" i="7"/>
  <c r="B314" i="7"/>
  <c r="C314" i="7"/>
  <c r="D314" i="7"/>
  <c r="E314" i="7"/>
  <c r="F314" i="7"/>
  <c r="G314" i="7"/>
  <c r="H314" i="7"/>
  <c r="B315" i="7"/>
  <c r="C315" i="7"/>
  <c r="D315" i="7"/>
  <c r="E315" i="7"/>
  <c r="F315" i="7"/>
  <c r="G315" i="7"/>
  <c r="H315" i="7"/>
  <c r="B316" i="7"/>
  <c r="C316" i="7"/>
  <c r="D316" i="7"/>
  <c r="E316" i="7"/>
  <c r="F316" i="7"/>
  <c r="G316" i="7"/>
  <c r="H316" i="7"/>
  <c r="B317" i="7"/>
  <c r="C317" i="7"/>
  <c r="D317" i="7"/>
  <c r="E317" i="7"/>
  <c r="F317" i="7"/>
  <c r="G317" i="7"/>
  <c r="H317" i="7"/>
  <c r="B318" i="7"/>
  <c r="C318" i="7"/>
  <c r="D318" i="7"/>
  <c r="E318" i="7"/>
  <c r="F318" i="7"/>
  <c r="G318" i="7"/>
  <c r="H318" i="7"/>
  <c r="B319" i="7"/>
  <c r="C319" i="7"/>
  <c r="D319" i="7"/>
  <c r="E319" i="7"/>
  <c r="F319" i="7"/>
  <c r="G319" i="7"/>
  <c r="H319" i="7"/>
  <c r="B320" i="7"/>
  <c r="C320" i="7"/>
  <c r="D320" i="7"/>
  <c r="E320" i="7"/>
  <c r="F320" i="7"/>
  <c r="G320" i="7"/>
  <c r="H320" i="7"/>
  <c r="B321" i="7"/>
  <c r="C321" i="7"/>
  <c r="D321" i="7"/>
  <c r="E321" i="7"/>
  <c r="F321" i="7"/>
  <c r="G321" i="7"/>
  <c r="H321" i="7"/>
  <c r="B322" i="7"/>
  <c r="C322" i="7"/>
  <c r="D322" i="7"/>
  <c r="E322" i="7"/>
  <c r="F322" i="7"/>
  <c r="G322" i="7"/>
  <c r="H322" i="7"/>
  <c r="B323" i="7"/>
  <c r="C323" i="7"/>
  <c r="D323" i="7"/>
  <c r="E323" i="7"/>
  <c r="F323" i="7"/>
  <c r="G323" i="7"/>
  <c r="H323" i="7"/>
  <c r="B324" i="7"/>
  <c r="C324" i="7"/>
  <c r="D324" i="7"/>
  <c r="E324" i="7"/>
  <c r="F324" i="7"/>
  <c r="G324" i="7"/>
  <c r="H324" i="7"/>
  <c r="B325" i="7"/>
  <c r="C325" i="7"/>
  <c r="D325" i="7"/>
  <c r="E325" i="7"/>
  <c r="F325" i="7"/>
  <c r="G325" i="7"/>
  <c r="H325" i="7"/>
  <c r="B326" i="7"/>
  <c r="C326" i="7"/>
  <c r="D326" i="7"/>
  <c r="E326" i="7"/>
  <c r="F326" i="7"/>
  <c r="G326" i="7"/>
  <c r="H326" i="7"/>
  <c r="B327" i="7"/>
  <c r="C327" i="7"/>
  <c r="D327" i="7"/>
  <c r="E327" i="7"/>
  <c r="F327" i="7"/>
  <c r="G327" i="7"/>
  <c r="H327" i="7"/>
  <c r="B328" i="7"/>
  <c r="C328" i="7"/>
  <c r="D328" i="7"/>
  <c r="E328" i="7"/>
  <c r="F328" i="7"/>
  <c r="G328" i="7"/>
  <c r="H328" i="7"/>
  <c r="B329" i="7"/>
  <c r="C329" i="7"/>
  <c r="D329" i="7"/>
  <c r="E329" i="7"/>
  <c r="F329" i="7"/>
  <c r="G329" i="7"/>
  <c r="H329" i="7"/>
  <c r="B330" i="7"/>
  <c r="C330" i="7"/>
  <c r="D330" i="7"/>
  <c r="E330" i="7"/>
  <c r="F330" i="7"/>
  <c r="G330" i="7"/>
  <c r="H330" i="7"/>
  <c r="B331" i="7"/>
  <c r="C331" i="7"/>
  <c r="D331" i="7"/>
  <c r="E331" i="7"/>
  <c r="F331" i="7"/>
  <c r="G331" i="7"/>
  <c r="H331" i="7"/>
  <c r="B332" i="7"/>
  <c r="C332" i="7"/>
  <c r="D332" i="7"/>
  <c r="E332" i="7"/>
  <c r="F332" i="7"/>
  <c r="G332" i="7"/>
  <c r="H332" i="7"/>
  <c r="B333" i="7"/>
  <c r="C333" i="7"/>
  <c r="D333" i="7"/>
  <c r="E333" i="7"/>
  <c r="F333" i="7"/>
  <c r="G333" i="7"/>
  <c r="H333" i="7"/>
  <c r="B334" i="7"/>
  <c r="C334" i="7"/>
  <c r="D334" i="7"/>
  <c r="E334" i="7"/>
  <c r="F334" i="7"/>
  <c r="G334" i="7"/>
  <c r="H334" i="7"/>
  <c r="B335" i="7"/>
  <c r="C335" i="7"/>
  <c r="D335" i="7"/>
  <c r="E335" i="7"/>
  <c r="F335" i="7"/>
  <c r="G335" i="7"/>
  <c r="H335" i="7"/>
  <c r="B336" i="7"/>
  <c r="C336" i="7"/>
  <c r="D336" i="7"/>
  <c r="E336" i="7"/>
  <c r="F336" i="7"/>
  <c r="G336" i="7"/>
  <c r="H336" i="7"/>
  <c r="B337" i="7"/>
  <c r="C337" i="7"/>
  <c r="D337" i="7"/>
  <c r="E337" i="7"/>
  <c r="F337" i="7"/>
  <c r="G337" i="7"/>
  <c r="H337" i="7"/>
  <c r="B338" i="7"/>
  <c r="C338" i="7"/>
  <c r="D338" i="7"/>
  <c r="E338" i="7"/>
  <c r="F338" i="7"/>
  <c r="G338" i="7"/>
  <c r="H338" i="7"/>
  <c r="B339" i="7"/>
  <c r="C339" i="7"/>
  <c r="D339" i="7"/>
  <c r="E339" i="7"/>
  <c r="F339" i="7"/>
  <c r="G339" i="7"/>
  <c r="H339" i="7"/>
  <c r="B340" i="7"/>
  <c r="C340" i="7"/>
  <c r="D340" i="7"/>
  <c r="E340" i="7"/>
  <c r="F340" i="7"/>
  <c r="G340" i="7"/>
  <c r="H340" i="7"/>
  <c r="B341" i="7"/>
  <c r="C341" i="7"/>
  <c r="D341" i="7"/>
  <c r="E341" i="7"/>
  <c r="F341" i="7"/>
  <c r="G341" i="7"/>
  <c r="H341" i="7"/>
  <c r="B342" i="7"/>
  <c r="C342" i="7"/>
  <c r="D342" i="7"/>
  <c r="E342" i="7"/>
  <c r="F342" i="7"/>
  <c r="G342" i="7"/>
  <c r="H342" i="7"/>
  <c r="B343" i="7"/>
  <c r="C343" i="7"/>
  <c r="D343" i="7"/>
  <c r="E343" i="7"/>
  <c r="F343" i="7"/>
  <c r="G343" i="7"/>
  <c r="H343" i="7"/>
  <c r="B344" i="7"/>
  <c r="C344" i="7"/>
  <c r="D344" i="7"/>
  <c r="E344" i="7"/>
  <c r="F344" i="7"/>
  <c r="G344" i="7"/>
  <c r="H344" i="7"/>
  <c r="B345" i="7"/>
  <c r="C345" i="7"/>
  <c r="D345" i="7"/>
  <c r="E345" i="7"/>
  <c r="F345" i="7"/>
  <c r="G345" i="7"/>
  <c r="H345" i="7"/>
  <c r="B346" i="7"/>
  <c r="C346" i="7"/>
  <c r="D346" i="7"/>
  <c r="E346" i="7"/>
  <c r="F346" i="7"/>
  <c r="G346" i="7"/>
  <c r="H346" i="7"/>
  <c r="B347" i="7"/>
  <c r="C347" i="7"/>
  <c r="D347" i="7"/>
  <c r="E347" i="7"/>
  <c r="F347" i="7"/>
  <c r="G347" i="7"/>
  <c r="H347" i="7"/>
  <c r="B348" i="7"/>
  <c r="C348" i="7"/>
  <c r="D348" i="7"/>
  <c r="E348" i="7"/>
  <c r="F348" i="7"/>
  <c r="G348" i="7"/>
  <c r="H348" i="7"/>
  <c r="B349" i="7"/>
  <c r="C349" i="7"/>
  <c r="D349" i="7"/>
  <c r="E349" i="7"/>
  <c r="F349" i="7"/>
  <c r="G349" i="7"/>
  <c r="H349" i="7"/>
  <c r="B350" i="7"/>
  <c r="C350" i="7"/>
  <c r="D350" i="7"/>
  <c r="E350" i="7"/>
  <c r="F350" i="7"/>
  <c r="G350" i="7"/>
  <c r="H350" i="7"/>
  <c r="B351" i="7"/>
  <c r="C351" i="7"/>
  <c r="D351" i="7"/>
  <c r="E351" i="7"/>
  <c r="F351" i="7"/>
  <c r="G351" i="7"/>
  <c r="H351" i="7"/>
  <c r="B352" i="7"/>
  <c r="C352" i="7"/>
  <c r="D352" i="7"/>
  <c r="E352" i="7"/>
  <c r="F352" i="7"/>
  <c r="G352" i="7"/>
  <c r="H352" i="7"/>
  <c r="B353" i="7"/>
  <c r="C353" i="7"/>
  <c r="D353" i="7"/>
  <c r="E353" i="7"/>
  <c r="F353" i="7"/>
  <c r="G353" i="7"/>
  <c r="H353" i="7"/>
  <c r="B354" i="7"/>
  <c r="C354" i="7"/>
  <c r="D354" i="7"/>
  <c r="E354" i="7"/>
  <c r="F354" i="7"/>
  <c r="G354" i="7"/>
  <c r="H354" i="7"/>
  <c r="B355" i="7"/>
  <c r="C355" i="7"/>
  <c r="D355" i="7"/>
  <c r="E355" i="7"/>
  <c r="F355" i="7"/>
  <c r="G355" i="7"/>
  <c r="H355" i="7"/>
  <c r="B356" i="7"/>
  <c r="C356" i="7"/>
  <c r="D356" i="7"/>
  <c r="E356" i="7"/>
  <c r="F356" i="7"/>
  <c r="G356" i="7"/>
  <c r="H356" i="7"/>
  <c r="B357" i="7"/>
  <c r="C357" i="7"/>
  <c r="D357" i="7"/>
  <c r="E357" i="7"/>
  <c r="F357" i="7"/>
  <c r="G357" i="7"/>
  <c r="H357" i="7"/>
  <c r="B358" i="7"/>
  <c r="C358" i="7"/>
  <c r="D358" i="7"/>
  <c r="E358" i="7"/>
  <c r="F358" i="7"/>
  <c r="G358" i="7"/>
  <c r="H358" i="7"/>
  <c r="B359" i="7"/>
  <c r="C359" i="7"/>
  <c r="D359" i="7"/>
  <c r="E359" i="7"/>
  <c r="F359" i="7"/>
  <c r="G359" i="7"/>
  <c r="H359" i="7"/>
  <c r="B360" i="7"/>
  <c r="C360" i="7"/>
  <c r="D360" i="7"/>
  <c r="E360" i="7"/>
  <c r="F360" i="7"/>
  <c r="G360" i="7"/>
  <c r="H360" i="7"/>
  <c r="B361" i="7"/>
  <c r="C361" i="7"/>
  <c r="D361" i="7"/>
  <c r="E361" i="7"/>
  <c r="F361" i="7"/>
  <c r="G361" i="7"/>
  <c r="H361" i="7"/>
  <c r="B362" i="7"/>
  <c r="C362" i="7"/>
  <c r="D362" i="7"/>
  <c r="E362" i="7"/>
  <c r="F362" i="7"/>
  <c r="G362" i="7"/>
  <c r="H362" i="7"/>
  <c r="B363" i="7"/>
  <c r="C363" i="7"/>
  <c r="D363" i="7"/>
  <c r="E363" i="7"/>
  <c r="F363" i="7"/>
  <c r="G363" i="7"/>
  <c r="H363" i="7"/>
  <c r="B364" i="7"/>
  <c r="C364" i="7"/>
  <c r="D364" i="7"/>
  <c r="E364" i="7"/>
  <c r="F364" i="7"/>
  <c r="G364" i="7"/>
  <c r="H364" i="7"/>
  <c r="B365" i="7"/>
  <c r="C365" i="7"/>
  <c r="D365" i="7"/>
  <c r="E365" i="7"/>
  <c r="F365" i="7"/>
  <c r="G365" i="7"/>
  <c r="H365" i="7"/>
  <c r="B366" i="7"/>
  <c r="C366" i="7"/>
  <c r="D366" i="7"/>
  <c r="E366" i="7"/>
  <c r="F366" i="7"/>
  <c r="G366" i="7"/>
  <c r="H366" i="7"/>
  <c r="B367" i="7"/>
  <c r="C367" i="7"/>
  <c r="D367" i="7"/>
  <c r="E367" i="7"/>
  <c r="F367" i="7"/>
  <c r="G367" i="7"/>
  <c r="H367" i="7"/>
  <c r="B368" i="7"/>
  <c r="C368" i="7"/>
  <c r="D368" i="7"/>
  <c r="E368" i="7"/>
  <c r="F368" i="7"/>
  <c r="G368" i="7"/>
  <c r="H368" i="7"/>
  <c r="B369" i="7"/>
  <c r="C369" i="7"/>
  <c r="D369" i="7"/>
  <c r="E369" i="7"/>
  <c r="F369" i="7"/>
  <c r="G369" i="7"/>
  <c r="H369" i="7"/>
  <c r="B370" i="7"/>
  <c r="C370" i="7"/>
  <c r="D370" i="7"/>
  <c r="E370" i="7"/>
  <c r="F370" i="7"/>
  <c r="G370" i="7"/>
  <c r="H370" i="7"/>
  <c r="B371" i="7"/>
  <c r="C371" i="7"/>
  <c r="D371" i="7"/>
  <c r="E371" i="7"/>
  <c r="F371" i="7"/>
  <c r="G371" i="7"/>
  <c r="H371" i="7"/>
  <c r="B372" i="7"/>
  <c r="C372" i="7"/>
  <c r="D372" i="7"/>
  <c r="E372" i="7"/>
  <c r="F372" i="7"/>
  <c r="G372" i="7"/>
  <c r="H372" i="7"/>
  <c r="B373" i="7"/>
  <c r="C373" i="7"/>
  <c r="D373" i="7"/>
  <c r="E373" i="7"/>
  <c r="F373" i="7"/>
  <c r="G373" i="7"/>
  <c r="H373" i="7"/>
  <c r="B374" i="7"/>
  <c r="C374" i="7"/>
  <c r="D374" i="7"/>
  <c r="E374" i="7"/>
  <c r="F374" i="7"/>
  <c r="G374" i="7"/>
  <c r="H374" i="7"/>
  <c r="B375" i="7"/>
  <c r="C375" i="7"/>
  <c r="D375" i="7"/>
  <c r="E375" i="7"/>
  <c r="F375" i="7"/>
  <c r="G375" i="7"/>
  <c r="H375" i="7"/>
  <c r="B376" i="7"/>
  <c r="C376" i="7"/>
  <c r="D376" i="7"/>
  <c r="E376" i="7"/>
  <c r="F376" i="7"/>
  <c r="G376" i="7"/>
  <c r="H376" i="7"/>
  <c r="B377" i="7"/>
  <c r="C377" i="7"/>
  <c r="D377" i="7"/>
  <c r="E377" i="7"/>
  <c r="F377" i="7"/>
  <c r="G377" i="7"/>
  <c r="H377" i="7"/>
  <c r="B378" i="7"/>
  <c r="C378" i="7"/>
  <c r="D378" i="7"/>
  <c r="E378" i="7"/>
  <c r="F378" i="7"/>
  <c r="G378" i="7"/>
  <c r="H378" i="7"/>
  <c r="B379" i="7"/>
  <c r="C379" i="7"/>
  <c r="D379" i="7"/>
  <c r="E379" i="7"/>
  <c r="F379" i="7"/>
  <c r="G379" i="7"/>
  <c r="H379" i="7"/>
  <c r="B380" i="7"/>
  <c r="C380" i="7"/>
  <c r="D380" i="7"/>
  <c r="E380" i="7"/>
  <c r="F380" i="7"/>
  <c r="G380" i="7"/>
  <c r="H380" i="7"/>
  <c r="B381" i="7"/>
  <c r="C381" i="7"/>
  <c r="D381" i="7"/>
  <c r="E381" i="7"/>
  <c r="F381" i="7"/>
  <c r="G381" i="7"/>
  <c r="H381" i="7"/>
  <c r="B382" i="7"/>
  <c r="C382" i="7"/>
  <c r="D382" i="7"/>
  <c r="E382" i="7"/>
  <c r="F382" i="7"/>
  <c r="G382" i="7"/>
  <c r="H382" i="7"/>
  <c r="B383" i="7"/>
  <c r="C383" i="7"/>
  <c r="D383" i="7"/>
  <c r="E383" i="7"/>
  <c r="F383" i="7"/>
  <c r="G383" i="7"/>
  <c r="H383" i="7"/>
  <c r="B384" i="7"/>
  <c r="C384" i="7"/>
  <c r="D384" i="7"/>
  <c r="E384" i="7"/>
  <c r="F384" i="7"/>
  <c r="G384" i="7"/>
  <c r="H384" i="7"/>
  <c r="B385" i="7"/>
  <c r="C385" i="7"/>
  <c r="D385" i="7"/>
  <c r="E385" i="7"/>
  <c r="F385" i="7"/>
  <c r="G385" i="7"/>
  <c r="H385" i="7"/>
  <c r="B386" i="7"/>
  <c r="C386" i="7"/>
  <c r="D386" i="7"/>
  <c r="E386" i="7"/>
  <c r="F386" i="7"/>
  <c r="G386" i="7"/>
  <c r="H386" i="7"/>
  <c r="B387" i="7"/>
  <c r="C387" i="7"/>
  <c r="D387" i="7"/>
  <c r="E387" i="7"/>
  <c r="F387" i="7"/>
  <c r="G387" i="7"/>
  <c r="H387" i="7"/>
  <c r="B388" i="7"/>
  <c r="C388" i="7"/>
  <c r="D388" i="7"/>
  <c r="E388" i="7"/>
  <c r="F388" i="7"/>
  <c r="G388" i="7"/>
  <c r="H388" i="7"/>
  <c r="B389" i="7"/>
  <c r="C389" i="7"/>
  <c r="D389" i="7"/>
  <c r="E389" i="7"/>
  <c r="F389" i="7"/>
  <c r="G389" i="7"/>
  <c r="H389" i="7"/>
  <c r="B390" i="7"/>
  <c r="C390" i="7"/>
  <c r="D390" i="7"/>
  <c r="E390" i="7"/>
  <c r="F390" i="7"/>
  <c r="G390" i="7"/>
  <c r="H390" i="7"/>
  <c r="B391" i="7"/>
  <c r="C391" i="7"/>
  <c r="D391" i="7"/>
  <c r="E391" i="7"/>
  <c r="F391" i="7"/>
  <c r="G391" i="7"/>
  <c r="H391" i="7"/>
  <c r="B392" i="7"/>
  <c r="C392" i="7"/>
  <c r="D392" i="7"/>
  <c r="E392" i="7"/>
  <c r="F392" i="7"/>
  <c r="G392" i="7"/>
  <c r="H392" i="7"/>
  <c r="B393" i="7"/>
  <c r="C393" i="7"/>
  <c r="D393" i="7"/>
  <c r="E393" i="7"/>
  <c r="F393" i="7"/>
  <c r="G393" i="7"/>
  <c r="H393" i="7"/>
  <c r="B394" i="7"/>
  <c r="C394" i="7"/>
  <c r="D394" i="7"/>
  <c r="E394" i="7"/>
  <c r="F394" i="7"/>
  <c r="G394" i="7"/>
  <c r="H394" i="7"/>
  <c r="B395" i="7"/>
  <c r="C395" i="7"/>
  <c r="D395" i="7"/>
  <c r="E395" i="7"/>
  <c r="F395" i="7"/>
  <c r="G395" i="7"/>
  <c r="H395" i="7"/>
  <c r="B396" i="7"/>
  <c r="C396" i="7"/>
  <c r="D396" i="7"/>
  <c r="E396" i="7"/>
  <c r="F396" i="7"/>
  <c r="G396" i="7"/>
  <c r="H396" i="7"/>
  <c r="B397" i="7"/>
  <c r="C397" i="7"/>
  <c r="D397" i="7"/>
  <c r="E397" i="7"/>
  <c r="F397" i="7"/>
  <c r="G397" i="7"/>
  <c r="H397" i="7"/>
  <c r="B398" i="7"/>
  <c r="C398" i="7"/>
  <c r="D398" i="7"/>
  <c r="E398" i="7"/>
  <c r="F398" i="7"/>
  <c r="G398" i="7"/>
  <c r="H398" i="7"/>
  <c r="B399" i="7"/>
  <c r="C399" i="7"/>
  <c r="D399" i="7"/>
  <c r="E399" i="7"/>
  <c r="F399" i="7"/>
  <c r="G399" i="7"/>
  <c r="H399" i="7"/>
  <c r="B400" i="7"/>
  <c r="C400" i="7"/>
  <c r="D400" i="7"/>
  <c r="E400" i="7"/>
  <c r="F400" i="7"/>
  <c r="G400" i="7"/>
  <c r="H400" i="7"/>
  <c r="B401" i="7"/>
  <c r="C401" i="7"/>
  <c r="D401" i="7"/>
  <c r="E401" i="7"/>
  <c r="F401" i="7"/>
  <c r="G401" i="7"/>
  <c r="H401" i="7"/>
  <c r="B402" i="7"/>
  <c r="C402" i="7"/>
  <c r="D402" i="7"/>
  <c r="E402" i="7"/>
  <c r="F402" i="7"/>
  <c r="G402" i="7"/>
  <c r="H402" i="7"/>
  <c r="B403" i="7"/>
  <c r="C403" i="7"/>
  <c r="D403" i="7"/>
  <c r="E403" i="7"/>
  <c r="F403" i="7"/>
  <c r="G403" i="7"/>
  <c r="H403" i="7"/>
  <c r="B404" i="7"/>
  <c r="C404" i="7"/>
  <c r="D404" i="7"/>
  <c r="E404" i="7"/>
  <c r="F404" i="7"/>
  <c r="G404" i="7"/>
  <c r="H404" i="7"/>
  <c r="B405" i="7"/>
  <c r="C405" i="7"/>
  <c r="D405" i="7"/>
  <c r="E405" i="7"/>
  <c r="F405" i="7"/>
  <c r="G405" i="7"/>
  <c r="H405" i="7"/>
  <c r="B406" i="7"/>
  <c r="C406" i="7"/>
  <c r="D406" i="7"/>
  <c r="E406" i="7"/>
  <c r="F406" i="7"/>
  <c r="G406" i="7"/>
  <c r="H406" i="7"/>
  <c r="B407" i="7"/>
  <c r="C407" i="7"/>
  <c r="D407" i="7"/>
  <c r="E407" i="7"/>
  <c r="F407" i="7"/>
  <c r="G407" i="7"/>
  <c r="H407" i="7"/>
  <c r="B408" i="7"/>
  <c r="C408" i="7"/>
  <c r="D408" i="7"/>
  <c r="E408" i="7"/>
  <c r="F408" i="7"/>
  <c r="G408" i="7"/>
  <c r="H408" i="7"/>
  <c r="B409" i="7"/>
  <c r="C409" i="7"/>
  <c r="D409" i="7"/>
  <c r="E409" i="7"/>
  <c r="F409" i="7"/>
  <c r="G409" i="7"/>
  <c r="H409" i="7"/>
  <c r="B410" i="7"/>
  <c r="C410" i="7"/>
  <c r="D410" i="7"/>
  <c r="E410" i="7"/>
  <c r="F410" i="7"/>
  <c r="G410" i="7"/>
  <c r="H410" i="7"/>
  <c r="B411" i="7"/>
  <c r="C411" i="7"/>
  <c r="D411" i="7"/>
  <c r="E411" i="7"/>
  <c r="F411" i="7"/>
  <c r="G411" i="7"/>
  <c r="H411" i="7"/>
  <c r="B412" i="7"/>
  <c r="C412" i="7"/>
  <c r="D412" i="7"/>
  <c r="E412" i="7"/>
  <c r="F412" i="7"/>
  <c r="G412" i="7"/>
  <c r="H412" i="7"/>
  <c r="B413" i="7"/>
  <c r="C413" i="7"/>
  <c r="D413" i="7"/>
  <c r="E413" i="7"/>
  <c r="F413" i="7"/>
  <c r="G413" i="7"/>
  <c r="H413" i="7"/>
  <c r="B414" i="7"/>
  <c r="C414" i="7"/>
  <c r="D414" i="7"/>
  <c r="E414" i="7"/>
  <c r="F414" i="7"/>
  <c r="G414" i="7"/>
  <c r="H414" i="7"/>
  <c r="B415" i="7"/>
  <c r="C415" i="7"/>
  <c r="D415" i="7"/>
  <c r="E415" i="7"/>
  <c r="F415" i="7"/>
  <c r="G415" i="7"/>
  <c r="H415" i="7"/>
  <c r="B416" i="7"/>
  <c r="C416" i="7"/>
  <c r="D416" i="7"/>
  <c r="E416" i="7"/>
  <c r="F416" i="7"/>
  <c r="G416" i="7"/>
  <c r="H416" i="7"/>
  <c r="B417" i="7"/>
  <c r="C417" i="7"/>
  <c r="D417" i="7"/>
  <c r="E417" i="7"/>
  <c r="F417" i="7"/>
  <c r="G417" i="7"/>
  <c r="H417" i="7"/>
  <c r="B418" i="7"/>
  <c r="C418" i="7"/>
  <c r="D418" i="7"/>
  <c r="E418" i="7"/>
  <c r="F418" i="7"/>
  <c r="G418" i="7"/>
  <c r="H418" i="7"/>
  <c r="B419" i="7"/>
  <c r="C419" i="7"/>
  <c r="D419" i="7"/>
  <c r="E419" i="7"/>
  <c r="F419" i="7"/>
  <c r="G419" i="7"/>
  <c r="H419" i="7"/>
  <c r="B420" i="7"/>
  <c r="C420" i="7"/>
  <c r="D420" i="7"/>
  <c r="E420" i="7"/>
  <c r="F420" i="7"/>
  <c r="G420" i="7"/>
  <c r="H420" i="7"/>
  <c r="B421" i="7"/>
  <c r="C421" i="7"/>
  <c r="D421" i="7"/>
  <c r="E421" i="7"/>
  <c r="F421" i="7"/>
  <c r="G421" i="7"/>
  <c r="H421" i="7"/>
  <c r="B422" i="7"/>
  <c r="C422" i="7"/>
  <c r="D422" i="7"/>
  <c r="E422" i="7"/>
  <c r="F422" i="7"/>
  <c r="G422" i="7"/>
  <c r="H422" i="7"/>
  <c r="B423" i="7"/>
  <c r="C423" i="7"/>
  <c r="D423" i="7"/>
  <c r="E423" i="7"/>
  <c r="F423" i="7"/>
  <c r="G423" i="7"/>
  <c r="H423" i="7"/>
  <c r="B424" i="7"/>
  <c r="C424" i="7"/>
  <c r="D424" i="7"/>
  <c r="E424" i="7"/>
  <c r="F424" i="7"/>
  <c r="G424" i="7"/>
  <c r="H424" i="7"/>
  <c r="B425" i="7"/>
  <c r="C425" i="7"/>
  <c r="D425" i="7"/>
  <c r="E425" i="7"/>
  <c r="F425" i="7"/>
  <c r="G425" i="7"/>
  <c r="H425" i="7"/>
  <c r="B426" i="7"/>
  <c r="C426" i="7"/>
  <c r="D426" i="7"/>
  <c r="E426" i="7"/>
  <c r="F426" i="7"/>
  <c r="G426" i="7"/>
  <c r="H426" i="7"/>
  <c r="B427" i="7"/>
  <c r="C427" i="7"/>
  <c r="D427" i="7"/>
  <c r="E427" i="7"/>
  <c r="F427" i="7"/>
  <c r="G427" i="7"/>
  <c r="H427" i="7"/>
  <c r="B428" i="7"/>
  <c r="C428" i="7"/>
  <c r="D428" i="7"/>
  <c r="E428" i="7"/>
  <c r="F428" i="7"/>
  <c r="G428" i="7"/>
  <c r="H428" i="7"/>
  <c r="B429" i="7"/>
  <c r="C429" i="7"/>
  <c r="D429" i="7"/>
  <c r="E429" i="7"/>
  <c r="F429" i="7"/>
  <c r="G429" i="7"/>
  <c r="H429" i="7"/>
  <c r="B430" i="7"/>
  <c r="C430" i="7"/>
  <c r="D430" i="7"/>
  <c r="E430" i="7"/>
  <c r="F430" i="7"/>
  <c r="G430" i="7"/>
  <c r="H430" i="7"/>
  <c r="B431" i="7"/>
  <c r="C431" i="7"/>
  <c r="D431" i="7"/>
  <c r="E431" i="7"/>
  <c r="F431" i="7"/>
  <c r="G431" i="7"/>
  <c r="H431" i="7"/>
  <c r="B432" i="7"/>
  <c r="C432" i="7"/>
  <c r="D432" i="7"/>
  <c r="E432" i="7"/>
  <c r="F432" i="7"/>
  <c r="G432" i="7"/>
  <c r="H432" i="7"/>
  <c r="B433" i="7"/>
  <c r="C433" i="7"/>
  <c r="D433" i="7"/>
  <c r="E433" i="7"/>
  <c r="F433" i="7"/>
  <c r="G433" i="7"/>
  <c r="H433" i="7"/>
  <c r="B434" i="7"/>
  <c r="C434" i="7"/>
  <c r="D434" i="7"/>
  <c r="E434" i="7"/>
  <c r="F434" i="7"/>
  <c r="G434" i="7"/>
  <c r="H434" i="7"/>
  <c r="B435" i="7"/>
  <c r="C435" i="7"/>
  <c r="D435" i="7"/>
  <c r="E435" i="7"/>
  <c r="F435" i="7"/>
  <c r="G435" i="7"/>
  <c r="H435" i="7"/>
  <c r="B436" i="7"/>
  <c r="C436" i="7"/>
  <c r="D436" i="7"/>
  <c r="E436" i="7"/>
  <c r="F436" i="7"/>
  <c r="G436" i="7"/>
  <c r="H436" i="7"/>
  <c r="B437" i="7"/>
  <c r="C437" i="7"/>
  <c r="D437" i="7"/>
  <c r="E437" i="7"/>
  <c r="F437" i="7"/>
  <c r="G437" i="7"/>
  <c r="H437" i="7"/>
  <c r="B438" i="7"/>
  <c r="C438" i="7"/>
  <c r="D438" i="7"/>
  <c r="E438" i="7"/>
  <c r="F438" i="7"/>
  <c r="G438" i="7"/>
  <c r="H438" i="7"/>
  <c r="B439" i="7"/>
  <c r="C439" i="7"/>
  <c r="D439" i="7"/>
  <c r="E439" i="7"/>
  <c r="F439" i="7"/>
  <c r="G439" i="7"/>
  <c r="H439" i="7"/>
  <c r="B440" i="7"/>
  <c r="C440" i="7"/>
  <c r="D440" i="7"/>
  <c r="E440" i="7"/>
  <c r="F440" i="7"/>
  <c r="G440" i="7"/>
  <c r="H440" i="7"/>
  <c r="B441" i="7"/>
  <c r="C441" i="7"/>
  <c r="D441" i="7"/>
  <c r="E441" i="7"/>
  <c r="F441" i="7"/>
  <c r="G441" i="7"/>
  <c r="H441" i="7"/>
  <c r="B442" i="7"/>
  <c r="C442" i="7"/>
  <c r="D442" i="7"/>
  <c r="E442" i="7"/>
  <c r="F442" i="7"/>
  <c r="G442" i="7"/>
  <c r="H442" i="7"/>
  <c r="B443" i="7"/>
  <c r="C443" i="7"/>
  <c r="D443" i="7"/>
  <c r="E443" i="7"/>
  <c r="F443" i="7"/>
  <c r="G443" i="7"/>
  <c r="H443" i="7"/>
  <c r="B444" i="7"/>
  <c r="C444" i="7"/>
  <c r="D444" i="7"/>
  <c r="E444" i="7"/>
  <c r="F444" i="7"/>
  <c r="G444" i="7"/>
  <c r="H444" i="7"/>
  <c r="B445" i="7"/>
  <c r="C445" i="7"/>
  <c r="D445" i="7"/>
  <c r="E445" i="7"/>
  <c r="F445" i="7"/>
  <c r="G445" i="7"/>
  <c r="H445" i="7"/>
  <c r="B446" i="7"/>
  <c r="C446" i="7"/>
  <c r="D446" i="7"/>
  <c r="E446" i="7"/>
  <c r="F446" i="7"/>
  <c r="G446" i="7"/>
  <c r="H446" i="7"/>
  <c r="B447" i="7"/>
  <c r="C447" i="7"/>
  <c r="D447" i="7"/>
  <c r="E447" i="7"/>
  <c r="F447" i="7"/>
  <c r="G447" i="7"/>
  <c r="H447" i="7"/>
  <c r="B448" i="7"/>
  <c r="C448" i="7"/>
  <c r="D448" i="7"/>
  <c r="E448" i="7"/>
  <c r="F448" i="7"/>
  <c r="G448" i="7"/>
  <c r="H448" i="7"/>
  <c r="B449" i="7"/>
  <c r="C449" i="7"/>
  <c r="D449" i="7"/>
  <c r="E449" i="7"/>
  <c r="F449" i="7"/>
  <c r="G449" i="7"/>
  <c r="H449" i="7"/>
  <c r="B450" i="7"/>
  <c r="C450" i="7"/>
  <c r="D450" i="7"/>
  <c r="E450" i="7"/>
  <c r="F450" i="7"/>
  <c r="G450" i="7"/>
  <c r="H450" i="7"/>
  <c r="B451" i="7"/>
  <c r="C451" i="7"/>
  <c r="D451" i="7"/>
  <c r="E451" i="7"/>
  <c r="F451" i="7"/>
  <c r="G451" i="7"/>
  <c r="H451" i="7"/>
  <c r="B452" i="7"/>
  <c r="C452" i="7"/>
  <c r="D452" i="7"/>
  <c r="E452" i="7"/>
  <c r="F452" i="7"/>
  <c r="G452" i="7"/>
  <c r="H452" i="7"/>
  <c r="B453" i="7"/>
  <c r="C453" i="7"/>
  <c r="D453" i="7"/>
  <c r="E453" i="7"/>
  <c r="F453" i="7"/>
  <c r="G453" i="7"/>
  <c r="H453" i="7"/>
  <c r="B454" i="7"/>
  <c r="C454" i="7"/>
  <c r="D454" i="7"/>
  <c r="E454" i="7"/>
  <c r="F454" i="7"/>
  <c r="G454" i="7"/>
  <c r="H454" i="7"/>
  <c r="B455" i="7"/>
  <c r="C455" i="7"/>
  <c r="D455" i="7"/>
  <c r="E455" i="7"/>
  <c r="F455" i="7"/>
  <c r="G455" i="7"/>
  <c r="H455" i="7"/>
  <c r="B456" i="7"/>
  <c r="C456" i="7"/>
  <c r="D456" i="7"/>
  <c r="E456" i="7"/>
  <c r="F456" i="7"/>
  <c r="G456" i="7"/>
  <c r="H456" i="7"/>
  <c r="B457" i="7"/>
  <c r="C457" i="7"/>
  <c r="D457" i="7"/>
  <c r="E457" i="7"/>
  <c r="F457" i="7"/>
  <c r="G457" i="7"/>
  <c r="H457" i="7"/>
  <c r="B458" i="7"/>
  <c r="C458" i="7"/>
  <c r="D458" i="7"/>
  <c r="E458" i="7"/>
  <c r="F458" i="7"/>
  <c r="G458" i="7"/>
  <c r="H458" i="7"/>
  <c r="B459" i="7"/>
  <c r="C459" i="7"/>
  <c r="D459" i="7"/>
  <c r="E459" i="7"/>
  <c r="F459" i="7"/>
  <c r="G459" i="7"/>
  <c r="H459" i="7"/>
  <c r="B460" i="7"/>
  <c r="C460" i="7"/>
  <c r="D460" i="7"/>
  <c r="E460" i="7"/>
  <c r="F460" i="7"/>
  <c r="G460" i="7"/>
  <c r="H460" i="7"/>
  <c r="B461" i="7"/>
  <c r="C461" i="7"/>
  <c r="D461" i="7"/>
  <c r="E461" i="7"/>
  <c r="F461" i="7"/>
  <c r="G461" i="7"/>
  <c r="H461" i="7"/>
  <c r="B462" i="7"/>
  <c r="C462" i="7"/>
  <c r="D462" i="7"/>
  <c r="E462" i="7"/>
  <c r="F462" i="7"/>
  <c r="G462" i="7"/>
  <c r="H462" i="7"/>
  <c r="B463" i="7"/>
  <c r="C463" i="7"/>
  <c r="D463" i="7"/>
  <c r="E463" i="7"/>
  <c r="F463" i="7"/>
  <c r="G463" i="7"/>
  <c r="H463" i="7"/>
  <c r="B464" i="7"/>
  <c r="C464" i="7"/>
  <c r="D464" i="7"/>
  <c r="E464" i="7"/>
  <c r="F464" i="7"/>
  <c r="G464" i="7"/>
  <c r="H464" i="7"/>
  <c r="B465" i="7"/>
  <c r="C465" i="7"/>
  <c r="D465" i="7"/>
  <c r="E465" i="7"/>
  <c r="F465" i="7"/>
  <c r="G465" i="7"/>
  <c r="H465" i="7"/>
  <c r="B466" i="7"/>
  <c r="C466" i="7"/>
  <c r="D466" i="7"/>
  <c r="E466" i="7"/>
  <c r="F466" i="7"/>
  <c r="G466" i="7"/>
  <c r="H466" i="7"/>
  <c r="B467" i="7"/>
  <c r="C467" i="7"/>
  <c r="D467" i="7"/>
  <c r="E467" i="7"/>
  <c r="F467" i="7"/>
  <c r="G467" i="7"/>
  <c r="H467" i="7"/>
  <c r="B468" i="7"/>
  <c r="C468" i="7"/>
  <c r="D468" i="7"/>
  <c r="E468" i="7"/>
  <c r="F468" i="7"/>
  <c r="G468" i="7"/>
  <c r="H468" i="7"/>
  <c r="B469" i="7"/>
  <c r="C469" i="7"/>
  <c r="D469" i="7"/>
  <c r="E469" i="7"/>
  <c r="F469" i="7"/>
  <c r="G469" i="7"/>
  <c r="H469" i="7"/>
  <c r="B470" i="7"/>
  <c r="C470" i="7"/>
  <c r="D470" i="7"/>
  <c r="E470" i="7"/>
  <c r="F470" i="7"/>
  <c r="G470" i="7"/>
  <c r="H470" i="7"/>
  <c r="B471" i="7"/>
  <c r="C471" i="7"/>
  <c r="D471" i="7"/>
  <c r="E471" i="7"/>
  <c r="F471" i="7"/>
  <c r="G471" i="7"/>
  <c r="H471" i="7"/>
  <c r="B472" i="7"/>
  <c r="C472" i="7"/>
  <c r="D472" i="7"/>
  <c r="E472" i="7"/>
  <c r="F472" i="7"/>
  <c r="G472" i="7"/>
  <c r="H472" i="7"/>
  <c r="B473" i="7"/>
  <c r="C473" i="7"/>
  <c r="D473" i="7"/>
  <c r="E473" i="7"/>
  <c r="F473" i="7"/>
  <c r="G473" i="7"/>
  <c r="H473" i="7"/>
  <c r="B474" i="7"/>
  <c r="C474" i="7"/>
  <c r="D474" i="7"/>
  <c r="E474" i="7"/>
  <c r="F474" i="7"/>
  <c r="G474" i="7"/>
  <c r="H474" i="7"/>
  <c r="B475" i="7"/>
  <c r="C475" i="7"/>
  <c r="D475" i="7"/>
  <c r="E475" i="7"/>
  <c r="F475" i="7"/>
  <c r="G475" i="7"/>
  <c r="H475" i="7"/>
  <c r="B476" i="7"/>
  <c r="C476" i="7"/>
  <c r="D476" i="7"/>
  <c r="E476" i="7"/>
  <c r="F476" i="7"/>
  <c r="G476" i="7"/>
  <c r="H476" i="7"/>
  <c r="B477" i="7"/>
  <c r="C477" i="7"/>
  <c r="D477" i="7"/>
  <c r="E477" i="7"/>
  <c r="F477" i="7"/>
  <c r="G477" i="7"/>
  <c r="H477" i="7"/>
  <c r="B478" i="7"/>
  <c r="C478" i="7"/>
  <c r="D478" i="7"/>
  <c r="E478" i="7"/>
  <c r="F478" i="7"/>
  <c r="G478" i="7"/>
  <c r="H478" i="7"/>
  <c r="B479" i="7"/>
  <c r="C479" i="7"/>
  <c r="D479" i="7"/>
  <c r="E479" i="7"/>
  <c r="F479" i="7"/>
  <c r="G479" i="7"/>
  <c r="H479" i="7"/>
  <c r="B480" i="7"/>
  <c r="C480" i="7"/>
  <c r="D480" i="7"/>
  <c r="E480" i="7"/>
  <c r="F480" i="7"/>
  <c r="G480" i="7"/>
  <c r="H480" i="7"/>
  <c r="B481" i="7"/>
  <c r="C481" i="7"/>
  <c r="D481" i="7"/>
  <c r="E481" i="7"/>
  <c r="F481" i="7"/>
  <c r="G481" i="7"/>
  <c r="H481" i="7"/>
  <c r="B482" i="7"/>
  <c r="C482" i="7"/>
  <c r="D482" i="7"/>
  <c r="E482" i="7"/>
  <c r="F482" i="7"/>
  <c r="G482" i="7"/>
  <c r="H482" i="7"/>
  <c r="B483" i="7"/>
  <c r="C483" i="7"/>
  <c r="D483" i="7"/>
  <c r="E483" i="7"/>
  <c r="F483" i="7"/>
  <c r="G483" i="7"/>
  <c r="H483" i="7"/>
  <c r="B484" i="7"/>
  <c r="C484" i="7"/>
  <c r="D484" i="7"/>
  <c r="E484" i="7"/>
  <c r="F484" i="7"/>
  <c r="G484" i="7"/>
  <c r="H484" i="7"/>
  <c r="B485" i="7"/>
  <c r="C485" i="7"/>
  <c r="D485" i="7"/>
  <c r="E485" i="7"/>
  <c r="F485" i="7"/>
  <c r="G485" i="7"/>
  <c r="H485" i="7"/>
  <c r="B486" i="7"/>
  <c r="C486" i="7"/>
  <c r="D486" i="7"/>
  <c r="E486" i="7"/>
  <c r="F486" i="7"/>
  <c r="G486" i="7"/>
  <c r="H486" i="7"/>
  <c r="B487" i="7"/>
  <c r="C487" i="7"/>
  <c r="D487" i="7"/>
  <c r="E487" i="7"/>
  <c r="F487" i="7"/>
  <c r="G487" i="7"/>
  <c r="H487" i="7"/>
  <c r="B488" i="7"/>
  <c r="C488" i="7"/>
  <c r="D488" i="7"/>
  <c r="E488" i="7"/>
  <c r="F488" i="7"/>
  <c r="G488" i="7"/>
  <c r="H488" i="7"/>
  <c r="B489" i="7"/>
  <c r="C489" i="7"/>
  <c r="D489" i="7"/>
  <c r="E489" i="7"/>
  <c r="F489" i="7"/>
  <c r="G489" i="7"/>
  <c r="H489" i="7"/>
  <c r="B490" i="7"/>
  <c r="C490" i="7"/>
  <c r="D490" i="7"/>
  <c r="E490" i="7"/>
  <c r="F490" i="7"/>
  <c r="G490" i="7"/>
  <c r="H490" i="7"/>
  <c r="B491" i="7"/>
  <c r="C491" i="7"/>
  <c r="D491" i="7"/>
  <c r="E491" i="7"/>
  <c r="F491" i="7"/>
  <c r="G491" i="7"/>
  <c r="H491" i="7"/>
  <c r="B492" i="7"/>
  <c r="C492" i="7"/>
  <c r="D492" i="7"/>
  <c r="E492" i="7"/>
  <c r="F492" i="7"/>
  <c r="G492" i="7"/>
  <c r="H492" i="7"/>
  <c r="B493" i="7"/>
  <c r="C493" i="7"/>
  <c r="D493" i="7"/>
  <c r="E493" i="7"/>
  <c r="F493" i="7"/>
  <c r="G493" i="7"/>
  <c r="H493" i="7"/>
  <c r="B494" i="7"/>
  <c r="C494" i="7"/>
  <c r="D494" i="7"/>
  <c r="E494" i="7"/>
  <c r="F494" i="7"/>
  <c r="G494" i="7"/>
  <c r="H494" i="7"/>
  <c r="B495" i="7"/>
  <c r="C495" i="7"/>
  <c r="D495" i="7"/>
  <c r="E495" i="7"/>
  <c r="F495" i="7"/>
  <c r="G495" i="7"/>
  <c r="H495" i="7"/>
  <c r="B496" i="7"/>
  <c r="C496" i="7"/>
  <c r="D496" i="7"/>
  <c r="E496" i="7"/>
  <c r="F496" i="7"/>
  <c r="G496" i="7"/>
  <c r="H496" i="7"/>
  <c r="B497" i="7"/>
  <c r="C497" i="7"/>
  <c r="D497" i="7"/>
  <c r="E497" i="7"/>
  <c r="F497" i="7"/>
  <c r="G497" i="7"/>
  <c r="H497" i="7"/>
  <c r="B498" i="7"/>
  <c r="C498" i="7"/>
  <c r="D498" i="7"/>
  <c r="E498" i="7"/>
  <c r="F498" i="7"/>
  <c r="G498" i="7"/>
  <c r="H498" i="7"/>
  <c r="B499" i="7"/>
  <c r="C499" i="7"/>
  <c r="D499" i="7"/>
  <c r="E499" i="7"/>
  <c r="F499" i="7"/>
  <c r="G499" i="7"/>
  <c r="H499" i="7"/>
  <c r="B500" i="7"/>
  <c r="C500" i="7"/>
  <c r="D500" i="7"/>
  <c r="E500" i="7"/>
  <c r="F500" i="7"/>
  <c r="G500" i="7"/>
  <c r="H500" i="7"/>
  <c r="B501" i="7"/>
  <c r="C501" i="7"/>
  <c r="D501" i="7"/>
  <c r="E501" i="7"/>
  <c r="F501" i="7"/>
  <c r="G501" i="7"/>
  <c r="H501" i="7"/>
  <c r="B502" i="7"/>
  <c r="C502" i="7"/>
  <c r="D502" i="7"/>
  <c r="E502" i="7"/>
  <c r="F502" i="7"/>
  <c r="G502" i="7"/>
  <c r="H502" i="7"/>
  <c r="B503" i="7"/>
  <c r="C503" i="7"/>
  <c r="D503" i="7"/>
  <c r="E503" i="7"/>
  <c r="F503" i="7"/>
  <c r="G503" i="7"/>
  <c r="H503" i="7"/>
  <c r="B504" i="7"/>
  <c r="C504" i="7"/>
  <c r="D504" i="7"/>
  <c r="E504" i="7"/>
  <c r="F504" i="7"/>
  <c r="G504" i="7"/>
  <c r="H504" i="7"/>
  <c r="B505" i="7"/>
  <c r="C505" i="7"/>
  <c r="D505" i="7"/>
  <c r="E505" i="7"/>
  <c r="F505" i="7"/>
  <c r="G505" i="7"/>
  <c r="H505" i="7"/>
  <c r="B506" i="7"/>
  <c r="C506" i="7"/>
  <c r="D506" i="7"/>
  <c r="E506" i="7"/>
  <c r="F506" i="7"/>
  <c r="G506" i="7"/>
  <c r="H506" i="7"/>
  <c r="B507" i="7"/>
  <c r="C507" i="7"/>
  <c r="D507" i="7"/>
  <c r="E507" i="7"/>
  <c r="F507" i="7"/>
  <c r="G507" i="7"/>
  <c r="H507" i="7"/>
  <c r="B508" i="7"/>
  <c r="C508" i="7"/>
  <c r="D508" i="7"/>
  <c r="E508" i="7"/>
  <c r="F508" i="7"/>
  <c r="G508" i="7"/>
  <c r="H508" i="7"/>
  <c r="B509" i="7"/>
  <c r="C509" i="7"/>
  <c r="D509" i="7"/>
  <c r="E509" i="7"/>
  <c r="F509" i="7"/>
  <c r="G509" i="7"/>
  <c r="H509" i="7"/>
  <c r="B510" i="7"/>
  <c r="C510" i="7"/>
  <c r="D510" i="7"/>
  <c r="E510" i="7"/>
  <c r="F510" i="7"/>
  <c r="G510" i="7"/>
  <c r="H510" i="7"/>
  <c r="B511" i="7"/>
  <c r="C511" i="7"/>
  <c r="D511" i="7"/>
  <c r="E511" i="7"/>
  <c r="F511" i="7"/>
  <c r="G511" i="7"/>
  <c r="H511" i="7"/>
  <c r="B512" i="7"/>
  <c r="C512" i="7"/>
  <c r="D512" i="7"/>
  <c r="E512" i="7"/>
  <c r="F512" i="7"/>
  <c r="G512" i="7"/>
  <c r="H512" i="7"/>
  <c r="B513" i="7"/>
  <c r="C513" i="7"/>
  <c r="D513" i="7"/>
  <c r="E513" i="7"/>
  <c r="F513" i="7"/>
  <c r="G513" i="7"/>
  <c r="H513" i="7"/>
  <c r="B514" i="7"/>
  <c r="C514" i="7"/>
  <c r="D514" i="7"/>
  <c r="E514" i="7"/>
  <c r="F514" i="7"/>
  <c r="G514" i="7"/>
  <c r="H514" i="7"/>
  <c r="B515" i="7"/>
  <c r="C515" i="7"/>
  <c r="D515" i="7"/>
  <c r="E515" i="7"/>
  <c r="F515" i="7"/>
  <c r="G515" i="7"/>
  <c r="H515" i="7"/>
  <c r="B516" i="7"/>
  <c r="C516" i="7"/>
  <c r="D516" i="7"/>
  <c r="E516" i="7"/>
  <c r="F516" i="7"/>
  <c r="G516" i="7"/>
  <c r="H516" i="7"/>
  <c r="B517" i="7"/>
  <c r="C517" i="7"/>
  <c r="D517" i="7"/>
  <c r="E517" i="7"/>
  <c r="F517" i="7"/>
  <c r="G517" i="7"/>
  <c r="H517" i="7"/>
  <c r="B518" i="7"/>
  <c r="C518" i="7"/>
  <c r="D518" i="7"/>
  <c r="E518" i="7"/>
  <c r="F518" i="7"/>
  <c r="G518" i="7"/>
  <c r="H518" i="7"/>
  <c r="B519" i="7"/>
  <c r="C519" i="7"/>
  <c r="D519" i="7"/>
  <c r="E519" i="7"/>
  <c r="F519" i="7"/>
  <c r="G519" i="7"/>
  <c r="H519" i="7"/>
  <c r="B520" i="7"/>
  <c r="C520" i="7"/>
  <c r="D520" i="7"/>
  <c r="E520" i="7"/>
  <c r="F520" i="7"/>
  <c r="G520" i="7"/>
  <c r="H520" i="7"/>
  <c r="B521" i="7"/>
  <c r="C521" i="7"/>
  <c r="D521" i="7"/>
  <c r="E521" i="7"/>
  <c r="F521" i="7"/>
  <c r="G521" i="7"/>
  <c r="H521" i="7"/>
  <c r="B522" i="7"/>
  <c r="C522" i="7"/>
  <c r="D522" i="7"/>
  <c r="E522" i="7"/>
  <c r="F522" i="7"/>
  <c r="G522" i="7"/>
  <c r="H522" i="7"/>
  <c r="B523" i="7"/>
  <c r="C523" i="7"/>
  <c r="D523" i="7"/>
  <c r="E523" i="7"/>
  <c r="F523" i="7"/>
  <c r="G523" i="7"/>
  <c r="H523" i="7"/>
  <c r="B524" i="7"/>
  <c r="C524" i="7"/>
  <c r="D524" i="7"/>
  <c r="E524" i="7"/>
  <c r="F524" i="7"/>
  <c r="G524" i="7"/>
  <c r="H524" i="7"/>
  <c r="B525" i="7"/>
  <c r="C525" i="7"/>
  <c r="D525" i="7"/>
  <c r="E525" i="7"/>
  <c r="F525" i="7"/>
  <c r="G525" i="7"/>
  <c r="H525" i="7"/>
  <c r="B526" i="7"/>
  <c r="C526" i="7"/>
  <c r="D526" i="7"/>
  <c r="E526" i="7"/>
  <c r="F526" i="7"/>
  <c r="G526" i="7"/>
  <c r="H526" i="7"/>
  <c r="B527" i="7"/>
  <c r="C527" i="7"/>
  <c r="D527" i="7"/>
  <c r="E527" i="7"/>
  <c r="F527" i="7"/>
  <c r="G527" i="7"/>
  <c r="H527" i="7"/>
  <c r="B528" i="7"/>
  <c r="C528" i="7"/>
  <c r="D528" i="7"/>
  <c r="E528" i="7"/>
  <c r="F528" i="7"/>
  <c r="G528" i="7"/>
  <c r="H528" i="7"/>
  <c r="B529" i="7"/>
  <c r="C529" i="7"/>
  <c r="D529" i="7"/>
  <c r="E529" i="7"/>
  <c r="F529" i="7"/>
  <c r="G529" i="7"/>
  <c r="H529" i="7"/>
  <c r="B530" i="7"/>
  <c r="C530" i="7"/>
  <c r="D530" i="7"/>
  <c r="E530" i="7"/>
  <c r="F530" i="7"/>
  <c r="G530" i="7"/>
  <c r="H530" i="7"/>
  <c r="B531" i="7"/>
  <c r="C531" i="7"/>
  <c r="D531" i="7"/>
  <c r="E531" i="7"/>
  <c r="F531" i="7"/>
  <c r="G531" i="7"/>
  <c r="H531" i="7"/>
  <c r="B532" i="7"/>
  <c r="C532" i="7"/>
  <c r="D532" i="7"/>
  <c r="E532" i="7"/>
  <c r="F532" i="7"/>
  <c r="G532" i="7"/>
  <c r="H532" i="7"/>
  <c r="B533" i="7"/>
  <c r="C533" i="7"/>
  <c r="D533" i="7"/>
  <c r="E533" i="7"/>
  <c r="F533" i="7"/>
  <c r="G533" i="7"/>
  <c r="H533" i="7"/>
  <c r="B534" i="7"/>
  <c r="C534" i="7"/>
  <c r="D534" i="7"/>
  <c r="E534" i="7"/>
  <c r="F534" i="7"/>
  <c r="G534" i="7"/>
  <c r="H534" i="7"/>
  <c r="B535" i="7"/>
  <c r="C535" i="7"/>
  <c r="D535" i="7"/>
  <c r="E535" i="7"/>
  <c r="F535" i="7"/>
  <c r="G535" i="7"/>
  <c r="H535" i="7"/>
  <c r="B536" i="7"/>
  <c r="C536" i="7"/>
  <c r="D536" i="7"/>
  <c r="E536" i="7"/>
  <c r="F536" i="7"/>
  <c r="G536" i="7"/>
  <c r="H536" i="7"/>
  <c r="B537" i="7"/>
  <c r="C537" i="7"/>
  <c r="D537" i="7"/>
  <c r="E537" i="7"/>
  <c r="F537" i="7"/>
  <c r="G537" i="7"/>
  <c r="H537" i="7"/>
  <c r="B538" i="7"/>
  <c r="C538" i="7"/>
  <c r="D538" i="7"/>
  <c r="E538" i="7"/>
  <c r="F538" i="7"/>
  <c r="G538" i="7"/>
  <c r="H538" i="7"/>
  <c r="B539" i="7"/>
  <c r="C539" i="7"/>
  <c r="D539" i="7"/>
  <c r="E539" i="7"/>
  <c r="F539" i="7"/>
  <c r="G539" i="7"/>
  <c r="H539" i="7"/>
  <c r="B540" i="7"/>
  <c r="C540" i="7"/>
  <c r="D540" i="7"/>
  <c r="E540" i="7"/>
  <c r="F540" i="7"/>
  <c r="G540" i="7"/>
  <c r="H540" i="7"/>
  <c r="B541" i="7"/>
  <c r="C541" i="7"/>
  <c r="D541" i="7"/>
  <c r="E541" i="7"/>
  <c r="F541" i="7"/>
  <c r="G541" i="7"/>
  <c r="H541" i="7"/>
  <c r="B542" i="7"/>
  <c r="C542" i="7"/>
  <c r="D542" i="7"/>
  <c r="E542" i="7"/>
  <c r="F542" i="7"/>
  <c r="G542" i="7"/>
  <c r="H542" i="7"/>
  <c r="B543" i="7"/>
  <c r="C543" i="7"/>
  <c r="D543" i="7"/>
  <c r="E543" i="7"/>
  <c r="F543" i="7"/>
  <c r="G543" i="7"/>
  <c r="H543" i="7"/>
  <c r="B544" i="7"/>
  <c r="C544" i="7"/>
  <c r="D544" i="7"/>
  <c r="E544" i="7"/>
  <c r="F544" i="7"/>
  <c r="G544" i="7"/>
  <c r="H544" i="7"/>
  <c r="B545" i="7"/>
  <c r="C545" i="7"/>
  <c r="D545" i="7"/>
  <c r="E545" i="7"/>
  <c r="F545" i="7"/>
  <c r="G545" i="7"/>
  <c r="H545" i="7"/>
  <c r="B546" i="7"/>
  <c r="C546" i="7"/>
  <c r="D546" i="7"/>
  <c r="E546" i="7"/>
  <c r="F546" i="7"/>
  <c r="G546" i="7"/>
  <c r="H546" i="7"/>
  <c r="B547" i="7"/>
  <c r="C547" i="7"/>
  <c r="D547" i="7"/>
  <c r="E547" i="7"/>
  <c r="F547" i="7"/>
  <c r="G547" i="7"/>
  <c r="H547" i="7"/>
  <c r="B548" i="7"/>
  <c r="C548" i="7"/>
  <c r="D548" i="7"/>
  <c r="E548" i="7"/>
  <c r="F548" i="7"/>
  <c r="G548" i="7"/>
  <c r="H548" i="7"/>
  <c r="B549" i="7"/>
  <c r="C549" i="7"/>
  <c r="D549" i="7"/>
  <c r="E549" i="7"/>
  <c r="F549" i="7"/>
  <c r="G549" i="7"/>
  <c r="H549" i="7"/>
  <c r="B550" i="7"/>
  <c r="C550" i="7"/>
  <c r="D550" i="7"/>
  <c r="E550" i="7"/>
  <c r="F550" i="7"/>
  <c r="G550" i="7"/>
  <c r="H550" i="7"/>
  <c r="B551" i="7"/>
  <c r="C551" i="7"/>
  <c r="D551" i="7"/>
  <c r="E551" i="7"/>
  <c r="F551" i="7"/>
  <c r="G551" i="7"/>
  <c r="H551" i="7"/>
  <c r="B552" i="7"/>
  <c r="C552" i="7"/>
  <c r="D552" i="7"/>
  <c r="E552" i="7"/>
  <c r="F552" i="7"/>
  <c r="G552" i="7"/>
  <c r="H552" i="7"/>
  <c r="B553" i="7"/>
  <c r="C553" i="7"/>
  <c r="D553" i="7"/>
  <c r="E553" i="7"/>
  <c r="F553" i="7"/>
  <c r="G553" i="7"/>
  <c r="H553" i="7"/>
  <c r="B554" i="7"/>
  <c r="C554" i="7"/>
  <c r="D554" i="7"/>
  <c r="E554" i="7"/>
  <c r="F554" i="7"/>
  <c r="G554" i="7"/>
  <c r="H554" i="7"/>
  <c r="B555" i="7"/>
  <c r="C555" i="7"/>
  <c r="D555" i="7"/>
  <c r="E555" i="7"/>
  <c r="F555" i="7"/>
  <c r="G555" i="7"/>
  <c r="H555" i="7"/>
  <c r="B556" i="7"/>
  <c r="C556" i="7"/>
  <c r="D556" i="7"/>
  <c r="E556" i="7"/>
  <c r="F556" i="7"/>
  <c r="G556" i="7"/>
  <c r="H556" i="7"/>
  <c r="B557" i="7"/>
  <c r="C557" i="7"/>
  <c r="D557" i="7"/>
  <c r="E557" i="7"/>
  <c r="F557" i="7"/>
  <c r="G557" i="7"/>
  <c r="H557" i="7"/>
  <c r="B558" i="7"/>
  <c r="C558" i="7"/>
  <c r="D558" i="7"/>
  <c r="E558" i="7"/>
  <c r="F558" i="7"/>
  <c r="G558" i="7"/>
  <c r="H558" i="7"/>
  <c r="B559" i="7"/>
  <c r="C559" i="7"/>
  <c r="D559" i="7"/>
  <c r="E559" i="7"/>
  <c r="F559" i="7"/>
  <c r="G559" i="7"/>
  <c r="H559" i="7"/>
  <c r="B560" i="7"/>
  <c r="C560" i="7"/>
  <c r="D560" i="7"/>
  <c r="E560" i="7"/>
  <c r="F560" i="7"/>
  <c r="G560" i="7"/>
  <c r="H560" i="7"/>
  <c r="B561" i="7"/>
  <c r="C561" i="7"/>
  <c r="D561" i="7"/>
  <c r="E561" i="7"/>
  <c r="F561" i="7"/>
  <c r="G561" i="7"/>
  <c r="H561" i="7"/>
  <c r="B562" i="7"/>
  <c r="C562" i="7"/>
  <c r="D562" i="7"/>
  <c r="E562" i="7"/>
  <c r="F562" i="7"/>
  <c r="G562" i="7"/>
  <c r="H562" i="7"/>
  <c r="B563" i="7"/>
  <c r="C563" i="7"/>
  <c r="D563" i="7"/>
  <c r="E563" i="7"/>
  <c r="F563" i="7"/>
  <c r="G563" i="7"/>
  <c r="H563" i="7"/>
  <c r="B564" i="7"/>
  <c r="C564" i="7"/>
  <c r="D564" i="7"/>
  <c r="E564" i="7"/>
  <c r="F564" i="7"/>
  <c r="G564" i="7"/>
  <c r="H564" i="7"/>
  <c r="B565" i="7"/>
  <c r="C565" i="7"/>
  <c r="D565" i="7"/>
  <c r="E565" i="7"/>
  <c r="F565" i="7"/>
  <c r="G565" i="7"/>
  <c r="H565" i="7"/>
  <c r="B566" i="7"/>
  <c r="C566" i="7"/>
  <c r="D566" i="7"/>
  <c r="E566" i="7"/>
  <c r="F566" i="7"/>
  <c r="G566" i="7"/>
  <c r="H566" i="7"/>
  <c r="B567" i="7"/>
  <c r="C567" i="7"/>
  <c r="D567" i="7"/>
  <c r="E567" i="7"/>
  <c r="F567" i="7"/>
  <c r="G567" i="7"/>
  <c r="H567" i="7"/>
  <c r="B568" i="7"/>
  <c r="C568" i="7"/>
  <c r="D568" i="7"/>
  <c r="E568" i="7"/>
  <c r="F568" i="7"/>
  <c r="G568" i="7"/>
  <c r="H568" i="7"/>
  <c r="B569" i="7"/>
  <c r="C569" i="7"/>
  <c r="D569" i="7"/>
  <c r="E569" i="7"/>
  <c r="F569" i="7"/>
  <c r="G569" i="7"/>
  <c r="H569" i="7"/>
  <c r="B570" i="7"/>
  <c r="C570" i="7"/>
  <c r="D570" i="7"/>
  <c r="E570" i="7"/>
  <c r="F570" i="7"/>
  <c r="G570" i="7"/>
  <c r="H570" i="7"/>
  <c r="B571" i="7"/>
  <c r="C571" i="7"/>
  <c r="D571" i="7"/>
  <c r="E571" i="7"/>
  <c r="F571" i="7"/>
  <c r="G571" i="7"/>
  <c r="H571" i="7"/>
  <c r="B572" i="7"/>
  <c r="C572" i="7"/>
  <c r="D572" i="7"/>
  <c r="E572" i="7"/>
  <c r="F572" i="7"/>
  <c r="G572" i="7"/>
  <c r="H572" i="7"/>
  <c r="B573" i="7"/>
  <c r="C573" i="7"/>
  <c r="D573" i="7"/>
  <c r="E573" i="7"/>
  <c r="F573" i="7"/>
  <c r="G573" i="7"/>
  <c r="H573" i="7"/>
  <c r="B574" i="7"/>
  <c r="C574" i="7"/>
  <c r="D574" i="7"/>
  <c r="E574" i="7"/>
  <c r="F574" i="7"/>
  <c r="G574" i="7"/>
  <c r="H574" i="7"/>
  <c r="B575" i="7"/>
  <c r="C575" i="7"/>
  <c r="D575" i="7"/>
  <c r="E575" i="7"/>
  <c r="F575" i="7"/>
  <c r="G575" i="7"/>
  <c r="H575" i="7"/>
  <c r="B576" i="7"/>
  <c r="C576" i="7"/>
  <c r="D576" i="7"/>
  <c r="E576" i="7"/>
  <c r="F576" i="7"/>
  <c r="G576" i="7"/>
  <c r="H576" i="7"/>
  <c r="B577" i="7"/>
  <c r="C577" i="7"/>
  <c r="D577" i="7"/>
  <c r="E577" i="7"/>
  <c r="F577" i="7"/>
  <c r="G577" i="7"/>
  <c r="H577" i="7"/>
  <c r="B578" i="7"/>
  <c r="C578" i="7"/>
  <c r="D578" i="7"/>
  <c r="E578" i="7"/>
  <c r="F578" i="7"/>
  <c r="G578" i="7"/>
  <c r="H578" i="7"/>
  <c r="B579" i="7"/>
  <c r="C579" i="7"/>
  <c r="D579" i="7"/>
  <c r="E579" i="7"/>
  <c r="F579" i="7"/>
  <c r="G579" i="7"/>
  <c r="H579" i="7"/>
  <c r="B580" i="7"/>
  <c r="C580" i="7"/>
  <c r="D580" i="7"/>
  <c r="E580" i="7"/>
  <c r="F580" i="7"/>
  <c r="G580" i="7"/>
  <c r="H580" i="7"/>
  <c r="B581" i="7"/>
  <c r="C581" i="7"/>
  <c r="D581" i="7"/>
  <c r="E581" i="7"/>
  <c r="F581" i="7"/>
  <c r="G581" i="7"/>
  <c r="H581" i="7"/>
  <c r="B582" i="7"/>
  <c r="C582" i="7"/>
  <c r="D582" i="7"/>
  <c r="E582" i="7"/>
  <c r="F582" i="7"/>
  <c r="G582" i="7"/>
  <c r="H582" i="7"/>
  <c r="B583" i="7"/>
  <c r="C583" i="7"/>
  <c r="D583" i="7"/>
  <c r="E583" i="7"/>
  <c r="F583" i="7"/>
  <c r="G583" i="7"/>
  <c r="H583" i="7"/>
  <c r="B584" i="7"/>
  <c r="C584" i="7"/>
  <c r="D584" i="7"/>
  <c r="E584" i="7"/>
  <c r="F584" i="7"/>
  <c r="G584" i="7"/>
  <c r="H584" i="7"/>
  <c r="B585" i="7"/>
  <c r="C585" i="7"/>
  <c r="D585" i="7"/>
  <c r="E585" i="7"/>
  <c r="F585" i="7"/>
  <c r="G585" i="7"/>
  <c r="H585" i="7"/>
  <c r="B586" i="7"/>
  <c r="C586" i="7"/>
  <c r="D586" i="7"/>
  <c r="E586" i="7"/>
  <c r="F586" i="7"/>
  <c r="G586" i="7"/>
  <c r="H586" i="7"/>
  <c r="B587" i="7"/>
  <c r="C587" i="7"/>
  <c r="D587" i="7"/>
  <c r="E587" i="7"/>
  <c r="F587" i="7"/>
  <c r="G587" i="7"/>
  <c r="H587" i="7"/>
  <c r="B588" i="7"/>
  <c r="C588" i="7"/>
  <c r="D588" i="7"/>
  <c r="E588" i="7"/>
  <c r="F588" i="7"/>
  <c r="G588" i="7"/>
  <c r="H588" i="7"/>
  <c r="B589" i="7"/>
  <c r="C589" i="7"/>
  <c r="D589" i="7"/>
  <c r="E589" i="7"/>
  <c r="F589" i="7"/>
  <c r="G589" i="7"/>
  <c r="H589" i="7"/>
  <c r="B590" i="7"/>
  <c r="C590" i="7"/>
  <c r="D590" i="7"/>
  <c r="E590" i="7"/>
  <c r="F590" i="7"/>
  <c r="G590" i="7"/>
  <c r="H590" i="7"/>
  <c r="B591" i="7"/>
  <c r="C591" i="7"/>
  <c r="D591" i="7"/>
  <c r="E591" i="7"/>
  <c r="F591" i="7"/>
  <c r="G591" i="7"/>
  <c r="H591" i="7"/>
  <c r="B592" i="7"/>
  <c r="C592" i="7"/>
  <c r="D592" i="7"/>
  <c r="E592" i="7"/>
  <c r="F592" i="7"/>
  <c r="G592" i="7"/>
  <c r="H592" i="7"/>
  <c r="B593" i="7"/>
  <c r="C593" i="7"/>
  <c r="D593" i="7"/>
  <c r="E593" i="7"/>
  <c r="F593" i="7"/>
  <c r="G593" i="7"/>
  <c r="H593" i="7"/>
  <c r="B594" i="7"/>
  <c r="C594" i="7"/>
  <c r="D594" i="7"/>
  <c r="E594" i="7"/>
  <c r="F594" i="7"/>
  <c r="G594" i="7"/>
  <c r="H594" i="7"/>
  <c r="B595" i="7"/>
  <c r="C595" i="7"/>
  <c r="D595" i="7"/>
  <c r="E595" i="7"/>
  <c r="F595" i="7"/>
  <c r="G595" i="7"/>
  <c r="H595" i="7"/>
  <c r="B596" i="7"/>
  <c r="C596" i="7"/>
  <c r="D596" i="7"/>
  <c r="E596" i="7"/>
  <c r="F596" i="7"/>
  <c r="G596" i="7"/>
  <c r="H596" i="7"/>
  <c r="B597" i="7"/>
  <c r="C597" i="7"/>
  <c r="D597" i="7"/>
  <c r="E597" i="7"/>
  <c r="F597" i="7"/>
  <c r="G597" i="7"/>
  <c r="H597" i="7"/>
  <c r="B598" i="7"/>
  <c r="C598" i="7"/>
  <c r="D598" i="7"/>
  <c r="E598" i="7"/>
  <c r="F598" i="7"/>
  <c r="G598" i="7"/>
  <c r="H598" i="7"/>
  <c r="B599" i="7"/>
  <c r="C599" i="7"/>
  <c r="D599" i="7"/>
  <c r="E599" i="7"/>
  <c r="F599" i="7"/>
  <c r="G599" i="7"/>
  <c r="H599" i="7"/>
  <c r="B600" i="7"/>
  <c r="C600" i="7"/>
  <c r="D600" i="7"/>
  <c r="E600" i="7"/>
  <c r="F600" i="7"/>
  <c r="G600" i="7"/>
  <c r="H600" i="7"/>
  <c r="B601" i="7"/>
  <c r="C601" i="7"/>
  <c r="D601" i="7"/>
  <c r="E601" i="7"/>
  <c r="F601" i="7"/>
  <c r="G601" i="7"/>
  <c r="H601" i="7"/>
  <c r="B602" i="7"/>
  <c r="C602" i="7"/>
  <c r="D602" i="7"/>
  <c r="E602" i="7"/>
  <c r="F602" i="7"/>
  <c r="G602" i="7"/>
  <c r="H602" i="7"/>
  <c r="B603" i="7"/>
  <c r="C603" i="7"/>
  <c r="D603" i="7"/>
  <c r="E603" i="7"/>
  <c r="F603" i="7"/>
  <c r="G603" i="7"/>
  <c r="H603" i="7"/>
  <c r="B604" i="7"/>
  <c r="C604" i="7"/>
  <c r="D604" i="7"/>
  <c r="E604" i="7"/>
  <c r="F604" i="7"/>
  <c r="G604" i="7"/>
  <c r="H604" i="7"/>
  <c r="B605" i="7"/>
  <c r="C605" i="7"/>
  <c r="D605" i="7"/>
  <c r="E605" i="7"/>
  <c r="F605" i="7"/>
  <c r="G605" i="7"/>
  <c r="H605" i="7"/>
  <c r="B606" i="7"/>
  <c r="C606" i="7"/>
  <c r="D606" i="7"/>
  <c r="E606" i="7"/>
  <c r="F606" i="7"/>
  <c r="G606" i="7"/>
  <c r="H606" i="7"/>
  <c r="B607" i="7"/>
  <c r="C607" i="7"/>
  <c r="D607" i="7"/>
  <c r="E607" i="7"/>
  <c r="F607" i="7"/>
  <c r="G607" i="7"/>
  <c r="H607" i="7"/>
  <c r="B608" i="7"/>
  <c r="C608" i="7"/>
  <c r="D608" i="7"/>
  <c r="E608" i="7"/>
  <c r="F608" i="7"/>
  <c r="G608" i="7"/>
  <c r="H608" i="7"/>
  <c r="B609" i="7"/>
  <c r="C609" i="7"/>
  <c r="D609" i="7"/>
  <c r="E609" i="7"/>
  <c r="F609" i="7"/>
  <c r="G609" i="7"/>
  <c r="H609" i="7"/>
  <c r="B610" i="7"/>
  <c r="C610" i="7"/>
  <c r="D610" i="7"/>
  <c r="E610" i="7"/>
  <c r="F610" i="7"/>
  <c r="G610" i="7"/>
  <c r="H610" i="7"/>
  <c r="B611" i="7"/>
  <c r="C611" i="7"/>
  <c r="D611" i="7"/>
  <c r="E611" i="7"/>
  <c r="F611" i="7"/>
  <c r="G611" i="7"/>
  <c r="H611" i="7"/>
  <c r="B612" i="7"/>
  <c r="C612" i="7"/>
  <c r="D612" i="7"/>
  <c r="E612" i="7"/>
  <c r="F612" i="7"/>
  <c r="G612" i="7"/>
  <c r="H612" i="7"/>
  <c r="B613" i="7"/>
  <c r="C613" i="7"/>
  <c r="D613" i="7"/>
  <c r="E613" i="7"/>
  <c r="F613" i="7"/>
  <c r="G613" i="7"/>
  <c r="H613" i="7"/>
  <c r="B614" i="7"/>
  <c r="C614" i="7"/>
  <c r="D614" i="7"/>
  <c r="E614" i="7"/>
  <c r="F614" i="7"/>
  <c r="G614" i="7"/>
  <c r="H614" i="7"/>
  <c r="B615" i="7"/>
  <c r="C615" i="7"/>
  <c r="D615" i="7"/>
  <c r="E615" i="7"/>
  <c r="F615" i="7"/>
  <c r="G615" i="7"/>
  <c r="H615" i="7"/>
  <c r="B616" i="7"/>
  <c r="C616" i="7"/>
  <c r="D616" i="7"/>
  <c r="E616" i="7"/>
  <c r="F616" i="7"/>
  <c r="G616" i="7"/>
  <c r="H616" i="7"/>
  <c r="B617" i="7"/>
  <c r="C617" i="7"/>
  <c r="D617" i="7"/>
  <c r="E617" i="7"/>
  <c r="F617" i="7"/>
  <c r="G617" i="7"/>
  <c r="H617" i="7"/>
  <c r="B618" i="7"/>
  <c r="C618" i="7"/>
  <c r="D618" i="7"/>
  <c r="E618" i="7"/>
  <c r="F618" i="7"/>
  <c r="G618" i="7"/>
  <c r="H618" i="7"/>
  <c r="B619" i="7"/>
  <c r="C619" i="7"/>
  <c r="D619" i="7"/>
  <c r="E619" i="7"/>
  <c r="F619" i="7"/>
  <c r="G619" i="7"/>
  <c r="H619" i="7"/>
  <c r="B620" i="7"/>
  <c r="C620" i="7"/>
  <c r="D620" i="7"/>
  <c r="E620" i="7"/>
  <c r="F620" i="7"/>
  <c r="G620" i="7"/>
  <c r="H620" i="7"/>
  <c r="B621" i="7"/>
  <c r="C621" i="7"/>
  <c r="D621" i="7"/>
  <c r="E621" i="7"/>
  <c r="F621" i="7"/>
  <c r="G621" i="7"/>
  <c r="H621" i="7"/>
  <c r="B622" i="7"/>
  <c r="C622" i="7"/>
  <c r="D622" i="7"/>
  <c r="E622" i="7"/>
  <c r="F622" i="7"/>
  <c r="G622" i="7"/>
  <c r="H622" i="7"/>
  <c r="B623" i="7"/>
  <c r="C623" i="7"/>
  <c r="D623" i="7"/>
  <c r="E623" i="7"/>
  <c r="F623" i="7"/>
  <c r="G623" i="7"/>
  <c r="H623" i="7"/>
  <c r="B624" i="7"/>
  <c r="C624" i="7"/>
  <c r="D624" i="7"/>
  <c r="E624" i="7"/>
  <c r="F624" i="7"/>
  <c r="G624" i="7"/>
  <c r="H624" i="7"/>
  <c r="B625" i="7"/>
  <c r="C625" i="7"/>
  <c r="D625" i="7"/>
  <c r="E625" i="7"/>
  <c r="F625" i="7"/>
  <c r="G625" i="7"/>
  <c r="H625" i="7"/>
  <c r="B626" i="7"/>
  <c r="C626" i="7"/>
  <c r="D626" i="7"/>
  <c r="E626" i="7"/>
  <c r="F626" i="7"/>
  <c r="G626" i="7"/>
  <c r="H626" i="7"/>
  <c r="B627" i="7"/>
  <c r="C627" i="7"/>
  <c r="D627" i="7"/>
  <c r="E627" i="7"/>
  <c r="F627" i="7"/>
  <c r="G627" i="7"/>
  <c r="H627" i="7"/>
  <c r="B628" i="7"/>
  <c r="C628" i="7"/>
  <c r="D628" i="7"/>
  <c r="E628" i="7"/>
  <c r="F628" i="7"/>
  <c r="G628" i="7"/>
  <c r="H628" i="7"/>
  <c r="B629" i="7"/>
  <c r="C629" i="7"/>
  <c r="D629" i="7"/>
  <c r="E629" i="7"/>
  <c r="F629" i="7"/>
  <c r="G629" i="7"/>
  <c r="H629" i="7"/>
  <c r="B630" i="7"/>
  <c r="C630" i="7"/>
  <c r="D630" i="7"/>
  <c r="E630" i="7"/>
  <c r="F630" i="7"/>
  <c r="G630" i="7"/>
  <c r="H630" i="7"/>
  <c r="B631" i="7"/>
  <c r="C631" i="7"/>
  <c r="D631" i="7"/>
  <c r="E631" i="7"/>
  <c r="F631" i="7"/>
  <c r="G631" i="7"/>
  <c r="H631" i="7"/>
  <c r="B632" i="7"/>
  <c r="C632" i="7"/>
  <c r="D632" i="7"/>
  <c r="E632" i="7"/>
  <c r="F632" i="7"/>
  <c r="G632" i="7"/>
  <c r="H632" i="7"/>
  <c r="B633" i="7"/>
  <c r="C633" i="7"/>
  <c r="D633" i="7"/>
  <c r="E633" i="7"/>
  <c r="F633" i="7"/>
  <c r="G633" i="7"/>
  <c r="H633" i="7"/>
  <c r="B634" i="7"/>
  <c r="C634" i="7"/>
  <c r="D634" i="7"/>
  <c r="E634" i="7"/>
  <c r="F634" i="7"/>
  <c r="G634" i="7"/>
  <c r="H634" i="7"/>
  <c r="B635" i="7"/>
  <c r="C635" i="7"/>
  <c r="D635" i="7"/>
  <c r="E635" i="7"/>
  <c r="F635" i="7"/>
  <c r="G635" i="7"/>
  <c r="H635" i="7"/>
  <c r="B636" i="7"/>
  <c r="C636" i="7"/>
  <c r="D636" i="7"/>
  <c r="E636" i="7"/>
  <c r="F636" i="7"/>
  <c r="G636" i="7"/>
  <c r="H636" i="7"/>
  <c r="B637" i="7"/>
  <c r="C637" i="7"/>
  <c r="D637" i="7"/>
  <c r="E637" i="7"/>
  <c r="F637" i="7"/>
  <c r="G637" i="7"/>
  <c r="H637" i="7"/>
  <c r="B638" i="7"/>
  <c r="C638" i="7"/>
  <c r="D638" i="7"/>
  <c r="E638" i="7"/>
  <c r="F638" i="7"/>
  <c r="G638" i="7"/>
  <c r="H638" i="7"/>
  <c r="B639" i="7"/>
  <c r="C639" i="7"/>
  <c r="D639" i="7"/>
  <c r="E639" i="7"/>
  <c r="F639" i="7"/>
  <c r="G639" i="7"/>
  <c r="H639" i="7"/>
  <c r="B640" i="7"/>
  <c r="C640" i="7"/>
  <c r="D640" i="7"/>
  <c r="E640" i="7"/>
  <c r="F640" i="7"/>
  <c r="G640" i="7"/>
  <c r="H640" i="7"/>
  <c r="B641" i="7"/>
  <c r="C641" i="7"/>
  <c r="D641" i="7"/>
  <c r="E641" i="7"/>
  <c r="F641" i="7"/>
  <c r="G641" i="7"/>
  <c r="H641" i="7"/>
  <c r="B642" i="7"/>
  <c r="C642" i="7"/>
  <c r="D642" i="7"/>
  <c r="E642" i="7"/>
  <c r="F642" i="7"/>
  <c r="G642" i="7"/>
  <c r="H642" i="7"/>
  <c r="B643" i="7"/>
  <c r="C643" i="7"/>
  <c r="D643" i="7"/>
  <c r="E643" i="7"/>
  <c r="F643" i="7"/>
  <c r="G643" i="7"/>
  <c r="H643" i="7"/>
  <c r="B644" i="7"/>
  <c r="C644" i="7"/>
  <c r="D644" i="7"/>
  <c r="E644" i="7"/>
  <c r="F644" i="7"/>
  <c r="G644" i="7"/>
  <c r="H644" i="7"/>
  <c r="B645" i="7"/>
  <c r="C645" i="7"/>
  <c r="D645" i="7"/>
  <c r="E645" i="7"/>
  <c r="F645" i="7"/>
  <c r="G645" i="7"/>
  <c r="H645" i="7"/>
  <c r="B646" i="7"/>
  <c r="C646" i="7"/>
  <c r="D646" i="7"/>
  <c r="E646" i="7"/>
  <c r="F646" i="7"/>
  <c r="G646" i="7"/>
  <c r="H646" i="7"/>
  <c r="B647" i="7"/>
  <c r="C647" i="7"/>
  <c r="D647" i="7"/>
  <c r="E647" i="7"/>
  <c r="F647" i="7"/>
  <c r="G647" i="7"/>
  <c r="H647" i="7"/>
  <c r="B648" i="7"/>
  <c r="C648" i="7"/>
  <c r="D648" i="7"/>
  <c r="E648" i="7"/>
  <c r="F648" i="7"/>
  <c r="G648" i="7"/>
  <c r="H648" i="7"/>
  <c r="B649" i="7"/>
  <c r="C649" i="7"/>
  <c r="D649" i="7"/>
  <c r="E649" i="7"/>
  <c r="F649" i="7"/>
  <c r="G649" i="7"/>
  <c r="H649" i="7"/>
  <c r="B650" i="7"/>
  <c r="C650" i="7"/>
  <c r="D650" i="7"/>
  <c r="E650" i="7"/>
  <c r="F650" i="7"/>
  <c r="G650" i="7"/>
  <c r="H650" i="7"/>
  <c r="B651" i="7"/>
  <c r="C651" i="7"/>
  <c r="D651" i="7"/>
  <c r="E651" i="7"/>
  <c r="F651" i="7"/>
  <c r="G651" i="7"/>
  <c r="H651" i="7"/>
  <c r="B652" i="7"/>
  <c r="C652" i="7"/>
  <c r="D652" i="7"/>
  <c r="E652" i="7"/>
  <c r="F652" i="7"/>
  <c r="G652" i="7"/>
  <c r="H652" i="7"/>
  <c r="B653" i="7"/>
  <c r="C653" i="7"/>
  <c r="D653" i="7"/>
  <c r="E653" i="7"/>
  <c r="F653" i="7"/>
  <c r="G653" i="7"/>
  <c r="H653" i="7"/>
  <c r="B654" i="7"/>
  <c r="C654" i="7"/>
  <c r="D654" i="7"/>
  <c r="E654" i="7"/>
  <c r="F654" i="7"/>
  <c r="G654" i="7"/>
  <c r="H654" i="7"/>
  <c r="B655" i="7"/>
  <c r="C655" i="7"/>
  <c r="D655" i="7"/>
  <c r="E655" i="7"/>
  <c r="F655" i="7"/>
  <c r="G655" i="7"/>
  <c r="H655" i="7"/>
  <c r="B656" i="7"/>
  <c r="C656" i="7"/>
  <c r="D656" i="7"/>
  <c r="E656" i="7"/>
  <c r="F656" i="7"/>
  <c r="G656" i="7"/>
  <c r="H656" i="7"/>
  <c r="B657" i="7"/>
  <c r="C657" i="7"/>
  <c r="D657" i="7"/>
  <c r="E657" i="7"/>
  <c r="F657" i="7"/>
  <c r="G657" i="7"/>
  <c r="H657" i="7"/>
  <c r="B658" i="7"/>
  <c r="C658" i="7"/>
  <c r="D658" i="7"/>
  <c r="E658" i="7"/>
  <c r="F658" i="7"/>
  <c r="G658" i="7"/>
  <c r="H658" i="7"/>
  <c r="B659" i="7"/>
  <c r="C659" i="7"/>
  <c r="D659" i="7"/>
  <c r="E659" i="7"/>
  <c r="F659" i="7"/>
  <c r="G659" i="7"/>
  <c r="H659" i="7"/>
  <c r="B660" i="7"/>
  <c r="C660" i="7"/>
  <c r="D660" i="7"/>
  <c r="E660" i="7"/>
  <c r="F660" i="7"/>
  <c r="G660" i="7"/>
  <c r="H660" i="7"/>
  <c r="B661" i="7"/>
  <c r="C661" i="7"/>
  <c r="D661" i="7"/>
  <c r="E661" i="7"/>
  <c r="F661" i="7"/>
  <c r="G661" i="7"/>
  <c r="H661" i="7"/>
  <c r="B662" i="7"/>
  <c r="C662" i="7"/>
  <c r="D662" i="7"/>
  <c r="E662" i="7"/>
  <c r="F662" i="7"/>
  <c r="G662" i="7"/>
  <c r="H662" i="7"/>
  <c r="B663" i="7"/>
  <c r="C663" i="7"/>
  <c r="D663" i="7"/>
  <c r="E663" i="7"/>
  <c r="F663" i="7"/>
  <c r="G663" i="7"/>
  <c r="H663" i="7"/>
  <c r="B664" i="7"/>
  <c r="C664" i="7"/>
  <c r="D664" i="7"/>
  <c r="E664" i="7"/>
  <c r="F664" i="7"/>
  <c r="G664" i="7"/>
  <c r="H664" i="7"/>
  <c r="B665" i="7"/>
  <c r="C665" i="7"/>
  <c r="D665" i="7"/>
  <c r="E665" i="7"/>
  <c r="F665" i="7"/>
  <c r="G665" i="7"/>
  <c r="H665" i="7"/>
  <c r="B666" i="7"/>
  <c r="C666" i="7"/>
  <c r="D666" i="7"/>
  <c r="E666" i="7"/>
  <c r="F666" i="7"/>
  <c r="G666" i="7"/>
  <c r="H666" i="7"/>
  <c r="B667" i="7"/>
  <c r="C667" i="7"/>
  <c r="D667" i="7"/>
  <c r="E667" i="7"/>
  <c r="F667" i="7"/>
  <c r="G667" i="7"/>
  <c r="H667" i="7"/>
  <c r="B668" i="7"/>
  <c r="C668" i="7"/>
  <c r="D668" i="7"/>
  <c r="E668" i="7"/>
  <c r="F668" i="7"/>
  <c r="G668" i="7"/>
  <c r="H668" i="7"/>
  <c r="B669" i="7"/>
  <c r="C669" i="7"/>
  <c r="D669" i="7"/>
  <c r="E669" i="7"/>
  <c r="F669" i="7"/>
  <c r="G669" i="7"/>
  <c r="H669" i="7"/>
  <c r="B670" i="7"/>
  <c r="C670" i="7"/>
  <c r="D670" i="7"/>
  <c r="E670" i="7"/>
  <c r="F670" i="7"/>
  <c r="G670" i="7"/>
  <c r="H670" i="7"/>
  <c r="B671" i="7"/>
  <c r="C671" i="7"/>
  <c r="D671" i="7"/>
  <c r="E671" i="7"/>
  <c r="F671" i="7"/>
  <c r="G671" i="7"/>
  <c r="H671" i="7"/>
  <c r="B672" i="7"/>
  <c r="C672" i="7"/>
  <c r="D672" i="7"/>
  <c r="E672" i="7"/>
  <c r="F672" i="7"/>
  <c r="G672" i="7"/>
  <c r="H672" i="7"/>
  <c r="B673" i="7"/>
  <c r="C673" i="7"/>
  <c r="D673" i="7"/>
  <c r="E673" i="7"/>
  <c r="F673" i="7"/>
  <c r="G673" i="7"/>
  <c r="H673" i="7"/>
  <c r="B674" i="7"/>
  <c r="C674" i="7"/>
  <c r="D674" i="7"/>
  <c r="E674" i="7"/>
  <c r="F674" i="7"/>
  <c r="G674" i="7"/>
  <c r="H674" i="7"/>
  <c r="B675" i="7"/>
  <c r="C675" i="7"/>
  <c r="D675" i="7"/>
  <c r="E675" i="7"/>
  <c r="F675" i="7"/>
  <c r="G675" i="7"/>
  <c r="H675" i="7"/>
  <c r="B676" i="7"/>
  <c r="C676" i="7"/>
  <c r="D676" i="7"/>
  <c r="E676" i="7"/>
  <c r="F676" i="7"/>
  <c r="G676" i="7"/>
  <c r="H676" i="7"/>
  <c r="B677" i="7"/>
  <c r="C677" i="7"/>
  <c r="D677" i="7"/>
  <c r="E677" i="7"/>
  <c r="F677" i="7"/>
  <c r="G677" i="7"/>
  <c r="H677" i="7"/>
  <c r="B678" i="7"/>
  <c r="C678" i="7"/>
  <c r="D678" i="7"/>
  <c r="E678" i="7"/>
  <c r="F678" i="7"/>
  <c r="G678" i="7"/>
  <c r="H678" i="7"/>
  <c r="B679" i="7"/>
  <c r="C679" i="7"/>
  <c r="D679" i="7"/>
  <c r="E679" i="7"/>
  <c r="F679" i="7"/>
  <c r="G679" i="7"/>
  <c r="H679" i="7"/>
  <c r="B680" i="7"/>
  <c r="C680" i="7"/>
  <c r="D680" i="7"/>
  <c r="E680" i="7"/>
  <c r="F680" i="7"/>
  <c r="G680" i="7"/>
  <c r="H680" i="7"/>
  <c r="B681" i="7"/>
  <c r="C681" i="7"/>
  <c r="D681" i="7"/>
  <c r="E681" i="7"/>
  <c r="F681" i="7"/>
  <c r="G681" i="7"/>
  <c r="H681" i="7"/>
  <c r="B682" i="7"/>
  <c r="C682" i="7"/>
  <c r="D682" i="7"/>
  <c r="E682" i="7"/>
  <c r="F682" i="7"/>
  <c r="G682" i="7"/>
  <c r="H682" i="7"/>
  <c r="B683" i="7"/>
  <c r="C683" i="7"/>
  <c r="D683" i="7"/>
  <c r="E683" i="7"/>
  <c r="F683" i="7"/>
  <c r="G683" i="7"/>
  <c r="H683" i="7"/>
  <c r="B684" i="7"/>
  <c r="C684" i="7"/>
  <c r="D684" i="7"/>
  <c r="E684" i="7"/>
  <c r="F684" i="7"/>
  <c r="G684" i="7"/>
  <c r="H684" i="7"/>
  <c r="B685" i="7"/>
  <c r="C685" i="7"/>
  <c r="D685" i="7"/>
  <c r="E685" i="7"/>
  <c r="F685" i="7"/>
  <c r="G685" i="7"/>
  <c r="H685" i="7"/>
  <c r="B686" i="7"/>
  <c r="C686" i="7"/>
  <c r="D686" i="7"/>
  <c r="E686" i="7"/>
  <c r="F686" i="7"/>
  <c r="G686" i="7"/>
  <c r="H686" i="7"/>
  <c r="B687" i="7"/>
  <c r="C687" i="7"/>
  <c r="D687" i="7"/>
  <c r="E687" i="7"/>
  <c r="F687" i="7"/>
  <c r="G687" i="7"/>
  <c r="H687" i="7"/>
  <c r="B688" i="7"/>
  <c r="C688" i="7"/>
  <c r="D688" i="7"/>
  <c r="E688" i="7"/>
  <c r="F688" i="7"/>
  <c r="G688" i="7"/>
  <c r="H688" i="7"/>
  <c r="B689" i="7"/>
  <c r="C689" i="7"/>
  <c r="D689" i="7"/>
  <c r="E689" i="7"/>
  <c r="F689" i="7"/>
  <c r="G689" i="7"/>
  <c r="H689" i="7"/>
  <c r="B690" i="7"/>
  <c r="C690" i="7"/>
  <c r="D690" i="7"/>
  <c r="E690" i="7"/>
  <c r="F690" i="7"/>
  <c r="G690" i="7"/>
  <c r="H690" i="7"/>
  <c r="B691" i="7"/>
  <c r="C691" i="7"/>
  <c r="D691" i="7"/>
  <c r="E691" i="7"/>
  <c r="F691" i="7"/>
  <c r="G691" i="7"/>
  <c r="H691" i="7"/>
  <c r="B692" i="7"/>
  <c r="C692" i="7"/>
  <c r="D692" i="7"/>
  <c r="E692" i="7"/>
  <c r="F692" i="7"/>
  <c r="G692" i="7"/>
  <c r="H692" i="7"/>
  <c r="B693" i="7"/>
  <c r="C693" i="7"/>
  <c r="D693" i="7"/>
  <c r="E693" i="7"/>
  <c r="F693" i="7"/>
  <c r="G693" i="7"/>
  <c r="H693" i="7"/>
  <c r="B694" i="7"/>
  <c r="C694" i="7"/>
  <c r="D694" i="7"/>
  <c r="E694" i="7"/>
  <c r="F694" i="7"/>
  <c r="G694" i="7"/>
  <c r="H694" i="7"/>
  <c r="B695" i="7"/>
  <c r="C695" i="7"/>
  <c r="D695" i="7"/>
  <c r="E695" i="7"/>
  <c r="F695" i="7"/>
  <c r="G695" i="7"/>
  <c r="H695" i="7"/>
  <c r="B696" i="7"/>
  <c r="C696" i="7"/>
  <c r="D696" i="7"/>
  <c r="E696" i="7"/>
  <c r="F696" i="7"/>
  <c r="G696" i="7"/>
  <c r="H696" i="7"/>
  <c r="B697" i="7"/>
  <c r="C697" i="7"/>
  <c r="D697" i="7"/>
  <c r="E697" i="7"/>
  <c r="F697" i="7"/>
  <c r="G697" i="7"/>
  <c r="H697" i="7"/>
  <c r="B698" i="7"/>
  <c r="C698" i="7"/>
  <c r="D698" i="7"/>
  <c r="E698" i="7"/>
  <c r="F698" i="7"/>
  <c r="G698" i="7"/>
  <c r="H698" i="7"/>
  <c r="B699" i="7"/>
  <c r="C699" i="7"/>
  <c r="D699" i="7"/>
  <c r="E699" i="7"/>
  <c r="F699" i="7"/>
  <c r="G699" i="7"/>
  <c r="H699" i="7"/>
  <c r="B700" i="7"/>
  <c r="C700" i="7"/>
  <c r="D700" i="7"/>
  <c r="E700" i="7"/>
  <c r="F700" i="7"/>
  <c r="G700" i="7"/>
  <c r="H700" i="7"/>
  <c r="B701" i="7"/>
  <c r="C701" i="7"/>
  <c r="D701" i="7"/>
  <c r="E701" i="7"/>
  <c r="F701" i="7"/>
  <c r="G701" i="7"/>
  <c r="H701" i="7"/>
  <c r="B702" i="7"/>
  <c r="C702" i="7"/>
  <c r="D702" i="7"/>
  <c r="E702" i="7"/>
  <c r="F702" i="7"/>
  <c r="G702" i="7"/>
  <c r="H702" i="7"/>
  <c r="B703" i="7"/>
  <c r="C703" i="7"/>
  <c r="D703" i="7"/>
  <c r="E703" i="7"/>
  <c r="F703" i="7"/>
  <c r="G703" i="7"/>
  <c r="H703" i="7"/>
  <c r="B704" i="7"/>
  <c r="C704" i="7"/>
  <c r="D704" i="7"/>
  <c r="E704" i="7"/>
  <c r="F704" i="7"/>
  <c r="G704" i="7"/>
  <c r="H704" i="7"/>
  <c r="B705" i="7"/>
  <c r="C705" i="7"/>
  <c r="D705" i="7"/>
  <c r="E705" i="7"/>
  <c r="F705" i="7"/>
  <c r="G705" i="7"/>
  <c r="H705" i="7"/>
  <c r="B706" i="7"/>
  <c r="C706" i="7"/>
  <c r="D706" i="7"/>
  <c r="E706" i="7"/>
  <c r="F706" i="7"/>
  <c r="G706" i="7"/>
  <c r="H706" i="7"/>
  <c r="B707" i="7"/>
  <c r="C707" i="7"/>
  <c r="D707" i="7"/>
  <c r="E707" i="7"/>
  <c r="F707" i="7"/>
  <c r="G707" i="7"/>
  <c r="H707" i="7"/>
  <c r="B708" i="7"/>
  <c r="C708" i="7"/>
  <c r="D708" i="7"/>
  <c r="E708" i="7"/>
  <c r="F708" i="7"/>
  <c r="G708" i="7"/>
  <c r="H708" i="7"/>
  <c r="B709" i="7"/>
  <c r="C709" i="7"/>
  <c r="D709" i="7"/>
  <c r="E709" i="7"/>
  <c r="F709" i="7"/>
  <c r="G709" i="7"/>
  <c r="H709" i="7"/>
  <c r="B710" i="7"/>
  <c r="C710" i="7"/>
  <c r="D710" i="7"/>
  <c r="E710" i="7"/>
  <c r="F710" i="7"/>
  <c r="G710" i="7"/>
  <c r="H710" i="7"/>
  <c r="B711" i="7"/>
  <c r="C711" i="7"/>
  <c r="D711" i="7"/>
  <c r="E711" i="7"/>
  <c r="F711" i="7"/>
  <c r="G711" i="7"/>
  <c r="H711" i="7"/>
  <c r="B712" i="7"/>
  <c r="C712" i="7"/>
  <c r="D712" i="7"/>
  <c r="E712" i="7"/>
  <c r="F712" i="7"/>
  <c r="G712" i="7"/>
  <c r="H712" i="7"/>
  <c r="B713" i="7"/>
  <c r="C713" i="7"/>
  <c r="D713" i="7"/>
  <c r="E713" i="7"/>
  <c r="F713" i="7"/>
  <c r="G713" i="7"/>
  <c r="H713" i="7"/>
  <c r="B714" i="7"/>
  <c r="C714" i="7"/>
  <c r="D714" i="7"/>
  <c r="E714" i="7"/>
  <c r="F714" i="7"/>
  <c r="G714" i="7"/>
  <c r="H714" i="7"/>
  <c r="B715" i="7"/>
  <c r="C715" i="7"/>
  <c r="D715" i="7"/>
  <c r="E715" i="7"/>
  <c r="F715" i="7"/>
  <c r="G715" i="7"/>
  <c r="H715" i="7"/>
  <c r="B716" i="7"/>
  <c r="C716" i="7"/>
  <c r="D716" i="7"/>
  <c r="E716" i="7"/>
  <c r="F716" i="7"/>
  <c r="G716" i="7"/>
  <c r="H716" i="7"/>
  <c r="B717" i="7"/>
  <c r="C717" i="7"/>
  <c r="D717" i="7"/>
  <c r="E717" i="7"/>
  <c r="F717" i="7"/>
  <c r="G717" i="7"/>
  <c r="H717" i="7"/>
  <c r="B718" i="7"/>
  <c r="C718" i="7"/>
  <c r="D718" i="7"/>
  <c r="E718" i="7"/>
  <c r="F718" i="7"/>
  <c r="G718" i="7"/>
  <c r="H718" i="7"/>
  <c r="B719" i="7"/>
  <c r="C719" i="7"/>
  <c r="D719" i="7"/>
  <c r="E719" i="7"/>
  <c r="F719" i="7"/>
  <c r="G719" i="7"/>
  <c r="H719" i="7"/>
  <c r="B720" i="7"/>
  <c r="C720" i="7"/>
  <c r="D720" i="7"/>
  <c r="E720" i="7"/>
  <c r="F720" i="7"/>
  <c r="G720" i="7"/>
  <c r="H720" i="7"/>
  <c r="B721" i="7"/>
  <c r="C721" i="7"/>
  <c r="D721" i="7"/>
  <c r="E721" i="7"/>
  <c r="F721" i="7"/>
  <c r="G721" i="7"/>
  <c r="H721" i="7"/>
  <c r="B722" i="7"/>
  <c r="C722" i="7"/>
  <c r="D722" i="7"/>
  <c r="E722" i="7"/>
  <c r="F722" i="7"/>
  <c r="G722" i="7"/>
  <c r="H722" i="7"/>
  <c r="B723" i="7"/>
  <c r="C723" i="7"/>
  <c r="D723" i="7"/>
  <c r="E723" i="7"/>
  <c r="F723" i="7"/>
  <c r="G723" i="7"/>
  <c r="H723" i="7"/>
  <c r="B724" i="7"/>
  <c r="C724" i="7"/>
  <c r="D724" i="7"/>
  <c r="E724" i="7"/>
  <c r="F724" i="7"/>
  <c r="G724" i="7"/>
  <c r="H724" i="7"/>
  <c r="B725" i="7"/>
  <c r="C725" i="7"/>
  <c r="D725" i="7"/>
  <c r="E725" i="7"/>
  <c r="F725" i="7"/>
  <c r="G725" i="7"/>
  <c r="H725" i="7"/>
  <c r="B726" i="7"/>
  <c r="C726" i="7"/>
  <c r="D726" i="7"/>
  <c r="E726" i="7"/>
  <c r="F726" i="7"/>
  <c r="G726" i="7"/>
  <c r="H726" i="7"/>
  <c r="B727" i="7"/>
  <c r="C727" i="7"/>
  <c r="D727" i="7"/>
  <c r="E727" i="7"/>
  <c r="F727" i="7"/>
  <c r="G727" i="7"/>
  <c r="H727" i="7"/>
  <c r="B728" i="7"/>
  <c r="C728" i="7"/>
  <c r="D728" i="7"/>
  <c r="E728" i="7"/>
  <c r="F728" i="7"/>
  <c r="G728" i="7"/>
  <c r="H728" i="7"/>
  <c r="B729" i="7"/>
  <c r="C729" i="7"/>
  <c r="D729" i="7"/>
  <c r="E729" i="7"/>
  <c r="F729" i="7"/>
  <c r="G729" i="7"/>
  <c r="H729" i="7"/>
  <c r="B730" i="7"/>
  <c r="C730" i="7"/>
  <c r="D730" i="7"/>
  <c r="E730" i="7"/>
  <c r="F730" i="7"/>
  <c r="G730" i="7"/>
  <c r="H730" i="7"/>
  <c r="B731" i="7"/>
  <c r="C731" i="7"/>
  <c r="D731" i="7"/>
  <c r="E731" i="7"/>
  <c r="F731" i="7"/>
  <c r="G731" i="7"/>
  <c r="H731" i="7"/>
  <c r="B732" i="7"/>
  <c r="C732" i="7"/>
  <c r="D732" i="7"/>
  <c r="E732" i="7"/>
  <c r="F732" i="7"/>
  <c r="G732" i="7"/>
  <c r="H732" i="7"/>
  <c r="B733" i="7"/>
  <c r="C733" i="7"/>
  <c r="D733" i="7"/>
  <c r="E733" i="7"/>
  <c r="F733" i="7"/>
  <c r="G733" i="7"/>
  <c r="H733" i="7"/>
  <c r="B734" i="7"/>
  <c r="C734" i="7"/>
  <c r="D734" i="7"/>
  <c r="E734" i="7"/>
  <c r="F734" i="7"/>
  <c r="G734" i="7"/>
  <c r="H734" i="7"/>
  <c r="B735" i="7"/>
  <c r="C735" i="7"/>
  <c r="D735" i="7"/>
  <c r="E735" i="7"/>
  <c r="F735" i="7"/>
  <c r="G735" i="7"/>
  <c r="H735" i="7"/>
  <c r="B736" i="7"/>
  <c r="C736" i="7"/>
  <c r="D736" i="7"/>
  <c r="E736" i="7"/>
  <c r="F736" i="7"/>
  <c r="G736" i="7"/>
  <c r="H736" i="7"/>
  <c r="B737" i="7"/>
  <c r="C737" i="7"/>
  <c r="D737" i="7"/>
  <c r="E737" i="7"/>
  <c r="F737" i="7"/>
  <c r="G737" i="7"/>
  <c r="H737" i="7"/>
  <c r="B738" i="7"/>
  <c r="C738" i="7"/>
  <c r="D738" i="7"/>
  <c r="E738" i="7"/>
  <c r="F738" i="7"/>
  <c r="G738" i="7"/>
  <c r="H738" i="7"/>
  <c r="B739" i="7"/>
  <c r="C739" i="7"/>
  <c r="D739" i="7"/>
  <c r="E739" i="7"/>
  <c r="F739" i="7"/>
  <c r="G739" i="7"/>
  <c r="H739" i="7"/>
  <c r="B740" i="7"/>
  <c r="C740" i="7"/>
  <c r="D740" i="7"/>
  <c r="E740" i="7"/>
  <c r="F740" i="7"/>
  <c r="G740" i="7"/>
  <c r="H740" i="7"/>
  <c r="B741" i="7"/>
  <c r="C741" i="7"/>
  <c r="D741" i="7"/>
  <c r="E741" i="7"/>
  <c r="F741" i="7"/>
  <c r="G741" i="7"/>
  <c r="H741" i="7"/>
  <c r="B742" i="7"/>
  <c r="C742" i="7"/>
  <c r="D742" i="7"/>
  <c r="E742" i="7"/>
  <c r="F742" i="7"/>
  <c r="G742" i="7"/>
  <c r="H742" i="7"/>
  <c r="B743" i="7"/>
  <c r="C743" i="7"/>
  <c r="D743" i="7"/>
  <c r="E743" i="7"/>
  <c r="F743" i="7"/>
  <c r="G743" i="7"/>
  <c r="H743" i="7"/>
  <c r="B744" i="7"/>
  <c r="C744" i="7"/>
  <c r="D744" i="7"/>
  <c r="E744" i="7"/>
  <c r="F744" i="7"/>
  <c r="G744" i="7"/>
  <c r="H744" i="7"/>
  <c r="B745" i="7"/>
  <c r="C745" i="7"/>
  <c r="D745" i="7"/>
  <c r="E745" i="7"/>
  <c r="F745" i="7"/>
  <c r="G745" i="7"/>
  <c r="H745" i="7"/>
  <c r="B746" i="7"/>
  <c r="C746" i="7"/>
  <c r="D746" i="7"/>
  <c r="E746" i="7"/>
  <c r="F746" i="7"/>
  <c r="G746" i="7"/>
  <c r="H746" i="7"/>
  <c r="B747" i="7"/>
  <c r="C747" i="7"/>
  <c r="D747" i="7"/>
  <c r="E747" i="7"/>
  <c r="F747" i="7"/>
  <c r="G747" i="7"/>
  <c r="H747" i="7"/>
  <c r="B748" i="7"/>
  <c r="C748" i="7"/>
  <c r="D748" i="7"/>
  <c r="E748" i="7"/>
  <c r="F748" i="7"/>
  <c r="G748" i="7"/>
  <c r="H748" i="7"/>
  <c r="B749" i="7"/>
  <c r="C749" i="7"/>
  <c r="D749" i="7"/>
  <c r="E749" i="7"/>
  <c r="F749" i="7"/>
  <c r="G749" i="7"/>
  <c r="H749" i="7"/>
  <c r="B750" i="7"/>
  <c r="C750" i="7"/>
  <c r="D750" i="7"/>
  <c r="E750" i="7"/>
  <c r="F750" i="7"/>
  <c r="G750" i="7"/>
  <c r="H750" i="7"/>
  <c r="B751" i="7"/>
  <c r="C751" i="7"/>
  <c r="D751" i="7"/>
  <c r="E751" i="7"/>
  <c r="F751" i="7"/>
  <c r="G751" i="7"/>
  <c r="H751" i="7"/>
  <c r="B752" i="7"/>
  <c r="C752" i="7"/>
  <c r="D752" i="7"/>
  <c r="E752" i="7"/>
  <c r="F752" i="7"/>
  <c r="G752" i="7"/>
  <c r="H752" i="7"/>
  <c r="B753" i="7"/>
  <c r="C753" i="7"/>
  <c r="D753" i="7"/>
  <c r="E753" i="7"/>
  <c r="F753" i="7"/>
  <c r="G753" i="7"/>
  <c r="H753" i="7"/>
  <c r="B754" i="7"/>
  <c r="C754" i="7"/>
  <c r="D754" i="7"/>
  <c r="E754" i="7"/>
  <c r="F754" i="7"/>
  <c r="G754" i="7"/>
  <c r="H754" i="7"/>
  <c r="B755" i="7"/>
  <c r="C755" i="7"/>
  <c r="D755" i="7"/>
  <c r="E755" i="7"/>
  <c r="F755" i="7"/>
  <c r="G755" i="7"/>
  <c r="H755" i="7"/>
  <c r="B756" i="7"/>
  <c r="C756" i="7"/>
  <c r="D756" i="7"/>
  <c r="E756" i="7"/>
  <c r="F756" i="7"/>
  <c r="G756" i="7"/>
  <c r="H756" i="7"/>
  <c r="B757" i="7"/>
  <c r="C757" i="7"/>
  <c r="D757" i="7"/>
  <c r="E757" i="7"/>
  <c r="F757" i="7"/>
  <c r="G757" i="7"/>
  <c r="H757" i="7"/>
  <c r="B758" i="7"/>
  <c r="C758" i="7"/>
  <c r="D758" i="7"/>
  <c r="E758" i="7"/>
  <c r="F758" i="7"/>
  <c r="G758" i="7"/>
  <c r="H758" i="7"/>
  <c r="B759" i="7"/>
  <c r="C759" i="7"/>
  <c r="D759" i="7"/>
  <c r="E759" i="7"/>
  <c r="F759" i="7"/>
  <c r="G759" i="7"/>
  <c r="H759" i="7"/>
  <c r="B760" i="7"/>
  <c r="C760" i="7"/>
  <c r="D760" i="7"/>
  <c r="E760" i="7"/>
  <c r="F760" i="7"/>
  <c r="G760" i="7"/>
  <c r="H760" i="7"/>
  <c r="B761" i="7"/>
  <c r="C761" i="7"/>
  <c r="D761" i="7"/>
  <c r="E761" i="7"/>
  <c r="F761" i="7"/>
  <c r="G761" i="7"/>
  <c r="H761" i="7"/>
  <c r="B762" i="7"/>
  <c r="C762" i="7"/>
  <c r="D762" i="7"/>
  <c r="E762" i="7"/>
  <c r="F762" i="7"/>
  <c r="G762" i="7"/>
  <c r="H762" i="7"/>
  <c r="B763" i="7"/>
  <c r="C763" i="7"/>
  <c r="D763" i="7"/>
  <c r="E763" i="7"/>
  <c r="F763" i="7"/>
  <c r="G763" i="7"/>
  <c r="H763" i="7"/>
  <c r="B764" i="7"/>
  <c r="C764" i="7"/>
  <c r="D764" i="7"/>
  <c r="E764" i="7"/>
  <c r="F764" i="7"/>
  <c r="G764" i="7"/>
  <c r="H764" i="7"/>
  <c r="B765" i="7"/>
  <c r="C765" i="7"/>
  <c r="D765" i="7"/>
  <c r="E765" i="7"/>
  <c r="F765" i="7"/>
  <c r="G765" i="7"/>
  <c r="H765" i="7"/>
  <c r="B766" i="7"/>
  <c r="C766" i="7"/>
  <c r="D766" i="7"/>
  <c r="E766" i="7"/>
  <c r="F766" i="7"/>
  <c r="G766" i="7"/>
  <c r="H766" i="7"/>
  <c r="B767" i="7"/>
  <c r="C767" i="7"/>
  <c r="D767" i="7"/>
  <c r="E767" i="7"/>
  <c r="F767" i="7"/>
  <c r="G767" i="7"/>
  <c r="H767" i="7"/>
  <c r="B768" i="7"/>
  <c r="C768" i="7"/>
  <c r="D768" i="7"/>
  <c r="E768" i="7"/>
  <c r="F768" i="7"/>
  <c r="G768" i="7"/>
  <c r="H768" i="7"/>
  <c r="B769" i="7"/>
  <c r="C769" i="7"/>
  <c r="D769" i="7"/>
  <c r="E769" i="7"/>
  <c r="F769" i="7"/>
  <c r="G769" i="7"/>
  <c r="H769" i="7"/>
  <c r="B770" i="7"/>
  <c r="C770" i="7"/>
  <c r="D770" i="7"/>
  <c r="E770" i="7"/>
  <c r="F770" i="7"/>
  <c r="G770" i="7"/>
  <c r="H770" i="7"/>
  <c r="B771" i="7"/>
  <c r="C771" i="7"/>
  <c r="D771" i="7"/>
  <c r="E771" i="7"/>
  <c r="F771" i="7"/>
  <c r="G771" i="7"/>
  <c r="H771" i="7"/>
  <c r="B772" i="7"/>
  <c r="C772" i="7"/>
  <c r="D772" i="7"/>
  <c r="E772" i="7"/>
  <c r="F772" i="7"/>
  <c r="G772" i="7"/>
  <c r="H772" i="7"/>
  <c r="B773" i="7"/>
  <c r="C773" i="7"/>
  <c r="D773" i="7"/>
  <c r="E773" i="7"/>
  <c r="F773" i="7"/>
  <c r="G773" i="7"/>
  <c r="H773" i="7"/>
  <c r="B774" i="7"/>
  <c r="C774" i="7"/>
  <c r="D774" i="7"/>
  <c r="E774" i="7"/>
  <c r="F774" i="7"/>
  <c r="G774" i="7"/>
  <c r="H774" i="7"/>
  <c r="B775" i="7"/>
  <c r="C775" i="7"/>
  <c r="D775" i="7"/>
  <c r="E775" i="7"/>
  <c r="F775" i="7"/>
  <c r="G775" i="7"/>
  <c r="H775" i="7"/>
  <c r="B776" i="7"/>
  <c r="C776" i="7"/>
  <c r="D776" i="7"/>
  <c r="E776" i="7"/>
  <c r="F776" i="7"/>
  <c r="G776" i="7"/>
  <c r="H776" i="7"/>
  <c r="B777" i="7"/>
  <c r="C777" i="7"/>
  <c r="D777" i="7"/>
  <c r="E777" i="7"/>
  <c r="F777" i="7"/>
  <c r="G777" i="7"/>
  <c r="H777" i="7"/>
  <c r="B778" i="7"/>
  <c r="C778" i="7"/>
  <c r="D778" i="7"/>
  <c r="E778" i="7"/>
  <c r="F778" i="7"/>
  <c r="G778" i="7"/>
  <c r="H778" i="7"/>
  <c r="B779" i="7"/>
  <c r="C779" i="7"/>
  <c r="D779" i="7"/>
  <c r="E779" i="7"/>
  <c r="F779" i="7"/>
  <c r="G779" i="7"/>
  <c r="H779" i="7"/>
  <c r="B780" i="7"/>
  <c r="C780" i="7"/>
  <c r="D780" i="7"/>
  <c r="E780" i="7"/>
  <c r="F780" i="7"/>
  <c r="G780" i="7"/>
  <c r="H780" i="7"/>
  <c r="B781" i="7"/>
  <c r="C781" i="7"/>
  <c r="D781" i="7"/>
  <c r="E781" i="7"/>
  <c r="F781" i="7"/>
  <c r="G781" i="7"/>
  <c r="H781" i="7"/>
  <c r="B782" i="7"/>
  <c r="C782" i="7"/>
  <c r="D782" i="7"/>
  <c r="E782" i="7"/>
  <c r="F782" i="7"/>
  <c r="G782" i="7"/>
  <c r="H782" i="7"/>
  <c r="B783" i="7"/>
  <c r="C783" i="7"/>
  <c r="D783" i="7"/>
  <c r="E783" i="7"/>
  <c r="F783" i="7"/>
  <c r="G783" i="7"/>
  <c r="H783" i="7"/>
  <c r="B784" i="7"/>
  <c r="C784" i="7"/>
  <c r="D784" i="7"/>
  <c r="E784" i="7"/>
  <c r="F784" i="7"/>
  <c r="G784" i="7"/>
  <c r="H784" i="7"/>
  <c r="B785" i="7"/>
  <c r="C785" i="7"/>
  <c r="D785" i="7"/>
  <c r="E785" i="7"/>
  <c r="F785" i="7"/>
  <c r="G785" i="7"/>
  <c r="H785" i="7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37" i="6"/>
  <c r="C37" i="6"/>
  <c r="D37" i="6"/>
  <c r="E37" i="6"/>
  <c r="F37" i="6"/>
  <c r="G37" i="6"/>
  <c r="B38" i="6"/>
  <c r="C38" i="6"/>
  <c r="D38" i="6"/>
  <c r="E38" i="6"/>
  <c r="F38" i="6"/>
  <c r="G38" i="6"/>
  <c r="B39" i="6"/>
  <c r="C39" i="6"/>
  <c r="D39" i="6"/>
  <c r="E39" i="6"/>
  <c r="F39" i="6"/>
  <c r="G39" i="6"/>
  <c r="B40" i="6"/>
  <c r="C40" i="6"/>
  <c r="D40" i="6"/>
  <c r="E40" i="6"/>
  <c r="F40" i="6"/>
  <c r="G40" i="6"/>
  <c r="B41" i="6"/>
  <c r="C41" i="6"/>
  <c r="D41" i="6"/>
  <c r="E41" i="6"/>
  <c r="F41" i="6"/>
  <c r="G41" i="6"/>
  <c r="B42" i="6"/>
  <c r="C42" i="6"/>
  <c r="D42" i="6"/>
  <c r="E42" i="6"/>
  <c r="F42" i="6"/>
  <c r="G42" i="6"/>
  <c r="B43" i="6"/>
  <c r="C43" i="6"/>
  <c r="D43" i="6"/>
  <c r="E43" i="6"/>
  <c r="F43" i="6"/>
  <c r="G43" i="6"/>
  <c r="B44" i="6"/>
  <c r="C44" i="6"/>
  <c r="D44" i="6"/>
  <c r="E44" i="6"/>
  <c r="F44" i="6"/>
  <c r="G44" i="6"/>
  <c r="B45" i="6"/>
  <c r="C45" i="6"/>
  <c r="D45" i="6"/>
  <c r="E45" i="6"/>
  <c r="F45" i="6"/>
  <c r="G45" i="6"/>
  <c r="B46" i="6"/>
  <c r="C46" i="6"/>
  <c r="D46" i="6"/>
  <c r="E46" i="6"/>
  <c r="F46" i="6"/>
  <c r="G46" i="6"/>
  <c r="B47" i="6"/>
  <c r="C47" i="6"/>
  <c r="D47" i="6"/>
  <c r="E47" i="6"/>
  <c r="F47" i="6"/>
  <c r="G47" i="6"/>
  <c r="B48" i="6"/>
  <c r="C48" i="6"/>
  <c r="D48" i="6"/>
  <c r="E48" i="6"/>
  <c r="F48" i="6"/>
  <c r="G48" i="6"/>
  <c r="B49" i="6"/>
  <c r="C49" i="6"/>
  <c r="D49" i="6"/>
  <c r="E49" i="6"/>
  <c r="F49" i="6"/>
  <c r="G49" i="6"/>
  <c r="B50" i="6"/>
  <c r="C50" i="6"/>
  <c r="D50" i="6"/>
  <c r="E50" i="6"/>
  <c r="F50" i="6"/>
  <c r="G50" i="6"/>
  <c r="B51" i="6"/>
  <c r="C51" i="6"/>
  <c r="D51" i="6"/>
  <c r="E51" i="6"/>
  <c r="F51" i="6"/>
  <c r="G51" i="6"/>
  <c r="B52" i="6"/>
  <c r="C52" i="6"/>
  <c r="D52" i="6"/>
  <c r="E52" i="6"/>
  <c r="F52" i="6"/>
  <c r="G52" i="6"/>
  <c r="B53" i="6"/>
  <c r="C53" i="6"/>
  <c r="D53" i="6"/>
  <c r="E53" i="6"/>
  <c r="F53" i="6"/>
  <c r="G53" i="6"/>
  <c r="B54" i="6"/>
  <c r="C54" i="6"/>
  <c r="D54" i="6"/>
  <c r="E54" i="6"/>
  <c r="F54" i="6"/>
  <c r="G54" i="6"/>
  <c r="B55" i="6"/>
  <c r="C55" i="6"/>
  <c r="D55" i="6"/>
  <c r="E55" i="6"/>
  <c r="F55" i="6"/>
  <c r="G55" i="6"/>
  <c r="B56" i="6"/>
  <c r="C56" i="6"/>
  <c r="D56" i="6"/>
  <c r="E56" i="6"/>
  <c r="F56" i="6"/>
  <c r="G56" i="6"/>
  <c r="B57" i="6"/>
  <c r="C57" i="6"/>
  <c r="D57" i="6"/>
  <c r="E57" i="6"/>
  <c r="F57" i="6"/>
  <c r="G57" i="6"/>
  <c r="B58" i="6"/>
  <c r="C58" i="6"/>
  <c r="D58" i="6"/>
  <c r="E58" i="6"/>
  <c r="F58" i="6"/>
  <c r="G58" i="6"/>
  <c r="B59" i="6"/>
  <c r="C59" i="6"/>
  <c r="D59" i="6"/>
  <c r="E59" i="6"/>
  <c r="F59" i="6"/>
  <c r="G59" i="6"/>
  <c r="B60" i="6"/>
  <c r="C60" i="6"/>
  <c r="D60" i="6"/>
  <c r="E60" i="6"/>
  <c r="F60" i="6"/>
  <c r="G60" i="6"/>
  <c r="B61" i="6"/>
  <c r="C61" i="6"/>
  <c r="D61" i="6"/>
  <c r="E61" i="6"/>
  <c r="F61" i="6"/>
  <c r="G61" i="6"/>
  <c r="B62" i="6"/>
  <c r="C62" i="6"/>
  <c r="D62" i="6"/>
  <c r="E62" i="6"/>
  <c r="F62" i="6"/>
  <c r="G62" i="6"/>
  <c r="B63" i="6"/>
  <c r="C63" i="6"/>
  <c r="D63" i="6"/>
  <c r="E63" i="6"/>
  <c r="F63" i="6"/>
  <c r="G63" i="6"/>
  <c r="B64" i="6"/>
  <c r="C64" i="6"/>
  <c r="D64" i="6"/>
  <c r="E64" i="6"/>
  <c r="F64" i="6"/>
  <c r="G64" i="6"/>
  <c r="B65" i="6"/>
  <c r="C65" i="6"/>
  <c r="D65" i="6"/>
  <c r="E65" i="6"/>
  <c r="F65" i="6"/>
  <c r="G65" i="6"/>
  <c r="B66" i="6"/>
  <c r="C66" i="6"/>
  <c r="D66" i="6"/>
  <c r="E66" i="6"/>
  <c r="F66" i="6"/>
  <c r="G66" i="6"/>
  <c r="B67" i="6"/>
  <c r="C67" i="6"/>
  <c r="D67" i="6"/>
  <c r="E67" i="6"/>
  <c r="F67" i="6"/>
  <c r="G67" i="6"/>
  <c r="B68" i="6"/>
  <c r="C68" i="6"/>
  <c r="D68" i="6"/>
  <c r="E68" i="6"/>
  <c r="F68" i="6"/>
  <c r="G68" i="6"/>
  <c r="B69" i="6"/>
  <c r="C69" i="6"/>
  <c r="D69" i="6"/>
  <c r="E69" i="6"/>
  <c r="F69" i="6"/>
  <c r="G69" i="6"/>
  <c r="B70" i="6"/>
  <c r="C70" i="6"/>
  <c r="D70" i="6"/>
  <c r="E70" i="6"/>
  <c r="F70" i="6"/>
  <c r="G70" i="6"/>
  <c r="B71" i="6"/>
  <c r="C71" i="6"/>
  <c r="D71" i="6"/>
  <c r="E71" i="6"/>
  <c r="F71" i="6"/>
  <c r="G71" i="6"/>
  <c r="B72" i="6"/>
  <c r="C72" i="6"/>
  <c r="D72" i="6"/>
  <c r="E72" i="6"/>
  <c r="F72" i="6"/>
  <c r="G72" i="6"/>
  <c r="B73" i="6"/>
  <c r="C73" i="6"/>
  <c r="D73" i="6"/>
  <c r="E73" i="6"/>
  <c r="F73" i="6"/>
  <c r="G73" i="6"/>
  <c r="B74" i="6"/>
  <c r="C74" i="6"/>
  <c r="D74" i="6"/>
  <c r="E74" i="6"/>
  <c r="F74" i="6"/>
  <c r="G74" i="6"/>
  <c r="B75" i="6"/>
  <c r="C75" i="6"/>
  <c r="D75" i="6"/>
  <c r="E75" i="6"/>
  <c r="F75" i="6"/>
  <c r="G75" i="6"/>
  <c r="B76" i="6"/>
  <c r="C76" i="6"/>
  <c r="D76" i="6"/>
  <c r="E76" i="6"/>
  <c r="F76" i="6"/>
  <c r="G76" i="6"/>
  <c r="B77" i="6"/>
  <c r="C77" i="6"/>
  <c r="D77" i="6"/>
  <c r="E77" i="6"/>
  <c r="F77" i="6"/>
  <c r="G77" i="6"/>
  <c r="B78" i="6"/>
  <c r="C78" i="6"/>
  <c r="D78" i="6"/>
  <c r="E78" i="6"/>
  <c r="F78" i="6"/>
  <c r="G78" i="6"/>
  <c r="B79" i="6"/>
  <c r="C79" i="6"/>
  <c r="D79" i="6"/>
  <c r="E79" i="6"/>
  <c r="F79" i="6"/>
  <c r="G79" i="6"/>
  <c r="B80" i="6"/>
  <c r="C80" i="6"/>
  <c r="D80" i="6"/>
  <c r="E80" i="6"/>
  <c r="F80" i="6"/>
  <c r="G80" i="6"/>
  <c r="B81" i="6"/>
  <c r="C81" i="6"/>
  <c r="D81" i="6"/>
  <c r="E81" i="6"/>
  <c r="F81" i="6"/>
  <c r="G81" i="6"/>
  <c r="B82" i="6"/>
  <c r="C82" i="6"/>
  <c r="D82" i="6"/>
  <c r="E82" i="6"/>
  <c r="F82" i="6"/>
  <c r="G82" i="6"/>
  <c r="B83" i="6"/>
  <c r="C83" i="6"/>
  <c r="D83" i="6"/>
  <c r="E83" i="6"/>
  <c r="F83" i="6"/>
  <c r="G83" i="6"/>
  <c r="B84" i="6"/>
  <c r="C84" i="6"/>
  <c r="D84" i="6"/>
  <c r="E84" i="6"/>
  <c r="F84" i="6"/>
  <c r="G84" i="6"/>
  <c r="B85" i="6"/>
  <c r="C85" i="6"/>
  <c r="D85" i="6"/>
  <c r="E85" i="6"/>
  <c r="F85" i="6"/>
  <c r="G85" i="6"/>
  <c r="B86" i="6"/>
  <c r="C86" i="6"/>
  <c r="D86" i="6"/>
  <c r="E86" i="6"/>
  <c r="F86" i="6"/>
  <c r="G86" i="6"/>
  <c r="B87" i="6"/>
  <c r="C87" i="6"/>
  <c r="D87" i="6"/>
  <c r="E87" i="6"/>
  <c r="F87" i="6"/>
  <c r="G87" i="6"/>
  <c r="B88" i="6"/>
  <c r="C88" i="6"/>
  <c r="D88" i="6"/>
  <c r="E88" i="6"/>
  <c r="F88" i="6"/>
  <c r="G88" i="6"/>
  <c r="B89" i="6"/>
  <c r="C89" i="6"/>
  <c r="D89" i="6"/>
  <c r="E89" i="6"/>
  <c r="F89" i="6"/>
  <c r="G89" i="6"/>
  <c r="B90" i="6"/>
  <c r="C90" i="6"/>
  <c r="D90" i="6"/>
  <c r="E90" i="6"/>
  <c r="F90" i="6"/>
  <c r="G90" i="6"/>
  <c r="B91" i="6"/>
  <c r="C91" i="6"/>
  <c r="D91" i="6"/>
  <c r="E91" i="6"/>
  <c r="F91" i="6"/>
  <c r="G91" i="6"/>
  <c r="B92" i="6"/>
  <c r="C92" i="6"/>
  <c r="D92" i="6"/>
  <c r="E92" i="6"/>
  <c r="F92" i="6"/>
  <c r="G92" i="6"/>
  <c r="B93" i="6"/>
  <c r="C93" i="6"/>
  <c r="D93" i="6"/>
  <c r="E93" i="6"/>
  <c r="F93" i="6"/>
  <c r="G93" i="6"/>
  <c r="B94" i="6"/>
  <c r="C94" i="6"/>
  <c r="D94" i="6"/>
  <c r="E94" i="6"/>
  <c r="F94" i="6"/>
  <c r="G94" i="6"/>
  <c r="B95" i="6"/>
  <c r="C95" i="6"/>
  <c r="D95" i="6"/>
  <c r="E95" i="6"/>
  <c r="F95" i="6"/>
  <c r="G95" i="6"/>
  <c r="B96" i="6"/>
  <c r="C96" i="6"/>
  <c r="D96" i="6"/>
  <c r="E96" i="6"/>
  <c r="F96" i="6"/>
  <c r="G96" i="6"/>
  <c r="B97" i="6"/>
  <c r="C97" i="6"/>
  <c r="D97" i="6"/>
  <c r="E97" i="6"/>
  <c r="F97" i="6"/>
  <c r="G97" i="6"/>
  <c r="B98" i="6"/>
  <c r="C98" i="6"/>
  <c r="D98" i="6"/>
  <c r="E98" i="6"/>
  <c r="F98" i="6"/>
  <c r="G98" i="6"/>
  <c r="B99" i="6"/>
  <c r="C99" i="6"/>
  <c r="D99" i="6"/>
  <c r="E99" i="6"/>
  <c r="F99" i="6"/>
  <c r="G99" i="6"/>
  <c r="B100" i="6"/>
  <c r="C100" i="6"/>
  <c r="D100" i="6"/>
  <c r="E100" i="6"/>
  <c r="F100" i="6"/>
  <c r="G100" i="6"/>
  <c r="B101" i="6"/>
  <c r="C101" i="6"/>
  <c r="D101" i="6"/>
  <c r="E101" i="6"/>
  <c r="F101" i="6"/>
  <c r="G101" i="6"/>
  <c r="B102" i="6"/>
  <c r="C102" i="6"/>
  <c r="D102" i="6"/>
  <c r="E102" i="6"/>
  <c r="F102" i="6"/>
  <c r="G102" i="6"/>
  <c r="B103" i="6"/>
  <c r="C103" i="6"/>
  <c r="D103" i="6"/>
  <c r="E103" i="6"/>
  <c r="F103" i="6"/>
  <c r="G103" i="6"/>
  <c r="B104" i="6"/>
  <c r="C104" i="6"/>
  <c r="D104" i="6"/>
  <c r="E104" i="6"/>
  <c r="F104" i="6"/>
  <c r="G104" i="6"/>
  <c r="B105" i="6"/>
  <c r="C105" i="6"/>
  <c r="D105" i="6"/>
  <c r="E105" i="6"/>
  <c r="F105" i="6"/>
  <c r="G105" i="6"/>
  <c r="B106" i="6"/>
  <c r="C106" i="6"/>
  <c r="D106" i="6"/>
  <c r="E106" i="6"/>
  <c r="F106" i="6"/>
  <c r="G106" i="6"/>
  <c r="B107" i="6"/>
  <c r="C107" i="6"/>
  <c r="D107" i="6"/>
  <c r="E107" i="6"/>
  <c r="F107" i="6"/>
  <c r="G107" i="6"/>
  <c r="B108" i="6"/>
  <c r="C108" i="6"/>
  <c r="D108" i="6"/>
  <c r="E108" i="6"/>
  <c r="F108" i="6"/>
  <c r="G108" i="6"/>
  <c r="B109" i="6"/>
  <c r="C109" i="6"/>
  <c r="D109" i="6"/>
  <c r="E109" i="6"/>
  <c r="F109" i="6"/>
  <c r="G109" i="6"/>
  <c r="B110" i="6"/>
  <c r="C110" i="6"/>
  <c r="D110" i="6"/>
  <c r="E110" i="6"/>
  <c r="F110" i="6"/>
  <c r="G110" i="6"/>
  <c r="B111" i="6"/>
  <c r="C111" i="6"/>
  <c r="D111" i="6"/>
  <c r="E111" i="6"/>
  <c r="F111" i="6"/>
  <c r="G111" i="6"/>
  <c r="B112" i="6"/>
  <c r="C112" i="6"/>
  <c r="D112" i="6"/>
  <c r="E112" i="6"/>
  <c r="F112" i="6"/>
  <c r="G112" i="6"/>
  <c r="B113" i="6"/>
  <c r="C113" i="6"/>
  <c r="D113" i="6"/>
  <c r="E113" i="6"/>
  <c r="F113" i="6"/>
  <c r="G113" i="6"/>
  <c r="B114" i="6"/>
  <c r="C114" i="6"/>
  <c r="D114" i="6"/>
  <c r="E114" i="6"/>
  <c r="F114" i="6"/>
  <c r="G114" i="6"/>
  <c r="B115" i="6"/>
  <c r="C115" i="6"/>
  <c r="D115" i="6"/>
  <c r="E115" i="6"/>
  <c r="F115" i="6"/>
  <c r="G115" i="6"/>
  <c r="B116" i="6"/>
  <c r="C116" i="6"/>
  <c r="D116" i="6"/>
  <c r="E116" i="6"/>
  <c r="F116" i="6"/>
  <c r="G116" i="6"/>
  <c r="B117" i="6"/>
  <c r="C117" i="6"/>
  <c r="D117" i="6"/>
  <c r="E117" i="6"/>
  <c r="F117" i="6"/>
  <c r="G117" i="6"/>
  <c r="B118" i="6"/>
  <c r="C118" i="6"/>
  <c r="D118" i="6"/>
  <c r="E118" i="6"/>
  <c r="F118" i="6"/>
  <c r="G118" i="6"/>
  <c r="B119" i="6"/>
  <c r="C119" i="6"/>
  <c r="D119" i="6"/>
  <c r="E119" i="6"/>
  <c r="F119" i="6"/>
  <c r="G119" i="6"/>
  <c r="B120" i="6"/>
  <c r="C120" i="6"/>
  <c r="D120" i="6"/>
  <c r="E120" i="6"/>
  <c r="F120" i="6"/>
  <c r="G120" i="6"/>
  <c r="B121" i="6"/>
  <c r="C121" i="6"/>
  <c r="D121" i="6"/>
  <c r="E121" i="6"/>
  <c r="F121" i="6"/>
  <c r="G121" i="6"/>
  <c r="B122" i="6"/>
  <c r="C122" i="6"/>
  <c r="D122" i="6"/>
  <c r="E122" i="6"/>
  <c r="F122" i="6"/>
  <c r="G122" i="6"/>
  <c r="B123" i="6"/>
  <c r="C123" i="6"/>
  <c r="D123" i="6"/>
  <c r="E123" i="6"/>
  <c r="F123" i="6"/>
  <c r="G123" i="6"/>
  <c r="B124" i="6"/>
  <c r="C124" i="6"/>
  <c r="D124" i="6"/>
  <c r="E124" i="6"/>
  <c r="F124" i="6"/>
  <c r="G124" i="6"/>
  <c r="B125" i="6"/>
  <c r="C125" i="6"/>
  <c r="D125" i="6"/>
  <c r="E125" i="6"/>
  <c r="F125" i="6"/>
  <c r="G125" i="6"/>
  <c r="B126" i="6"/>
  <c r="C126" i="6"/>
  <c r="D126" i="6"/>
  <c r="E126" i="6"/>
  <c r="F126" i="6"/>
  <c r="G126" i="6"/>
  <c r="B127" i="6"/>
  <c r="C127" i="6"/>
  <c r="D127" i="6"/>
  <c r="E127" i="6"/>
  <c r="F127" i="6"/>
  <c r="G127" i="6"/>
  <c r="B128" i="6"/>
  <c r="C128" i="6"/>
  <c r="D128" i="6"/>
  <c r="E128" i="6"/>
  <c r="F128" i="6"/>
  <c r="G128" i="6"/>
  <c r="B129" i="6"/>
  <c r="C129" i="6"/>
  <c r="D129" i="6"/>
  <c r="E129" i="6"/>
  <c r="F129" i="6"/>
  <c r="G129" i="6"/>
  <c r="B130" i="6"/>
  <c r="C130" i="6"/>
  <c r="D130" i="6"/>
  <c r="E130" i="6"/>
  <c r="F130" i="6"/>
  <c r="G130" i="6"/>
  <c r="B131" i="6"/>
  <c r="C131" i="6"/>
  <c r="D131" i="6"/>
  <c r="E131" i="6"/>
  <c r="F131" i="6"/>
  <c r="G131" i="6"/>
  <c r="B132" i="6"/>
  <c r="C132" i="6"/>
  <c r="D132" i="6"/>
  <c r="E132" i="6"/>
  <c r="F132" i="6"/>
  <c r="G132" i="6"/>
  <c r="B133" i="6"/>
  <c r="C133" i="6"/>
  <c r="D133" i="6"/>
  <c r="E133" i="6"/>
  <c r="F133" i="6"/>
  <c r="G133" i="6"/>
  <c r="B134" i="6"/>
  <c r="C134" i="6"/>
  <c r="D134" i="6"/>
  <c r="E134" i="6"/>
  <c r="F134" i="6"/>
  <c r="G134" i="6"/>
  <c r="B135" i="6"/>
  <c r="C135" i="6"/>
  <c r="D135" i="6"/>
  <c r="E135" i="6"/>
  <c r="F135" i="6"/>
  <c r="G135" i="6"/>
  <c r="B136" i="6"/>
  <c r="C136" i="6"/>
  <c r="D136" i="6"/>
  <c r="E136" i="6"/>
  <c r="F136" i="6"/>
  <c r="G136" i="6"/>
  <c r="B137" i="6"/>
  <c r="C137" i="6"/>
  <c r="D137" i="6"/>
  <c r="E137" i="6"/>
  <c r="F137" i="6"/>
  <c r="G137" i="6"/>
  <c r="B138" i="6"/>
  <c r="C138" i="6"/>
  <c r="D138" i="6"/>
  <c r="E138" i="6"/>
  <c r="F138" i="6"/>
  <c r="G138" i="6"/>
  <c r="B139" i="6"/>
  <c r="C139" i="6"/>
  <c r="D139" i="6"/>
  <c r="E139" i="6"/>
  <c r="F139" i="6"/>
  <c r="G139" i="6"/>
  <c r="B140" i="6"/>
  <c r="C140" i="6"/>
  <c r="D140" i="6"/>
  <c r="E140" i="6"/>
  <c r="F140" i="6"/>
  <c r="G140" i="6"/>
  <c r="B141" i="6"/>
  <c r="C141" i="6"/>
  <c r="D141" i="6"/>
  <c r="E141" i="6"/>
  <c r="F141" i="6"/>
  <c r="G141" i="6"/>
  <c r="B142" i="6"/>
  <c r="C142" i="6"/>
  <c r="D142" i="6"/>
  <c r="E142" i="6"/>
  <c r="F142" i="6"/>
  <c r="G142" i="6"/>
  <c r="B143" i="6"/>
  <c r="C143" i="6"/>
  <c r="D143" i="6"/>
  <c r="E143" i="6"/>
  <c r="F143" i="6"/>
  <c r="G143" i="6"/>
  <c r="B144" i="6"/>
  <c r="C144" i="6"/>
  <c r="D144" i="6"/>
  <c r="E144" i="6"/>
  <c r="F144" i="6"/>
  <c r="G144" i="6"/>
  <c r="B145" i="6"/>
  <c r="C145" i="6"/>
  <c r="D145" i="6"/>
  <c r="E145" i="6"/>
  <c r="F145" i="6"/>
  <c r="G145" i="6"/>
  <c r="B146" i="6"/>
  <c r="C146" i="6"/>
  <c r="D146" i="6"/>
  <c r="E146" i="6"/>
  <c r="F146" i="6"/>
  <c r="G146" i="6"/>
  <c r="B147" i="6"/>
  <c r="C147" i="6"/>
  <c r="D147" i="6"/>
  <c r="E147" i="6"/>
  <c r="F147" i="6"/>
  <c r="G147" i="6"/>
  <c r="B148" i="6"/>
  <c r="C148" i="6"/>
  <c r="D148" i="6"/>
  <c r="E148" i="6"/>
  <c r="F148" i="6"/>
  <c r="G148" i="6"/>
  <c r="B149" i="6"/>
  <c r="C149" i="6"/>
  <c r="D149" i="6"/>
  <c r="E149" i="6"/>
  <c r="F149" i="6"/>
  <c r="G149" i="6"/>
  <c r="B150" i="6"/>
  <c r="C150" i="6"/>
  <c r="D150" i="6"/>
  <c r="E150" i="6"/>
  <c r="F150" i="6"/>
  <c r="G150" i="6"/>
  <c r="B151" i="6"/>
  <c r="C151" i="6"/>
  <c r="D151" i="6"/>
  <c r="E151" i="6"/>
  <c r="F151" i="6"/>
  <c r="G151" i="6"/>
  <c r="B152" i="6"/>
  <c r="C152" i="6"/>
  <c r="D152" i="6"/>
  <c r="E152" i="6"/>
  <c r="F152" i="6"/>
  <c r="G152" i="6"/>
  <c r="B153" i="6"/>
  <c r="C153" i="6"/>
  <c r="D153" i="6"/>
  <c r="E153" i="6"/>
  <c r="F153" i="6"/>
  <c r="G153" i="6"/>
  <c r="B154" i="6"/>
  <c r="C154" i="6"/>
  <c r="D154" i="6"/>
  <c r="E154" i="6"/>
  <c r="F154" i="6"/>
  <c r="G154" i="6"/>
  <c r="B155" i="6"/>
  <c r="C155" i="6"/>
  <c r="D155" i="6"/>
  <c r="E155" i="6"/>
  <c r="F155" i="6"/>
  <c r="G155" i="6"/>
  <c r="B156" i="6"/>
  <c r="C156" i="6"/>
  <c r="D156" i="6"/>
  <c r="E156" i="6"/>
  <c r="F156" i="6"/>
  <c r="G156" i="6"/>
  <c r="B157" i="6"/>
  <c r="C157" i="6"/>
  <c r="D157" i="6"/>
  <c r="E157" i="6"/>
  <c r="F157" i="6"/>
  <c r="G157" i="6"/>
  <c r="B158" i="6"/>
  <c r="C158" i="6"/>
  <c r="D158" i="6"/>
  <c r="E158" i="6"/>
  <c r="F158" i="6"/>
  <c r="G158" i="6"/>
  <c r="B159" i="6"/>
  <c r="C159" i="6"/>
  <c r="D159" i="6"/>
  <c r="E159" i="6"/>
  <c r="F159" i="6"/>
  <c r="G159" i="6"/>
  <c r="B160" i="6"/>
  <c r="C160" i="6"/>
  <c r="D160" i="6"/>
  <c r="E160" i="6"/>
  <c r="F160" i="6"/>
  <c r="G160" i="6"/>
  <c r="B161" i="6"/>
  <c r="C161" i="6"/>
  <c r="D161" i="6"/>
  <c r="E161" i="6"/>
  <c r="F161" i="6"/>
  <c r="G161" i="6"/>
  <c r="B162" i="6"/>
  <c r="C162" i="6"/>
  <c r="D162" i="6"/>
  <c r="E162" i="6"/>
  <c r="F162" i="6"/>
  <c r="G162" i="6"/>
  <c r="B163" i="6"/>
  <c r="C163" i="6"/>
  <c r="D163" i="6"/>
  <c r="E163" i="6"/>
  <c r="F163" i="6"/>
  <c r="G163" i="6"/>
  <c r="B164" i="6"/>
  <c r="C164" i="6"/>
  <c r="D164" i="6"/>
  <c r="E164" i="6"/>
  <c r="F164" i="6"/>
  <c r="G164" i="6"/>
  <c r="B165" i="6"/>
  <c r="C165" i="6"/>
  <c r="D165" i="6"/>
  <c r="E165" i="6"/>
  <c r="F165" i="6"/>
  <c r="G165" i="6"/>
  <c r="B166" i="6"/>
  <c r="C166" i="6"/>
  <c r="D166" i="6"/>
  <c r="E166" i="6"/>
  <c r="F166" i="6"/>
  <c r="G166" i="6"/>
  <c r="B167" i="6"/>
  <c r="C167" i="6"/>
  <c r="D167" i="6"/>
  <c r="E167" i="6"/>
  <c r="F167" i="6"/>
  <c r="G167" i="6"/>
  <c r="B168" i="6"/>
  <c r="C168" i="6"/>
  <c r="D168" i="6"/>
  <c r="E168" i="6"/>
  <c r="F168" i="6"/>
  <c r="G168" i="6"/>
  <c r="B169" i="6"/>
  <c r="C169" i="6"/>
  <c r="D169" i="6"/>
  <c r="E169" i="6"/>
  <c r="F169" i="6"/>
  <c r="G169" i="6"/>
  <c r="B170" i="6"/>
  <c r="C170" i="6"/>
  <c r="D170" i="6"/>
  <c r="E170" i="6"/>
  <c r="F170" i="6"/>
  <c r="G170" i="6"/>
  <c r="B171" i="6"/>
  <c r="C171" i="6"/>
  <c r="D171" i="6"/>
  <c r="E171" i="6"/>
  <c r="F171" i="6"/>
  <c r="G171" i="6"/>
  <c r="B172" i="6"/>
  <c r="C172" i="6"/>
  <c r="D172" i="6"/>
  <c r="E172" i="6"/>
  <c r="F172" i="6"/>
  <c r="G172" i="6"/>
  <c r="B173" i="6"/>
  <c r="C173" i="6"/>
  <c r="D173" i="6"/>
  <c r="E173" i="6"/>
  <c r="F173" i="6"/>
  <c r="G173" i="6"/>
  <c r="B174" i="6"/>
  <c r="C174" i="6"/>
  <c r="D174" i="6"/>
  <c r="E174" i="6"/>
  <c r="F174" i="6"/>
  <c r="G174" i="6"/>
  <c r="B175" i="6"/>
  <c r="C175" i="6"/>
  <c r="D175" i="6"/>
  <c r="E175" i="6"/>
  <c r="F175" i="6"/>
  <c r="G175" i="6"/>
  <c r="B176" i="6"/>
  <c r="C176" i="6"/>
  <c r="D176" i="6"/>
  <c r="E176" i="6"/>
  <c r="F176" i="6"/>
  <c r="G176" i="6"/>
  <c r="B177" i="6"/>
  <c r="C177" i="6"/>
  <c r="D177" i="6"/>
  <c r="E177" i="6"/>
  <c r="F177" i="6"/>
  <c r="G177" i="6"/>
  <c r="B178" i="6"/>
  <c r="C178" i="6"/>
  <c r="D178" i="6"/>
  <c r="E178" i="6"/>
  <c r="F178" i="6"/>
  <c r="G178" i="6"/>
  <c r="B179" i="6"/>
  <c r="C179" i="6"/>
  <c r="D179" i="6"/>
  <c r="E179" i="6"/>
  <c r="F179" i="6"/>
  <c r="G179" i="6"/>
  <c r="B180" i="6"/>
  <c r="C180" i="6"/>
  <c r="D180" i="6"/>
  <c r="E180" i="6"/>
  <c r="F180" i="6"/>
  <c r="G180" i="6"/>
  <c r="B181" i="6"/>
  <c r="C181" i="6"/>
  <c r="D181" i="6"/>
  <c r="E181" i="6"/>
  <c r="F181" i="6"/>
  <c r="G181" i="6"/>
  <c r="B182" i="6"/>
  <c r="C182" i="6"/>
  <c r="D182" i="6"/>
  <c r="E182" i="6"/>
  <c r="F182" i="6"/>
  <c r="G182" i="6"/>
  <c r="B183" i="6"/>
  <c r="C183" i="6"/>
  <c r="D183" i="6"/>
  <c r="E183" i="6"/>
  <c r="F183" i="6"/>
  <c r="G183" i="6"/>
  <c r="B184" i="6"/>
  <c r="C184" i="6"/>
  <c r="D184" i="6"/>
  <c r="E184" i="6"/>
  <c r="F184" i="6"/>
  <c r="G184" i="6"/>
  <c r="B185" i="6"/>
  <c r="C185" i="6"/>
  <c r="D185" i="6"/>
  <c r="E185" i="6"/>
  <c r="F185" i="6"/>
  <c r="G185" i="6"/>
  <c r="B186" i="6"/>
  <c r="C186" i="6"/>
  <c r="D186" i="6"/>
  <c r="E186" i="6"/>
  <c r="F186" i="6"/>
  <c r="G186" i="6"/>
  <c r="B187" i="6"/>
  <c r="C187" i="6"/>
  <c r="D187" i="6"/>
  <c r="E187" i="6"/>
  <c r="F187" i="6"/>
  <c r="G187" i="6"/>
  <c r="B188" i="6"/>
  <c r="C188" i="6"/>
  <c r="D188" i="6"/>
  <c r="E188" i="6"/>
  <c r="F188" i="6"/>
  <c r="G188" i="6"/>
  <c r="B189" i="6"/>
  <c r="C189" i="6"/>
  <c r="D189" i="6"/>
  <c r="E189" i="6"/>
  <c r="F189" i="6"/>
  <c r="G189" i="6"/>
  <c r="B190" i="6"/>
  <c r="C190" i="6"/>
  <c r="D190" i="6"/>
  <c r="E190" i="6"/>
  <c r="F190" i="6"/>
  <c r="G190" i="6"/>
  <c r="B191" i="6"/>
  <c r="C191" i="6"/>
  <c r="D191" i="6"/>
  <c r="E191" i="6"/>
  <c r="F191" i="6"/>
  <c r="G191" i="6"/>
  <c r="B192" i="6"/>
  <c r="C192" i="6"/>
  <c r="D192" i="6"/>
  <c r="E192" i="6"/>
  <c r="F192" i="6"/>
  <c r="G192" i="6"/>
  <c r="B193" i="6"/>
  <c r="C193" i="6"/>
  <c r="D193" i="6"/>
  <c r="E193" i="6"/>
  <c r="F193" i="6"/>
  <c r="G193" i="6"/>
  <c r="B194" i="6"/>
  <c r="C194" i="6"/>
  <c r="D194" i="6"/>
  <c r="E194" i="6"/>
  <c r="F194" i="6"/>
  <c r="G194" i="6"/>
  <c r="B195" i="6"/>
  <c r="C195" i="6"/>
  <c r="D195" i="6"/>
  <c r="E195" i="6"/>
  <c r="F195" i="6"/>
  <c r="G195" i="6"/>
  <c r="B196" i="6"/>
  <c r="C196" i="6"/>
  <c r="D196" i="6"/>
  <c r="E196" i="6"/>
  <c r="F196" i="6"/>
  <c r="G196" i="6"/>
  <c r="B197" i="6"/>
  <c r="C197" i="6"/>
  <c r="D197" i="6"/>
  <c r="E197" i="6"/>
  <c r="F197" i="6"/>
  <c r="G197" i="6"/>
  <c r="B198" i="6"/>
  <c r="C198" i="6"/>
  <c r="D198" i="6"/>
  <c r="E198" i="6"/>
  <c r="F198" i="6"/>
  <c r="G198" i="6"/>
  <c r="B199" i="6"/>
  <c r="C199" i="6"/>
  <c r="D199" i="6"/>
  <c r="E199" i="6"/>
  <c r="F199" i="6"/>
  <c r="G199" i="6"/>
  <c r="B200" i="6"/>
  <c r="C200" i="6"/>
  <c r="D200" i="6"/>
  <c r="E200" i="6"/>
  <c r="F200" i="6"/>
  <c r="G200" i="6"/>
  <c r="B201" i="6"/>
  <c r="C201" i="6"/>
  <c r="D201" i="6"/>
  <c r="E201" i="6"/>
  <c r="F201" i="6"/>
  <c r="G201" i="6"/>
  <c r="B202" i="6"/>
  <c r="C202" i="6"/>
  <c r="D202" i="6"/>
  <c r="E202" i="6"/>
  <c r="F202" i="6"/>
  <c r="G202" i="6"/>
  <c r="B203" i="6"/>
  <c r="C203" i="6"/>
  <c r="D203" i="6"/>
  <c r="E203" i="6"/>
  <c r="F203" i="6"/>
  <c r="G203" i="6"/>
  <c r="B204" i="6"/>
  <c r="C204" i="6"/>
  <c r="D204" i="6"/>
  <c r="E204" i="6"/>
  <c r="F204" i="6"/>
  <c r="G204" i="6"/>
  <c r="B205" i="6"/>
  <c r="C205" i="6"/>
  <c r="D205" i="6"/>
  <c r="E205" i="6"/>
  <c r="F205" i="6"/>
  <c r="G205" i="6"/>
  <c r="B206" i="6"/>
  <c r="C206" i="6"/>
  <c r="D206" i="6"/>
  <c r="E206" i="6"/>
  <c r="F206" i="6"/>
  <c r="G206" i="6"/>
  <c r="B207" i="6"/>
  <c r="C207" i="6"/>
  <c r="D207" i="6"/>
  <c r="E207" i="6"/>
  <c r="F207" i="6"/>
  <c r="G207" i="6"/>
  <c r="B208" i="6"/>
  <c r="C208" i="6"/>
  <c r="D208" i="6"/>
  <c r="E208" i="6"/>
  <c r="F208" i="6"/>
  <c r="G208" i="6"/>
  <c r="B209" i="6"/>
  <c r="C209" i="6"/>
  <c r="D209" i="6"/>
  <c r="E209" i="6"/>
  <c r="F209" i="6"/>
  <c r="G209" i="6"/>
  <c r="B210" i="6"/>
  <c r="C210" i="6"/>
  <c r="D210" i="6"/>
  <c r="E210" i="6"/>
  <c r="F210" i="6"/>
  <c r="G210" i="6"/>
  <c r="B211" i="6"/>
  <c r="C211" i="6"/>
  <c r="D211" i="6"/>
  <c r="E211" i="6"/>
  <c r="F211" i="6"/>
  <c r="G211" i="6"/>
  <c r="B212" i="6"/>
  <c r="C212" i="6"/>
  <c r="D212" i="6"/>
  <c r="E212" i="6"/>
  <c r="F212" i="6"/>
  <c r="G212" i="6"/>
  <c r="B213" i="6"/>
  <c r="C213" i="6"/>
  <c r="D213" i="6"/>
  <c r="E213" i="6"/>
  <c r="F213" i="6"/>
  <c r="G213" i="6"/>
  <c r="B214" i="6"/>
  <c r="C214" i="6"/>
  <c r="D214" i="6"/>
  <c r="E214" i="6"/>
  <c r="F214" i="6"/>
  <c r="G214" i="6"/>
  <c r="B215" i="6"/>
  <c r="C215" i="6"/>
  <c r="D215" i="6"/>
  <c r="E215" i="6"/>
  <c r="F215" i="6"/>
  <c r="G215" i="6"/>
  <c r="B216" i="6"/>
  <c r="C216" i="6"/>
  <c r="D216" i="6"/>
  <c r="E216" i="6"/>
  <c r="F216" i="6"/>
  <c r="G216" i="6"/>
  <c r="B217" i="6"/>
  <c r="C217" i="6"/>
  <c r="D217" i="6"/>
  <c r="E217" i="6"/>
  <c r="F217" i="6"/>
  <c r="G217" i="6"/>
  <c r="B218" i="6"/>
  <c r="C218" i="6"/>
  <c r="D218" i="6"/>
  <c r="E218" i="6"/>
  <c r="F218" i="6"/>
  <c r="G218" i="6"/>
  <c r="B219" i="6"/>
  <c r="C219" i="6"/>
  <c r="D219" i="6"/>
  <c r="E219" i="6"/>
  <c r="F219" i="6"/>
  <c r="G219" i="6"/>
  <c r="B220" i="6"/>
  <c r="C220" i="6"/>
  <c r="D220" i="6"/>
  <c r="E220" i="6"/>
  <c r="F220" i="6"/>
  <c r="G220" i="6"/>
  <c r="B221" i="6"/>
  <c r="C221" i="6"/>
  <c r="D221" i="6"/>
  <c r="E221" i="6"/>
  <c r="F221" i="6"/>
  <c r="G221" i="6"/>
  <c r="B222" i="6"/>
  <c r="C222" i="6"/>
  <c r="D222" i="6"/>
  <c r="E222" i="6"/>
  <c r="F222" i="6"/>
  <c r="G222" i="6"/>
  <c r="B223" i="6"/>
  <c r="C223" i="6"/>
  <c r="D223" i="6"/>
  <c r="E223" i="6"/>
  <c r="F223" i="6"/>
  <c r="G223" i="6"/>
  <c r="B224" i="6"/>
  <c r="C224" i="6"/>
  <c r="D224" i="6"/>
  <c r="E224" i="6"/>
  <c r="F224" i="6"/>
  <c r="G224" i="6"/>
  <c r="B225" i="6"/>
  <c r="C225" i="6"/>
  <c r="D225" i="6"/>
  <c r="E225" i="6"/>
  <c r="F225" i="6"/>
  <c r="G225" i="6"/>
  <c r="B226" i="6"/>
  <c r="C226" i="6"/>
  <c r="D226" i="6"/>
  <c r="E226" i="6"/>
  <c r="F226" i="6"/>
  <c r="G226" i="6"/>
  <c r="B227" i="6"/>
  <c r="C227" i="6"/>
  <c r="D227" i="6"/>
  <c r="E227" i="6"/>
  <c r="F227" i="6"/>
  <c r="G227" i="6"/>
  <c r="B228" i="6"/>
  <c r="C228" i="6"/>
  <c r="D228" i="6"/>
  <c r="E228" i="6"/>
  <c r="F228" i="6"/>
  <c r="G228" i="6"/>
  <c r="B229" i="6"/>
  <c r="C229" i="6"/>
  <c r="D229" i="6"/>
  <c r="E229" i="6"/>
  <c r="F229" i="6"/>
  <c r="G229" i="6"/>
  <c r="B230" i="6"/>
  <c r="C230" i="6"/>
  <c r="D230" i="6"/>
  <c r="E230" i="6"/>
  <c r="F230" i="6"/>
  <c r="G230" i="6"/>
  <c r="B231" i="6"/>
  <c r="C231" i="6"/>
  <c r="D231" i="6"/>
  <c r="E231" i="6"/>
  <c r="F231" i="6"/>
  <c r="G231" i="6"/>
  <c r="B232" i="6"/>
  <c r="C232" i="6"/>
  <c r="D232" i="6"/>
  <c r="E232" i="6"/>
  <c r="F232" i="6"/>
  <c r="G232" i="6"/>
  <c r="B233" i="6"/>
  <c r="C233" i="6"/>
  <c r="D233" i="6"/>
  <c r="E233" i="6"/>
  <c r="F233" i="6"/>
  <c r="G233" i="6"/>
  <c r="B234" i="6"/>
  <c r="C234" i="6"/>
  <c r="D234" i="6"/>
  <c r="E234" i="6"/>
  <c r="F234" i="6"/>
  <c r="G234" i="6"/>
  <c r="B235" i="6"/>
  <c r="C235" i="6"/>
  <c r="D235" i="6"/>
  <c r="E235" i="6"/>
  <c r="F235" i="6"/>
  <c r="G235" i="6"/>
  <c r="B236" i="6"/>
  <c r="C236" i="6"/>
  <c r="D236" i="6"/>
  <c r="E236" i="6"/>
  <c r="F236" i="6"/>
  <c r="G236" i="6"/>
  <c r="B237" i="6"/>
  <c r="C237" i="6"/>
  <c r="D237" i="6"/>
  <c r="E237" i="6"/>
  <c r="F237" i="6"/>
  <c r="G237" i="6"/>
  <c r="B238" i="6"/>
  <c r="C238" i="6"/>
  <c r="D238" i="6"/>
  <c r="E238" i="6"/>
  <c r="F238" i="6"/>
  <c r="G238" i="6"/>
  <c r="B239" i="6"/>
  <c r="C239" i="6"/>
  <c r="D239" i="6"/>
  <c r="E239" i="6"/>
  <c r="F239" i="6"/>
  <c r="G239" i="6"/>
  <c r="B240" i="6"/>
  <c r="C240" i="6"/>
  <c r="D240" i="6"/>
  <c r="E240" i="6"/>
  <c r="F240" i="6"/>
  <c r="G240" i="6"/>
  <c r="B241" i="6"/>
  <c r="C241" i="6"/>
  <c r="D241" i="6"/>
  <c r="E241" i="6"/>
  <c r="F241" i="6"/>
  <c r="G241" i="6"/>
  <c r="B242" i="6"/>
  <c r="C242" i="6"/>
  <c r="D242" i="6"/>
  <c r="E242" i="6"/>
  <c r="F242" i="6"/>
  <c r="G242" i="6"/>
  <c r="B243" i="6"/>
  <c r="C243" i="6"/>
  <c r="D243" i="6"/>
  <c r="E243" i="6"/>
  <c r="F243" i="6"/>
  <c r="G243" i="6"/>
  <c r="B244" i="6"/>
  <c r="C244" i="6"/>
  <c r="D244" i="6"/>
  <c r="E244" i="6"/>
  <c r="F244" i="6"/>
  <c r="G244" i="6"/>
  <c r="B245" i="6"/>
  <c r="C245" i="6"/>
  <c r="D245" i="6"/>
  <c r="E245" i="6"/>
  <c r="F245" i="6"/>
  <c r="G245" i="6"/>
  <c r="B246" i="6"/>
  <c r="C246" i="6"/>
  <c r="D246" i="6"/>
  <c r="E246" i="6"/>
  <c r="F246" i="6"/>
  <c r="G246" i="6"/>
  <c r="B247" i="6"/>
  <c r="C247" i="6"/>
  <c r="D247" i="6"/>
  <c r="E247" i="6"/>
  <c r="F247" i="6"/>
  <c r="G247" i="6"/>
  <c r="B248" i="6"/>
  <c r="C248" i="6"/>
  <c r="D248" i="6"/>
  <c r="E248" i="6"/>
  <c r="F248" i="6"/>
  <c r="G248" i="6"/>
  <c r="B249" i="6"/>
  <c r="C249" i="6"/>
  <c r="D249" i="6"/>
  <c r="E249" i="6"/>
  <c r="F249" i="6"/>
  <c r="G249" i="6"/>
  <c r="B250" i="6"/>
  <c r="C250" i="6"/>
  <c r="D250" i="6"/>
  <c r="E250" i="6"/>
  <c r="F250" i="6"/>
  <c r="G250" i="6"/>
  <c r="B251" i="6"/>
  <c r="C251" i="6"/>
  <c r="D251" i="6"/>
  <c r="E251" i="6"/>
  <c r="F251" i="6"/>
  <c r="G251" i="6"/>
  <c r="B252" i="6"/>
  <c r="C252" i="6"/>
  <c r="D252" i="6"/>
  <c r="E252" i="6"/>
  <c r="F252" i="6"/>
  <c r="G252" i="6"/>
  <c r="B253" i="6"/>
  <c r="C253" i="6"/>
  <c r="D253" i="6"/>
  <c r="E253" i="6"/>
  <c r="F253" i="6"/>
  <c r="G253" i="6"/>
  <c r="B254" i="6"/>
  <c r="C254" i="6"/>
  <c r="D254" i="6"/>
  <c r="E254" i="6"/>
  <c r="F254" i="6"/>
  <c r="G254" i="6"/>
  <c r="B255" i="6"/>
  <c r="C255" i="6"/>
  <c r="D255" i="6"/>
  <c r="E255" i="6"/>
  <c r="F255" i="6"/>
  <c r="G255" i="6"/>
  <c r="B256" i="6"/>
  <c r="C256" i="6"/>
  <c r="D256" i="6"/>
  <c r="E256" i="6"/>
  <c r="F256" i="6"/>
  <c r="G256" i="6"/>
  <c r="B257" i="6"/>
  <c r="C257" i="6"/>
  <c r="D257" i="6"/>
  <c r="E257" i="6"/>
  <c r="F257" i="6"/>
  <c r="G257" i="6"/>
  <c r="B258" i="6"/>
  <c r="C258" i="6"/>
  <c r="D258" i="6"/>
  <c r="E258" i="6"/>
  <c r="F258" i="6"/>
  <c r="G258" i="6"/>
  <c r="B259" i="6"/>
  <c r="C259" i="6"/>
  <c r="D259" i="6"/>
  <c r="E259" i="6"/>
  <c r="F259" i="6"/>
  <c r="G259" i="6"/>
  <c r="B260" i="6"/>
  <c r="C260" i="6"/>
  <c r="D260" i="6"/>
  <c r="E260" i="6"/>
  <c r="F260" i="6"/>
  <c r="G260" i="6"/>
  <c r="B261" i="6"/>
  <c r="C261" i="6"/>
  <c r="D261" i="6"/>
  <c r="E261" i="6"/>
  <c r="F261" i="6"/>
  <c r="G261" i="6"/>
  <c r="B262" i="6"/>
  <c r="C262" i="6"/>
  <c r="D262" i="6"/>
  <c r="E262" i="6"/>
  <c r="F262" i="6"/>
  <c r="G262" i="6"/>
  <c r="B263" i="6"/>
  <c r="C263" i="6"/>
  <c r="D263" i="6"/>
  <c r="E263" i="6"/>
  <c r="F263" i="6"/>
  <c r="G263" i="6"/>
  <c r="B264" i="6"/>
  <c r="C264" i="6"/>
  <c r="D264" i="6"/>
  <c r="E264" i="6"/>
  <c r="F264" i="6"/>
  <c r="G264" i="6"/>
  <c r="B265" i="6"/>
  <c r="C265" i="6"/>
  <c r="D265" i="6"/>
  <c r="E265" i="6"/>
  <c r="F265" i="6"/>
  <c r="G265" i="6"/>
  <c r="B266" i="6"/>
  <c r="C266" i="6"/>
  <c r="D266" i="6"/>
  <c r="E266" i="6"/>
  <c r="F266" i="6"/>
  <c r="G266" i="6"/>
  <c r="B267" i="6"/>
  <c r="C267" i="6"/>
  <c r="D267" i="6"/>
  <c r="E267" i="6"/>
  <c r="F267" i="6"/>
  <c r="G267" i="6"/>
  <c r="B268" i="6"/>
  <c r="C268" i="6"/>
  <c r="D268" i="6"/>
  <c r="E268" i="6"/>
  <c r="F268" i="6"/>
  <c r="G268" i="6"/>
  <c r="B269" i="6"/>
  <c r="C269" i="6"/>
  <c r="D269" i="6"/>
  <c r="E269" i="6"/>
  <c r="F269" i="6"/>
  <c r="G269" i="6"/>
  <c r="B270" i="6"/>
  <c r="C270" i="6"/>
  <c r="D270" i="6"/>
  <c r="E270" i="6"/>
  <c r="F270" i="6"/>
  <c r="G270" i="6"/>
  <c r="B271" i="6"/>
  <c r="C271" i="6"/>
  <c r="D271" i="6"/>
  <c r="E271" i="6"/>
  <c r="F271" i="6"/>
  <c r="G271" i="6"/>
  <c r="B272" i="6"/>
  <c r="C272" i="6"/>
  <c r="D272" i="6"/>
  <c r="E272" i="6"/>
  <c r="F272" i="6"/>
  <c r="G272" i="6"/>
  <c r="B273" i="6"/>
  <c r="C273" i="6"/>
  <c r="D273" i="6"/>
  <c r="E273" i="6"/>
  <c r="F273" i="6"/>
  <c r="G273" i="6"/>
  <c r="B274" i="6"/>
  <c r="C274" i="6"/>
  <c r="D274" i="6"/>
  <c r="E274" i="6"/>
  <c r="F274" i="6"/>
  <c r="G274" i="6"/>
  <c r="B275" i="6"/>
  <c r="C275" i="6"/>
  <c r="D275" i="6"/>
  <c r="E275" i="6"/>
  <c r="F275" i="6"/>
  <c r="G275" i="6"/>
  <c r="B276" i="6"/>
  <c r="C276" i="6"/>
  <c r="D276" i="6"/>
  <c r="E276" i="6"/>
  <c r="F276" i="6"/>
  <c r="G276" i="6"/>
  <c r="B277" i="6"/>
  <c r="C277" i="6"/>
  <c r="D277" i="6"/>
  <c r="E277" i="6"/>
  <c r="F277" i="6"/>
  <c r="G277" i="6"/>
  <c r="B278" i="6"/>
  <c r="C278" i="6"/>
  <c r="D278" i="6"/>
  <c r="E278" i="6"/>
  <c r="F278" i="6"/>
  <c r="G278" i="6"/>
  <c r="B279" i="6"/>
  <c r="C279" i="6"/>
  <c r="D279" i="6"/>
  <c r="E279" i="6"/>
  <c r="F279" i="6"/>
  <c r="G279" i="6"/>
  <c r="B280" i="6"/>
  <c r="C280" i="6"/>
  <c r="D280" i="6"/>
  <c r="E280" i="6"/>
  <c r="F280" i="6"/>
  <c r="G280" i="6"/>
  <c r="B281" i="6"/>
  <c r="C281" i="6"/>
  <c r="D281" i="6"/>
  <c r="E281" i="6"/>
  <c r="F281" i="6"/>
  <c r="G281" i="6"/>
  <c r="B282" i="6"/>
  <c r="C282" i="6"/>
  <c r="D282" i="6"/>
  <c r="E282" i="6"/>
  <c r="F282" i="6"/>
  <c r="G282" i="6"/>
  <c r="B283" i="6"/>
  <c r="C283" i="6"/>
  <c r="D283" i="6"/>
  <c r="E283" i="6"/>
  <c r="F283" i="6"/>
  <c r="G283" i="6"/>
  <c r="B284" i="6"/>
  <c r="C284" i="6"/>
  <c r="D284" i="6"/>
  <c r="E284" i="6"/>
  <c r="F284" i="6"/>
  <c r="G284" i="6"/>
  <c r="B285" i="6"/>
  <c r="C285" i="6"/>
  <c r="D285" i="6"/>
  <c r="E285" i="6"/>
  <c r="F285" i="6"/>
  <c r="G285" i="6"/>
  <c r="B286" i="6"/>
  <c r="C286" i="6"/>
  <c r="D286" i="6"/>
  <c r="E286" i="6"/>
  <c r="F286" i="6"/>
  <c r="G286" i="6"/>
  <c r="B287" i="6"/>
  <c r="C287" i="6"/>
  <c r="D287" i="6"/>
  <c r="E287" i="6"/>
  <c r="F287" i="6"/>
  <c r="G287" i="6"/>
  <c r="B288" i="6"/>
  <c r="C288" i="6"/>
  <c r="D288" i="6"/>
  <c r="E288" i="6"/>
  <c r="F288" i="6"/>
  <c r="G288" i="6"/>
  <c r="B289" i="6"/>
  <c r="C289" i="6"/>
  <c r="D289" i="6"/>
  <c r="E289" i="6"/>
  <c r="F289" i="6"/>
  <c r="G289" i="6"/>
  <c r="B290" i="6"/>
  <c r="C290" i="6"/>
  <c r="D290" i="6"/>
  <c r="E290" i="6"/>
  <c r="F290" i="6"/>
  <c r="G290" i="6"/>
  <c r="B291" i="6"/>
  <c r="C291" i="6"/>
  <c r="D291" i="6"/>
  <c r="E291" i="6"/>
  <c r="F291" i="6"/>
  <c r="G291" i="6"/>
  <c r="B292" i="6"/>
  <c r="C292" i="6"/>
  <c r="D292" i="6"/>
  <c r="E292" i="6"/>
  <c r="F292" i="6"/>
  <c r="G292" i="6"/>
  <c r="B293" i="6"/>
  <c r="C293" i="6"/>
  <c r="D293" i="6"/>
  <c r="E293" i="6"/>
  <c r="F293" i="6"/>
  <c r="G293" i="6"/>
  <c r="B294" i="6"/>
  <c r="C294" i="6"/>
  <c r="D294" i="6"/>
  <c r="E294" i="6"/>
  <c r="F294" i="6"/>
  <c r="G294" i="6"/>
  <c r="B295" i="6"/>
  <c r="C295" i="6"/>
  <c r="D295" i="6"/>
  <c r="E295" i="6"/>
  <c r="F295" i="6"/>
  <c r="G295" i="6"/>
  <c r="B296" i="6"/>
  <c r="C296" i="6"/>
  <c r="D296" i="6"/>
  <c r="E296" i="6"/>
  <c r="F296" i="6"/>
  <c r="G296" i="6"/>
  <c r="B297" i="6"/>
  <c r="C297" i="6"/>
  <c r="D297" i="6"/>
  <c r="E297" i="6"/>
  <c r="F297" i="6"/>
  <c r="G297" i="6"/>
  <c r="B298" i="6"/>
  <c r="C298" i="6"/>
  <c r="D298" i="6"/>
  <c r="E298" i="6"/>
  <c r="F298" i="6"/>
  <c r="G298" i="6"/>
  <c r="B299" i="6"/>
  <c r="C299" i="6"/>
  <c r="D299" i="6"/>
  <c r="E299" i="6"/>
  <c r="F299" i="6"/>
  <c r="G299" i="6"/>
  <c r="B300" i="6"/>
  <c r="C300" i="6"/>
  <c r="D300" i="6"/>
  <c r="E300" i="6"/>
  <c r="F300" i="6"/>
  <c r="G300" i="6"/>
  <c r="B301" i="6"/>
  <c r="C301" i="6"/>
  <c r="D301" i="6"/>
  <c r="E301" i="6"/>
  <c r="F301" i="6"/>
  <c r="G301" i="6"/>
  <c r="B302" i="6"/>
  <c r="C302" i="6"/>
  <c r="D302" i="6"/>
  <c r="E302" i="6"/>
  <c r="F302" i="6"/>
  <c r="G302" i="6"/>
  <c r="B303" i="6"/>
  <c r="C303" i="6"/>
  <c r="D303" i="6"/>
  <c r="E303" i="6"/>
  <c r="F303" i="6"/>
  <c r="G303" i="6"/>
  <c r="B304" i="6"/>
  <c r="C304" i="6"/>
  <c r="D304" i="6"/>
  <c r="E304" i="6"/>
  <c r="F304" i="6"/>
  <c r="G304" i="6"/>
  <c r="B305" i="6"/>
  <c r="C305" i="6"/>
  <c r="D305" i="6"/>
  <c r="E305" i="6"/>
  <c r="F305" i="6"/>
  <c r="G305" i="6"/>
  <c r="B306" i="6"/>
  <c r="C306" i="6"/>
  <c r="D306" i="6"/>
  <c r="E306" i="6"/>
  <c r="F306" i="6"/>
  <c r="G306" i="6"/>
  <c r="B307" i="6"/>
  <c r="C307" i="6"/>
  <c r="D307" i="6"/>
  <c r="E307" i="6"/>
  <c r="F307" i="6"/>
  <c r="G307" i="6"/>
  <c r="B308" i="6"/>
  <c r="C308" i="6"/>
  <c r="D308" i="6"/>
  <c r="E308" i="6"/>
  <c r="F308" i="6"/>
  <c r="G308" i="6"/>
  <c r="B309" i="6"/>
  <c r="C309" i="6"/>
  <c r="D309" i="6"/>
  <c r="E309" i="6"/>
  <c r="F309" i="6"/>
  <c r="G309" i="6"/>
  <c r="B310" i="6"/>
  <c r="C310" i="6"/>
  <c r="D310" i="6"/>
  <c r="E310" i="6"/>
  <c r="F310" i="6"/>
  <c r="G310" i="6"/>
  <c r="B311" i="6"/>
  <c r="C311" i="6"/>
  <c r="D311" i="6"/>
  <c r="E311" i="6"/>
  <c r="F311" i="6"/>
  <c r="G311" i="6"/>
  <c r="B312" i="6"/>
  <c r="C312" i="6"/>
  <c r="D312" i="6"/>
  <c r="E312" i="6"/>
  <c r="F312" i="6"/>
  <c r="G312" i="6"/>
  <c r="B313" i="6"/>
  <c r="C313" i="6"/>
  <c r="D313" i="6"/>
  <c r="E313" i="6"/>
  <c r="F313" i="6"/>
  <c r="G313" i="6"/>
  <c r="B314" i="6"/>
  <c r="C314" i="6"/>
  <c r="D314" i="6"/>
  <c r="E314" i="6"/>
  <c r="F314" i="6"/>
  <c r="G314" i="6"/>
  <c r="B315" i="6"/>
  <c r="C315" i="6"/>
  <c r="D315" i="6"/>
  <c r="E315" i="6"/>
  <c r="F315" i="6"/>
  <c r="G315" i="6"/>
  <c r="B316" i="6"/>
  <c r="C316" i="6"/>
  <c r="D316" i="6"/>
  <c r="E316" i="6"/>
  <c r="F316" i="6"/>
  <c r="G316" i="6"/>
  <c r="B317" i="6"/>
  <c r="C317" i="6"/>
  <c r="D317" i="6"/>
  <c r="E317" i="6"/>
  <c r="F317" i="6"/>
  <c r="G317" i="6"/>
  <c r="B318" i="6"/>
  <c r="C318" i="6"/>
  <c r="D318" i="6"/>
  <c r="E318" i="6"/>
  <c r="F318" i="6"/>
  <c r="G318" i="6"/>
  <c r="B319" i="6"/>
  <c r="C319" i="6"/>
  <c r="D319" i="6"/>
  <c r="E319" i="6"/>
  <c r="F319" i="6"/>
  <c r="G319" i="6"/>
  <c r="B320" i="6"/>
  <c r="C320" i="6"/>
  <c r="D320" i="6"/>
  <c r="E320" i="6"/>
  <c r="F320" i="6"/>
  <c r="G320" i="6"/>
  <c r="B321" i="6"/>
  <c r="C321" i="6"/>
  <c r="D321" i="6"/>
  <c r="E321" i="6"/>
  <c r="F321" i="6"/>
  <c r="G321" i="6"/>
  <c r="B322" i="6"/>
  <c r="C322" i="6"/>
  <c r="D322" i="6"/>
  <c r="E322" i="6"/>
  <c r="F322" i="6"/>
  <c r="G322" i="6"/>
  <c r="B323" i="6"/>
  <c r="C323" i="6"/>
  <c r="D323" i="6"/>
  <c r="E323" i="6"/>
  <c r="F323" i="6"/>
  <c r="G323" i="6"/>
  <c r="B324" i="6"/>
  <c r="C324" i="6"/>
  <c r="D324" i="6"/>
  <c r="E324" i="6"/>
  <c r="F324" i="6"/>
  <c r="G324" i="6"/>
  <c r="B325" i="6"/>
  <c r="C325" i="6"/>
  <c r="D325" i="6"/>
  <c r="E325" i="6"/>
  <c r="F325" i="6"/>
  <c r="G325" i="6"/>
  <c r="B326" i="6"/>
  <c r="C326" i="6"/>
  <c r="D326" i="6"/>
  <c r="E326" i="6"/>
  <c r="F326" i="6"/>
  <c r="G326" i="6"/>
  <c r="B327" i="6"/>
  <c r="C327" i="6"/>
  <c r="D327" i="6"/>
  <c r="E327" i="6"/>
  <c r="F327" i="6"/>
  <c r="G327" i="6"/>
  <c r="B328" i="6"/>
  <c r="C328" i="6"/>
  <c r="D328" i="6"/>
  <c r="E328" i="6"/>
  <c r="F328" i="6"/>
  <c r="G328" i="6"/>
  <c r="B329" i="6"/>
  <c r="C329" i="6"/>
  <c r="D329" i="6"/>
  <c r="E329" i="6"/>
  <c r="F329" i="6"/>
  <c r="G329" i="6"/>
  <c r="B330" i="6"/>
  <c r="C330" i="6"/>
  <c r="D330" i="6"/>
  <c r="E330" i="6"/>
  <c r="F330" i="6"/>
  <c r="G330" i="6"/>
  <c r="B331" i="6"/>
  <c r="C331" i="6"/>
  <c r="D331" i="6"/>
  <c r="E331" i="6"/>
  <c r="F331" i="6"/>
  <c r="G331" i="6"/>
  <c r="B332" i="6"/>
  <c r="C332" i="6"/>
  <c r="D332" i="6"/>
  <c r="E332" i="6"/>
  <c r="F332" i="6"/>
  <c r="G332" i="6"/>
  <c r="B333" i="6"/>
  <c r="C333" i="6"/>
  <c r="D333" i="6"/>
  <c r="E333" i="6"/>
  <c r="F333" i="6"/>
  <c r="G333" i="6"/>
  <c r="B334" i="6"/>
  <c r="C334" i="6"/>
  <c r="D334" i="6"/>
  <c r="E334" i="6"/>
  <c r="F334" i="6"/>
  <c r="G334" i="6"/>
  <c r="B335" i="6"/>
  <c r="C335" i="6"/>
  <c r="D335" i="6"/>
  <c r="E335" i="6"/>
  <c r="F335" i="6"/>
  <c r="G335" i="6"/>
  <c r="B336" i="6"/>
  <c r="C336" i="6"/>
  <c r="D336" i="6"/>
  <c r="E336" i="6"/>
  <c r="F336" i="6"/>
  <c r="G336" i="6"/>
  <c r="B337" i="6"/>
  <c r="C337" i="6"/>
  <c r="D337" i="6"/>
  <c r="E337" i="6"/>
  <c r="F337" i="6"/>
  <c r="G337" i="6"/>
  <c r="B338" i="6"/>
  <c r="C338" i="6"/>
  <c r="D338" i="6"/>
  <c r="E338" i="6"/>
  <c r="F338" i="6"/>
  <c r="G338" i="6"/>
  <c r="B339" i="6"/>
  <c r="C339" i="6"/>
  <c r="D339" i="6"/>
  <c r="E339" i="6"/>
  <c r="F339" i="6"/>
  <c r="G339" i="6"/>
  <c r="B340" i="6"/>
  <c r="C340" i="6"/>
  <c r="D340" i="6"/>
  <c r="E340" i="6"/>
  <c r="F340" i="6"/>
  <c r="G340" i="6"/>
  <c r="B341" i="6"/>
  <c r="C341" i="6"/>
  <c r="D341" i="6"/>
  <c r="E341" i="6"/>
  <c r="F341" i="6"/>
  <c r="G341" i="6"/>
  <c r="B342" i="6"/>
  <c r="C342" i="6"/>
  <c r="D342" i="6"/>
  <c r="E342" i="6"/>
  <c r="F342" i="6"/>
  <c r="G342" i="6"/>
  <c r="B343" i="6"/>
  <c r="C343" i="6"/>
  <c r="D343" i="6"/>
  <c r="E343" i="6"/>
  <c r="F343" i="6"/>
  <c r="G343" i="6"/>
  <c r="B344" i="6"/>
  <c r="C344" i="6"/>
  <c r="D344" i="6"/>
  <c r="E344" i="6"/>
  <c r="F344" i="6"/>
  <c r="G344" i="6"/>
  <c r="B345" i="6"/>
  <c r="C345" i="6"/>
  <c r="D345" i="6"/>
  <c r="E345" i="6"/>
  <c r="F345" i="6"/>
  <c r="G345" i="6"/>
  <c r="B346" i="6"/>
  <c r="C346" i="6"/>
  <c r="D346" i="6"/>
  <c r="E346" i="6"/>
  <c r="F346" i="6"/>
  <c r="G346" i="6"/>
  <c r="B347" i="6"/>
  <c r="C347" i="6"/>
  <c r="D347" i="6"/>
  <c r="E347" i="6"/>
  <c r="F347" i="6"/>
  <c r="G347" i="6"/>
  <c r="B348" i="6"/>
  <c r="C348" i="6"/>
  <c r="D348" i="6"/>
  <c r="E348" i="6"/>
  <c r="F348" i="6"/>
  <c r="G348" i="6"/>
  <c r="B349" i="6"/>
  <c r="C349" i="6"/>
  <c r="D349" i="6"/>
  <c r="E349" i="6"/>
  <c r="F349" i="6"/>
  <c r="G349" i="6"/>
  <c r="B350" i="6"/>
  <c r="C350" i="6"/>
  <c r="D350" i="6"/>
  <c r="E350" i="6"/>
  <c r="F350" i="6"/>
  <c r="G350" i="6"/>
  <c r="B351" i="6"/>
  <c r="C351" i="6"/>
  <c r="D351" i="6"/>
  <c r="E351" i="6"/>
  <c r="F351" i="6"/>
  <c r="G351" i="6"/>
  <c r="B352" i="6"/>
  <c r="C352" i="6"/>
  <c r="D352" i="6"/>
  <c r="E352" i="6"/>
  <c r="F352" i="6"/>
  <c r="G352" i="6"/>
  <c r="B353" i="6"/>
  <c r="C353" i="6"/>
  <c r="D353" i="6"/>
  <c r="E353" i="6"/>
  <c r="F353" i="6"/>
  <c r="G353" i="6"/>
  <c r="B354" i="6"/>
  <c r="C354" i="6"/>
  <c r="D354" i="6"/>
  <c r="E354" i="6"/>
  <c r="F354" i="6"/>
  <c r="G354" i="6"/>
  <c r="B355" i="6"/>
  <c r="C355" i="6"/>
  <c r="D355" i="6"/>
  <c r="E355" i="6"/>
  <c r="F355" i="6"/>
  <c r="G355" i="6"/>
  <c r="B356" i="6"/>
  <c r="C356" i="6"/>
  <c r="D356" i="6"/>
  <c r="E356" i="6"/>
  <c r="F356" i="6"/>
  <c r="G356" i="6"/>
  <c r="B357" i="6"/>
  <c r="C357" i="6"/>
  <c r="D357" i="6"/>
  <c r="E357" i="6"/>
  <c r="F357" i="6"/>
  <c r="G357" i="6"/>
  <c r="B358" i="6"/>
  <c r="C358" i="6"/>
  <c r="D358" i="6"/>
  <c r="E358" i="6"/>
  <c r="F358" i="6"/>
  <c r="G358" i="6"/>
  <c r="B359" i="6"/>
  <c r="C359" i="6"/>
  <c r="D359" i="6"/>
  <c r="E359" i="6"/>
  <c r="F359" i="6"/>
  <c r="G359" i="6"/>
  <c r="B360" i="6"/>
  <c r="C360" i="6"/>
  <c r="D360" i="6"/>
  <c r="E360" i="6"/>
  <c r="F360" i="6"/>
  <c r="G360" i="6"/>
  <c r="B361" i="6"/>
  <c r="C361" i="6"/>
  <c r="D361" i="6"/>
  <c r="E361" i="6"/>
  <c r="F361" i="6"/>
  <c r="G361" i="6"/>
  <c r="B362" i="6"/>
  <c r="C362" i="6"/>
  <c r="D362" i="6"/>
  <c r="E362" i="6"/>
  <c r="F362" i="6"/>
  <c r="G362" i="6"/>
  <c r="B363" i="6"/>
  <c r="C363" i="6"/>
  <c r="D363" i="6"/>
  <c r="E363" i="6"/>
  <c r="F363" i="6"/>
  <c r="G363" i="6"/>
  <c r="B364" i="6"/>
  <c r="C364" i="6"/>
  <c r="D364" i="6"/>
  <c r="E364" i="6"/>
  <c r="F364" i="6"/>
  <c r="G364" i="6"/>
  <c r="B365" i="6"/>
  <c r="C365" i="6"/>
  <c r="D365" i="6"/>
  <c r="E365" i="6"/>
  <c r="F365" i="6"/>
  <c r="G365" i="6"/>
  <c r="B366" i="6"/>
  <c r="C366" i="6"/>
  <c r="D366" i="6"/>
  <c r="E366" i="6"/>
  <c r="F366" i="6"/>
  <c r="G366" i="6"/>
  <c r="B367" i="6"/>
  <c r="C367" i="6"/>
  <c r="D367" i="6"/>
  <c r="E367" i="6"/>
  <c r="F367" i="6"/>
  <c r="G367" i="6"/>
  <c r="B368" i="6"/>
  <c r="C368" i="6"/>
  <c r="D368" i="6"/>
  <c r="E368" i="6"/>
  <c r="F368" i="6"/>
  <c r="G368" i="6"/>
  <c r="B369" i="6"/>
  <c r="C369" i="6"/>
  <c r="D369" i="6"/>
  <c r="E369" i="6"/>
  <c r="F369" i="6"/>
  <c r="G369" i="6"/>
  <c r="B370" i="6"/>
  <c r="C370" i="6"/>
  <c r="D370" i="6"/>
  <c r="E370" i="6"/>
  <c r="F370" i="6"/>
  <c r="G370" i="6"/>
  <c r="B371" i="6"/>
  <c r="C371" i="6"/>
  <c r="D371" i="6"/>
  <c r="E371" i="6"/>
  <c r="F371" i="6"/>
  <c r="G371" i="6"/>
  <c r="B372" i="6"/>
  <c r="C372" i="6"/>
  <c r="D372" i="6"/>
  <c r="E372" i="6"/>
  <c r="F372" i="6"/>
  <c r="G372" i="6"/>
  <c r="B373" i="6"/>
  <c r="C373" i="6"/>
  <c r="D373" i="6"/>
  <c r="E373" i="6"/>
  <c r="F373" i="6"/>
  <c r="G373" i="6"/>
  <c r="B374" i="6"/>
  <c r="C374" i="6"/>
  <c r="D374" i="6"/>
  <c r="E374" i="6"/>
  <c r="F374" i="6"/>
  <c r="G374" i="6"/>
  <c r="B375" i="6"/>
  <c r="C375" i="6"/>
  <c r="D375" i="6"/>
  <c r="E375" i="6"/>
  <c r="F375" i="6"/>
  <c r="G375" i="6"/>
  <c r="B376" i="6"/>
  <c r="C376" i="6"/>
  <c r="D376" i="6"/>
  <c r="E376" i="6"/>
  <c r="F376" i="6"/>
  <c r="G376" i="6"/>
  <c r="B377" i="6"/>
  <c r="C377" i="6"/>
  <c r="D377" i="6"/>
  <c r="E377" i="6"/>
  <c r="F377" i="6"/>
  <c r="G377" i="6"/>
  <c r="B378" i="6"/>
  <c r="C378" i="6"/>
  <c r="D378" i="6"/>
  <c r="E378" i="6"/>
  <c r="F378" i="6"/>
  <c r="G378" i="6"/>
  <c r="B379" i="6"/>
  <c r="C379" i="6"/>
  <c r="D379" i="6"/>
  <c r="E379" i="6"/>
  <c r="F379" i="6"/>
  <c r="G379" i="6"/>
  <c r="B380" i="6"/>
  <c r="C380" i="6"/>
  <c r="D380" i="6"/>
  <c r="E380" i="6"/>
  <c r="F380" i="6"/>
  <c r="G380" i="6"/>
  <c r="B381" i="6"/>
  <c r="C381" i="6"/>
  <c r="D381" i="6"/>
  <c r="E381" i="6"/>
  <c r="F381" i="6"/>
  <c r="G381" i="6"/>
  <c r="B382" i="6"/>
  <c r="C382" i="6"/>
  <c r="D382" i="6"/>
  <c r="E382" i="6"/>
  <c r="F382" i="6"/>
  <c r="G382" i="6"/>
  <c r="B383" i="6"/>
  <c r="C383" i="6"/>
  <c r="D383" i="6"/>
  <c r="E383" i="6"/>
  <c r="F383" i="6"/>
  <c r="G383" i="6"/>
  <c r="B384" i="6"/>
  <c r="C384" i="6"/>
  <c r="D384" i="6"/>
  <c r="E384" i="6"/>
  <c r="F384" i="6"/>
  <c r="G384" i="6"/>
  <c r="B385" i="6"/>
  <c r="C385" i="6"/>
  <c r="D385" i="6"/>
  <c r="E385" i="6"/>
  <c r="F385" i="6"/>
  <c r="G385" i="6"/>
  <c r="B386" i="6"/>
  <c r="C386" i="6"/>
  <c r="D386" i="6"/>
  <c r="E386" i="6"/>
  <c r="F386" i="6"/>
  <c r="G386" i="6"/>
  <c r="B387" i="6"/>
  <c r="C387" i="6"/>
  <c r="D387" i="6"/>
  <c r="E387" i="6"/>
  <c r="F387" i="6"/>
  <c r="G387" i="6"/>
  <c r="B388" i="6"/>
  <c r="C388" i="6"/>
  <c r="D388" i="6"/>
  <c r="E388" i="6"/>
  <c r="F388" i="6"/>
  <c r="G388" i="6"/>
  <c r="B389" i="6"/>
  <c r="C389" i="6"/>
  <c r="D389" i="6"/>
  <c r="E389" i="6"/>
  <c r="F389" i="6"/>
  <c r="G389" i="6"/>
  <c r="B390" i="6"/>
  <c r="C390" i="6"/>
  <c r="D390" i="6"/>
  <c r="E390" i="6"/>
  <c r="F390" i="6"/>
  <c r="G390" i="6"/>
  <c r="B391" i="6"/>
  <c r="C391" i="6"/>
  <c r="D391" i="6"/>
  <c r="E391" i="6"/>
  <c r="F391" i="6"/>
  <c r="G391" i="6"/>
  <c r="B392" i="6"/>
  <c r="C392" i="6"/>
  <c r="D392" i="6"/>
  <c r="E392" i="6"/>
  <c r="F392" i="6"/>
  <c r="G392" i="6"/>
  <c r="B393" i="6"/>
  <c r="C393" i="6"/>
  <c r="D393" i="6"/>
  <c r="E393" i="6"/>
  <c r="F393" i="6"/>
  <c r="G393" i="6"/>
  <c r="B394" i="6"/>
  <c r="C394" i="6"/>
  <c r="D394" i="6"/>
  <c r="E394" i="6"/>
  <c r="F394" i="6"/>
  <c r="G394" i="6"/>
  <c r="B395" i="6"/>
  <c r="C395" i="6"/>
  <c r="D395" i="6"/>
  <c r="E395" i="6"/>
  <c r="F395" i="6"/>
  <c r="G395" i="6"/>
  <c r="B396" i="6"/>
  <c r="C396" i="6"/>
  <c r="D396" i="6"/>
  <c r="E396" i="6"/>
  <c r="F396" i="6"/>
  <c r="G396" i="6"/>
  <c r="B397" i="6"/>
  <c r="C397" i="6"/>
  <c r="D397" i="6"/>
  <c r="E397" i="6"/>
  <c r="F397" i="6"/>
  <c r="G397" i="6"/>
  <c r="B398" i="6"/>
  <c r="C398" i="6"/>
  <c r="D398" i="6"/>
  <c r="E398" i="6"/>
  <c r="F398" i="6"/>
  <c r="G398" i="6"/>
  <c r="B399" i="6"/>
  <c r="C399" i="6"/>
  <c r="D399" i="6"/>
  <c r="E399" i="6"/>
  <c r="F399" i="6"/>
  <c r="G399" i="6"/>
  <c r="B400" i="6"/>
  <c r="C400" i="6"/>
  <c r="D400" i="6"/>
  <c r="E400" i="6"/>
  <c r="F400" i="6"/>
  <c r="G400" i="6"/>
  <c r="B401" i="6"/>
  <c r="C401" i="6"/>
  <c r="D401" i="6"/>
  <c r="E401" i="6"/>
  <c r="F401" i="6"/>
  <c r="G401" i="6"/>
  <c r="B402" i="6"/>
  <c r="C402" i="6"/>
  <c r="D402" i="6"/>
  <c r="E402" i="6"/>
  <c r="F402" i="6"/>
  <c r="G402" i="6"/>
  <c r="B403" i="6"/>
  <c r="C403" i="6"/>
  <c r="D403" i="6"/>
  <c r="E403" i="6"/>
  <c r="F403" i="6"/>
  <c r="G403" i="6"/>
  <c r="B404" i="6"/>
  <c r="C404" i="6"/>
  <c r="D404" i="6"/>
  <c r="E404" i="6"/>
  <c r="F404" i="6"/>
  <c r="G404" i="6"/>
  <c r="B405" i="6"/>
  <c r="C405" i="6"/>
  <c r="D405" i="6"/>
  <c r="E405" i="6"/>
  <c r="F405" i="6"/>
  <c r="G405" i="6"/>
  <c r="B406" i="6"/>
  <c r="C406" i="6"/>
  <c r="D406" i="6"/>
  <c r="E406" i="6"/>
  <c r="F406" i="6"/>
  <c r="G406" i="6"/>
  <c r="B407" i="6"/>
  <c r="C407" i="6"/>
  <c r="D407" i="6"/>
  <c r="E407" i="6"/>
  <c r="F407" i="6"/>
  <c r="G407" i="6"/>
  <c r="B408" i="6"/>
  <c r="C408" i="6"/>
  <c r="D408" i="6"/>
  <c r="E408" i="6"/>
  <c r="F408" i="6"/>
  <c r="G408" i="6"/>
  <c r="B409" i="6"/>
  <c r="C409" i="6"/>
  <c r="D409" i="6"/>
  <c r="E409" i="6"/>
  <c r="F409" i="6"/>
  <c r="G409" i="6"/>
  <c r="B410" i="6"/>
  <c r="C410" i="6"/>
  <c r="D410" i="6"/>
  <c r="E410" i="6"/>
  <c r="F410" i="6"/>
  <c r="G410" i="6"/>
  <c r="B411" i="6"/>
  <c r="C411" i="6"/>
  <c r="D411" i="6"/>
  <c r="E411" i="6"/>
  <c r="F411" i="6"/>
  <c r="G411" i="6"/>
  <c r="B412" i="6"/>
  <c r="C412" i="6"/>
  <c r="D412" i="6"/>
  <c r="E412" i="6"/>
  <c r="F412" i="6"/>
  <c r="G412" i="6"/>
  <c r="B413" i="6"/>
  <c r="C413" i="6"/>
  <c r="D413" i="6"/>
  <c r="E413" i="6"/>
  <c r="F413" i="6"/>
  <c r="G413" i="6"/>
  <c r="B414" i="6"/>
  <c r="C414" i="6"/>
  <c r="D414" i="6"/>
  <c r="E414" i="6"/>
  <c r="F414" i="6"/>
  <c r="G414" i="6"/>
  <c r="B415" i="6"/>
  <c r="C415" i="6"/>
  <c r="D415" i="6"/>
  <c r="E415" i="6"/>
  <c r="F415" i="6"/>
  <c r="G415" i="6"/>
  <c r="B416" i="6"/>
  <c r="C416" i="6"/>
  <c r="D416" i="6"/>
  <c r="E416" i="6"/>
  <c r="F416" i="6"/>
  <c r="G416" i="6"/>
  <c r="B417" i="6"/>
  <c r="C417" i="6"/>
  <c r="D417" i="6"/>
  <c r="E417" i="6"/>
  <c r="F417" i="6"/>
  <c r="G417" i="6"/>
  <c r="B418" i="6"/>
  <c r="C418" i="6"/>
  <c r="D418" i="6"/>
  <c r="E418" i="6"/>
  <c r="F418" i="6"/>
  <c r="G418" i="6"/>
  <c r="B419" i="6"/>
  <c r="C419" i="6"/>
  <c r="D419" i="6"/>
  <c r="E419" i="6"/>
  <c r="F419" i="6"/>
  <c r="G419" i="6"/>
  <c r="B420" i="6"/>
  <c r="C420" i="6"/>
  <c r="D420" i="6"/>
  <c r="E420" i="6"/>
  <c r="F420" i="6"/>
  <c r="G420" i="6"/>
  <c r="B421" i="6"/>
  <c r="C421" i="6"/>
  <c r="D421" i="6"/>
  <c r="E421" i="6"/>
  <c r="F421" i="6"/>
  <c r="G421" i="6"/>
  <c r="B422" i="6"/>
  <c r="C422" i="6"/>
  <c r="D422" i="6"/>
  <c r="E422" i="6"/>
  <c r="F422" i="6"/>
  <c r="G422" i="6"/>
  <c r="B423" i="6"/>
  <c r="C423" i="6"/>
  <c r="D423" i="6"/>
  <c r="E423" i="6"/>
  <c r="F423" i="6"/>
  <c r="G423" i="6"/>
  <c r="B424" i="6"/>
  <c r="C424" i="6"/>
  <c r="D424" i="6"/>
  <c r="E424" i="6"/>
  <c r="F424" i="6"/>
  <c r="G424" i="6"/>
  <c r="B425" i="6"/>
  <c r="C425" i="6"/>
  <c r="D425" i="6"/>
  <c r="E425" i="6"/>
  <c r="F425" i="6"/>
  <c r="G425" i="6"/>
  <c r="B426" i="6"/>
  <c r="C426" i="6"/>
  <c r="D426" i="6"/>
  <c r="E426" i="6"/>
  <c r="F426" i="6"/>
  <c r="G426" i="6"/>
  <c r="B427" i="6"/>
  <c r="C427" i="6"/>
  <c r="D427" i="6"/>
  <c r="E427" i="6"/>
  <c r="F427" i="6"/>
  <c r="G427" i="6"/>
  <c r="B428" i="6"/>
  <c r="C428" i="6"/>
  <c r="D428" i="6"/>
  <c r="E428" i="6"/>
  <c r="F428" i="6"/>
  <c r="G428" i="6"/>
  <c r="B429" i="6"/>
  <c r="C429" i="6"/>
  <c r="D429" i="6"/>
  <c r="E429" i="6"/>
  <c r="F429" i="6"/>
  <c r="G429" i="6"/>
  <c r="B430" i="6"/>
  <c r="C430" i="6"/>
  <c r="D430" i="6"/>
  <c r="E430" i="6"/>
  <c r="F430" i="6"/>
  <c r="G430" i="6"/>
  <c r="B431" i="6"/>
  <c r="C431" i="6"/>
  <c r="D431" i="6"/>
  <c r="E431" i="6"/>
  <c r="F431" i="6"/>
  <c r="G431" i="6"/>
  <c r="B432" i="6"/>
  <c r="C432" i="6"/>
  <c r="D432" i="6"/>
  <c r="E432" i="6"/>
  <c r="F432" i="6"/>
  <c r="G432" i="6"/>
  <c r="B433" i="6"/>
  <c r="C433" i="6"/>
  <c r="D433" i="6"/>
  <c r="E433" i="6"/>
  <c r="F433" i="6"/>
  <c r="G433" i="6"/>
  <c r="B434" i="6"/>
  <c r="C434" i="6"/>
  <c r="D434" i="6"/>
  <c r="E434" i="6"/>
  <c r="F434" i="6"/>
  <c r="G434" i="6"/>
  <c r="B435" i="6"/>
  <c r="C435" i="6"/>
  <c r="D435" i="6"/>
  <c r="E435" i="6"/>
  <c r="F435" i="6"/>
  <c r="G435" i="6"/>
  <c r="B436" i="6"/>
  <c r="C436" i="6"/>
  <c r="D436" i="6"/>
  <c r="E436" i="6"/>
  <c r="F436" i="6"/>
  <c r="G436" i="6"/>
  <c r="B437" i="6"/>
  <c r="C437" i="6"/>
  <c r="D437" i="6"/>
  <c r="E437" i="6"/>
  <c r="F437" i="6"/>
  <c r="G437" i="6"/>
  <c r="B438" i="6"/>
  <c r="C438" i="6"/>
  <c r="D438" i="6"/>
  <c r="E438" i="6"/>
  <c r="F438" i="6"/>
  <c r="G438" i="6"/>
  <c r="B439" i="6"/>
  <c r="C439" i="6"/>
  <c r="D439" i="6"/>
  <c r="E439" i="6"/>
  <c r="F439" i="6"/>
  <c r="G439" i="6"/>
  <c r="B440" i="6"/>
  <c r="C440" i="6"/>
  <c r="D440" i="6"/>
  <c r="E440" i="6"/>
  <c r="F440" i="6"/>
  <c r="G440" i="6"/>
  <c r="B441" i="6"/>
  <c r="C441" i="6"/>
  <c r="D441" i="6"/>
  <c r="E441" i="6"/>
  <c r="F441" i="6"/>
  <c r="G441" i="6"/>
  <c r="B442" i="6"/>
  <c r="C442" i="6"/>
  <c r="D442" i="6"/>
  <c r="E442" i="6"/>
  <c r="F442" i="6"/>
  <c r="G442" i="6"/>
  <c r="B443" i="6"/>
  <c r="C443" i="6"/>
  <c r="D443" i="6"/>
  <c r="E443" i="6"/>
  <c r="F443" i="6"/>
  <c r="G443" i="6"/>
  <c r="B444" i="6"/>
  <c r="C444" i="6"/>
  <c r="D444" i="6"/>
  <c r="E444" i="6"/>
  <c r="F444" i="6"/>
  <c r="G444" i="6"/>
  <c r="B445" i="6"/>
  <c r="C445" i="6"/>
  <c r="D445" i="6"/>
  <c r="E445" i="6"/>
  <c r="F445" i="6"/>
  <c r="G445" i="6"/>
  <c r="B446" i="6"/>
  <c r="C446" i="6"/>
  <c r="D446" i="6"/>
  <c r="E446" i="6"/>
  <c r="F446" i="6"/>
  <c r="G446" i="6"/>
  <c r="B447" i="6"/>
  <c r="C447" i="6"/>
  <c r="D447" i="6"/>
  <c r="E447" i="6"/>
  <c r="F447" i="6"/>
  <c r="G447" i="6"/>
  <c r="B448" i="6"/>
  <c r="C448" i="6"/>
  <c r="D448" i="6"/>
  <c r="E448" i="6"/>
  <c r="F448" i="6"/>
  <c r="G448" i="6"/>
  <c r="B449" i="6"/>
  <c r="C449" i="6"/>
  <c r="D449" i="6"/>
  <c r="E449" i="6"/>
  <c r="F449" i="6"/>
  <c r="G449" i="6"/>
  <c r="B450" i="6"/>
  <c r="C450" i="6"/>
  <c r="D450" i="6"/>
  <c r="E450" i="6"/>
  <c r="F450" i="6"/>
  <c r="G450" i="6"/>
  <c r="B451" i="6"/>
  <c r="C451" i="6"/>
  <c r="D451" i="6"/>
  <c r="E451" i="6"/>
  <c r="F451" i="6"/>
  <c r="G451" i="6"/>
  <c r="B452" i="6"/>
  <c r="C452" i="6"/>
  <c r="D452" i="6"/>
  <c r="E452" i="6"/>
  <c r="F452" i="6"/>
  <c r="G452" i="6"/>
  <c r="B453" i="6"/>
  <c r="C453" i="6"/>
  <c r="D453" i="6"/>
  <c r="E453" i="6"/>
  <c r="F453" i="6"/>
  <c r="G453" i="6"/>
  <c r="B454" i="6"/>
  <c r="C454" i="6"/>
  <c r="D454" i="6"/>
  <c r="E454" i="6"/>
  <c r="F454" i="6"/>
  <c r="G454" i="6"/>
  <c r="B455" i="6"/>
  <c r="C455" i="6"/>
  <c r="D455" i="6"/>
  <c r="E455" i="6"/>
  <c r="F455" i="6"/>
  <c r="G455" i="6"/>
  <c r="B456" i="6"/>
  <c r="C456" i="6"/>
  <c r="D456" i="6"/>
  <c r="E456" i="6"/>
  <c r="F456" i="6"/>
  <c r="G456" i="6"/>
  <c r="B457" i="6"/>
  <c r="C457" i="6"/>
  <c r="D457" i="6"/>
  <c r="E457" i="6"/>
  <c r="F457" i="6"/>
  <c r="G457" i="6"/>
  <c r="B458" i="6"/>
  <c r="C458" i="6"/>
  <c r="D458" i="6"/>
  <c r="E458" i="6"/>
  <c r="F458" i="6"/>
  <c r="G458" i="6"/>
  <c r="B459" i="6"/>
  <c r="C459" i="6"/>
  <c r="D459" i="6"/>
  <c r="E459" i="6"/>
  <c r="F459" i="6"/>
  <c r="G459" i="6"/>
  <c r="B460" i="6"/>
  <c r="C460" i="6"/>
  <c r="D460" i="6"/>
  <c r="E460" i="6"/>
  <c r="F460" i="6"/>
  <c r="G460" i="6"/>
  <c r="B461" i="6"/>
  <c r="C461" i="6"/>
  <c r="D461" i="6"/>
  <c r="E461" i="6"/>
  <c r="F461" i="6"/>
  <c r="G461" i="6"/>
  <c r="B462" i="6"/>
  <c r="C462" i="6"/>
  <c r="D462" i="6"/>
  <c r="E462" i="6"/>
  <c r="F462" i="6"/>
  <c r="G462" i="6"/>
  <c r="B463" i="6"/>
  <c r="C463" i="6"/>
  <c r="D463" i="6"/>
  <c r="E463" i="6"/>
  <c r="F463" i="6"/>
  <c r="G463" i="6"/>
  <c r="B464" i="6"/>
  <c r="C464" i="6"/>
  <c r="D464" i="6"/>
  <c r="E464" i="6"/>
  <c r="F464" i="6"/>
  <c r="G464" i="6"/>
  <c r="B465" i="6"/>
  <c r="C465" i="6"/>
  <c r="D465" i="6"/>
  <c r="E465" i="6"/>
  <c r="F465" i="6"/>
  <c r="G465" i="6"/>
  <c r="B466" i="6"/>
  <c r="C466" i="6"/>
  <c r="D466" i="6"/>
  <c r="E466" i="6"/>
  <c r="F466" i="6"/>
  <c r="G466" i="6"/>
  <c r="B467" i="6"/>
  <c r="C467" i="6"/>
  <c r="D467" i="6"/>
  <c r="E467" i="6"/>
  <c r="F467" i="6"/>
  <c r="G467" i="6"/>
  <c r="B468" i="6"/>
  <c r="C468" i="6"/>
  <c r="D468" i="6"/>
  <c r="E468" i="6"/>
  <c r="F468" i="6"/>
  <c r="G468" i="6"/>
  <c r="B469" i="6"/>
  <c r="C469" i="6"/>
  <c r="D469" i="6"/>
  <c r="E469" i="6"/>
  <c r="F469" i="6"/>
  <c r="G469" i="6"/>
  <c r="B470" i="6"/>
  <c r="C470" i="6"/>
  <c r="D470" i="6"/>
  <c r="E470" i="6"/>
  <c r="F470" i="6"/>
  <c r="G470" i="6"/>
  <c r="B471" i="6"/>
  <c r="C471" i="6"/>
  <c r="D471" i="6"/>
  <c r="E471" i="6"/>
  <c r="F471" i="6"/>
  <c r="G471" i="6"/>
  <c r="B472" i="6"/>
  <c r="C472" i="6"/>
  <c r="D472" i="6"/>
  <c r="E472" i="6"/>
  <c r="F472" i="6"/>
  <c r="G472" i="6"/>
  <c r="B473" i="6"/>
  <c r="C473" i="6"/>
  <c r="D473" i="6"/>
  <c r="E473" i="6"/>
  <c r="F473" i="6"/>
  <c r="G473" i="6"/>
  <c r="B474" i="6"/>
  <c r="C474" i="6"/>
  <c r="D474" i="6"/>
  <c r="E474" i="6"/>
  <c r="F474" i="6"/>
  <c r="G474" i="6"/>
  <c r="B475" i="6"/>
  <c r="C475" i="6"/>
  <c r="D475" i="6"/>
  <c r="E475" i="6"/>
  <c r="F475" i="6"/>
  <c r="G475" i="6"/>
  <c r="B476" i="6"/>
  <c r="C476" i="6"/>
  <c r="D476" i="6"/>
  <c r="E476" i="6"/>
  <c r="F476" i="6"/>
  <c r="G476" i="6"/>
  <c r="B477" i="6"/>
  <c r="C477" i="6"/>
  <c r="D477" i="6"/>
  <c r="E477" i="6"/>
  <c r="F477" i="6"/>
  <c r="G477" i="6"/>
  <c r="B478" i="6"/>
  <c r="C478" i="6"/>
  <c r="D478" i="6"/>
  <c r="E478" i="6"/>
  <c r="F478" i="6"/>
  <c r="G478" i="6"/>
  <c r="B479" i="6"/>
  <c r="C479" i="6"/>
  <c r="D479" i="6"/>
  <c r="E479" i="6"/>
  <c r="F479" i="6"/>
  <c r="G479" i="6"/>
  <c r="B480" i="6"/>
  <c r="C480" i="6"/>
  <c r="D480" i="6"/>
  <c r="E480" i="6"/>
  <c r="F480" i="6"/>
  <c r="G480" i="6"/>
  <c r="B481" i="6"/>
  <c r="C481" i="6"/>
  <c r="D481" i="6"/>
  <c r="E481" i="6"/>
  <c r="F481" i="6"/>
  <c r="G481" i="6"/>
  <c r="B482" i="6"/>
  <c r="C482" i="6"/>
  <c r="D482" i="6"/>
  <c r="E482" i="6"/>
  <c r="F482" i="6"/>
  <c r="G482" i="6"/>
  <c r="B483" i="6"/>
  <c r="C483" i="6"/>
  <c r="D483" i="6"/>
  <c r="E483" i="6"/>
  <c r="F483" i="6"/>
  <c r="G483" i="6"/>
  <c r="B484" i="6"/>
  <c r="C484" i="6"/>
  <c r="D484" i="6"/>
  <c r="E484" i="6"/>
  <c r="F484" i="6"/>
  <c r="G484" i="6"/>
  <c r="B485" i="6"/>
  <c r="C485" i="6"/>
  <c r="D485" i="6"/>
  <c r="E485" i="6"/>
  <c r="F485" i="6"/>
  <c r="G485" i="6"/>
  <c r="B486" i="6"/>
  <c r="C486" i="6"/>
  <c r="D486" i="6"/>
  <c r="E486" i="6"/>
  <c r="F486" i="6"/>
  <c r="G486" i="6"/>
  <c r="B487" i="6"/>
  <c r="C487" i="6"/>
  <c r="D487" i="6"/>
  <c r="E487" i="6"/>
  <c r="F487" i="6"/>
  <c r="G487" i="6"/>
  <c r="B488" i="6"/>
  <c r="C488" i="6"/>
  <c r="D488" i="6"/>
  <c r="E488" i="6"/>
  <c r="F488" i="6"/>
  <c r="G488" i="6"/>
  <c r="B489" i="6"/>
  <c r="C489" i="6"/>
  <c r="D489" i="6"/>
  <c r="E489" i="6"/>
  <c r="F489" i="6"/>
  <c r="G489" i="6"/>
  <c r="B490" i="6"/>
  <c r="C490" i="6"/>
  <c r="D490" i="6"/>
  <c r="E490" i="6"/>
  <c r="F490" i="6"/>
  <c r="G490" i="6"/>
  <c r="B491" i="6"/>
  <c r="C491" i="6"/>
  <c r="D491" i="6"/>
  <c r="E491" i="6"/>
  <c r="F491" i="6"/>
  <c r="G491" i="6"/>
  <c r="B492" i="6"/>
  <c r="C492" i="6"/>
  <c r="D492" i="6"/>
  <c r="E492" i="6"/>
  <c r="F492" i="6"/>
  <c r="G492" i="6"/>
  <c r="B493" i="6"/>
  <c r="C493" i="6"/>
  <c r="D493" i="6"/>
  <c r="E493" i="6"/>
  <c r="F493" i="6"/>
  <c r="G493" i="6"/>
  <c r="B494" i="6"/>
  <c r="C494" i="6"/>
  <c r="D494" i="6"/>
  <c r="E494" i="6"/>
  <c r="F494" i="6"/>
  <c r="G494" i="6"/>
  <c r="B495" i="6"/>
  <c r="C495" i="6"/>
  <c r="D495" i="6"/>
  <c r="E495" i="6"/>
  <c r="F495" i="6"/>
  <c r="G495" i="6"/>
  <c r="B496" i="6"/>
  <c r="C496" i="6"/>
  <c r="D496" i="6"/>
  <c r="E496" i="6"/>
  <c r="F496" i="6"/>
  <c r="G496" i="6"/>
  <c r="B497" i="6"/>
  <c r="C497" i="6"/>
  <c r="D497" i="6"/>
  <c r="E497" i="6"/>
  <c r="F497" i="6"/>
  <c r="G497" i="6"/>
  <c r="B498" i="6"/>
  <c r="C498" i="6"/>
  <c r="D498" i="6"/>
  <c r="E498" i="6"/>
  <c r="F498" i="6"/>
  <c r="G498" i="6"/>
  <c r="B499" i="6"/>
  <c r="C499" i="6"/>
  <c r="D499" i="6"/>
  <c r="E499" i="6"/>
  <c r="F499" i="6"/>
  <c r="G499" i="6"/>
  <c r="B500" i="6"/>
  <c r="C500" i="6"/>
  <c r="D500" i="6"/>
  <c r="E500" i="6"/>
  <c r="F500" i="6"/>
  <c r="G500" i="6"/>
  <c r="B501" i="6"/>
  <c r="C501" i="6"/>
  <c r="D501" i="6"/>
  <c r="E501" i="6"/>
  <c r="F501" i="6"/>
  <c r="G501" i="6"/>
  <c r="B502" i="6"/>
  <c r="C502" i="6"/>
  <c r="D502" i="6"/>
  <c r="E502" i="6"/>
  <c r="F502" i="6"/>
  <c r="G502" i="6"/>
  <c r="B503" i="6"/>
  <c r="C503" i="6"/>
  <c r="D503" i="6"/>
  <c r="E503" i="6"/>
  <c r="F503" i="6"/>
  <c r="G503" i="6"/>
  <c r="B504" i="6"/>
  <c r="C504" i="6"/>
  <c r="D504" i="6"/>
  <c r="E504" i="6"/>
  <c r="F504" i="6"/>
  <c r="G504" i="6"/>
  <c r="B505" i="6"/>
  <c r="C505" i="6"/>
  <c r="D505" i="6"/>
  <c r="E505" i="6"/>
  <c r="F505" i="6"/>
  <c r="G505" i="6"/>
  <c r="B506" i="6"/>
  <c r="C506" i="6"/>
  <c r="D506" i="6"/>
  <c r="E506" i="6"/>
  <c r="F506" i="6"/>
  <c r="G506" i="6"/>
  <c r="B507" i="6"/>
  <c r="C507" i="6"/>
  <c r="D507" i="6"/>
  <c r="E507" i="6"/>
  <c r="F507" i="6"/>
  <c r="G507" i="6"/>
  <c r="B508" i="6"/>
  <c r="C508" i="6"/>
  <c r="D508" i="6"/>
  <c r="E508" i="6"/>
  <c r="F508" i="6"/>
  <c r="G508" i="6"/>
  <c r="B509" i="6"/>
  <c r="C509" i="6"/>
  <c r="D509" i="6"/>
  <c r="E509" i="6"/>
  <c r="F509" i="6"/>
  <c r="G509" i="6"/>
  <c r="B510" i="6"/>
  <c r="C510" i="6"/>
  <c r="D510" i="6"/>
  <c r="E510" i="6"/>
  <c r="F510" i="6"/>
  <c r="G510" i="6"/>
  <c r="B511" i="6"/>
  <c r="C511" i="6"/>
  <c r="D511" i="6"/>
  <c r="E511" i="6"/>
  <c r="F511" i="6"/>
  <c r="G511" i="6"/>
  <c r="B512" i="6"/>
  <c r="C512" i="6"/>
  <c r="D512" i="6"/>
  <c r="E512" i="6"/>
  <c r="F512" i="6"/>
  <c r="G512" i="6"/>
  <c r="B513" i="6"/>
  <c r="C513" i="6"/>
  <c r="D513" i="6"/>
  <c r="E513" i="6"/>
  <c r="F513" i="6"/>
  <c r="G513" i="6"/>
  <c r="B514" i="6"/>
  <c r="C514" i="6"/>
  <c r="D514" i="6"/>
  <c r="E514" i="6"/>
  <c r="F514" i="6"/>
  <c r="G514" i="6"/>
  <c r="B515" i="6"/>
  <c r="C515" i="6"/>
  <c r="D515" i="6"/>
  <c r="E515" i="6"/>
  <c r="F515" i="6"/>
  <c r="G515" i="6"/>
  <c r="B516" i="6"/>
  <c r="C516" i="6"/>
  <c r="D516" i="6"/>
  <c r="E516" i="6"/>
  <c r="F516" i="6"/>
  <c r="G516" i="6"/>
  <c r="B517" i="6"/>
  <c r="C517" i="6"/>
  <c r="D517" i="6"/>
  <c r="E517" i="6"/>
  <c r="F517" i="6"/>
  <c r="G517" i="6"/>
  <c r="B518" i="6"/>
  <c r="C518" i="6"/>
  <c r="D518" i="6"/>
  <c r="E518" i="6"/>
  <c r="F518" i="6"/>
  <c r="G518" i="6"/>
  <c r="B519" i="6"/>
  <c r="C519" i="6"/>
  <c r="D519" i="6"/>
  <c r="E519" i="6"/>
  <c r="F519" i="6"/>
  <c r="G519" i="6"/>
  <c r="B520" i="6"/>
  <c r="C520" i="6"/>
  <c r="D520" i="6"/>
  <c r="E520" i="6"/>
  <c r="F520" i="6"/>
  <c r="G520" i="6"/>
  <c r="B521" i="6"/>
  <c r="C521" i="6"/>
  <c r="D521" i="6"/>
  <c r="E521" i="6"/>
  <c r="F521" i="6"/>
  <c r="G521" i="6"/>
  <c r="B522" i="6"/>
  <c r="C522" i="6"/>
  <c r="D522" i="6"/>
  <c r="E522" i="6"/>
  <c r="F522" i="6"/>
  <c r="G522" i="6"/>
  <c r="B523" i="6"/>
  <c r="C523" i="6"/>
  <c r="D523" i="6"/>
  <c r="E523" i="6"/>
  <c r="F523" i="6"/>
  <c r="G523" i="6"/>
  <c r="B524" i="6"/>
  <c r="C524" i="6"/>
  <c r="D524" i="6"/>
  <c r="E524" i="6"/>
  <c r="F524" i="6"/>
  <c r="G524" i="6"/>
  <c r="B525" i="6"/>
  <c r="C525" i="6"/>
  <c r="D525" i="6"/>
  <c r="E525" i="6"/>
  <c r="F525" i="6"/>
  <c r="G525" i="6"/>
  <c r="B526" i="6"/>
  <c r="C526" i="6"/>
  <c r="D526" i="6"/>
  <c r="E526" i="6"/>
  <c r="F526" i="6"/>
  <c r="G526" i="6"/>
  <c r="B527" i="6"/>
  <c r="C527" i="6"/>
  <c r="D527" i="6"/>
  <c r="E527" i="6"/>
  <c r="F527" i="6"/>
  <c r="G527" i="6"/>
  <c r="B528" i="6"/>
  <c r="C528" i="6"/>
  <c r="D528" i="6"/>
  <c r="E528" i="6"/>
  <c r="F528" i="6"/>
  <c r="G528" i="6"/>
  <c r="B529" i="6"/>
  <c r="C529" i="6"/>
  <c r="D529" i="6"/>
  <c r="E529" i="6"/>
  <c r="F529" i="6"/>
  <c r="G529" i="6"/>
  <c r="B530" i="6"/>
  <c r="C530" i="6"/>
  <c r="D530" i="6"/>
  <c r="E530" i="6"/>
  <c r="F530" i="6"/>
  <c r="G530" i="6"/>
  <c r="B531" i="6"/>
  <c r="C531" i="6"/>
  <c r="D531" i="6"/>
  <c r="E531" i="6"/>
  <c r="F531" i="6"/>
  <c r="G531" i="6"/>
  <c r="B532" i="6"/>
  <c r="C532" i="6"/>
  <c r="D532" i="6"/>
  <c r="E532" i="6"/>
  <c r="F532" i="6"/>
  <c r="G532" i="6"/>
  <c r="B533" i="6"/>
  <c r="C533" i="6"/>
  <c r="D533" i="6"/>
  <c r="E533" i="6"/>
  <c r="F533" i="6"/>
  <c r="G533" i="6"/>
  <c r="B534" i="6"/>
  <c r="C534" i="6"/>
  <c r="D534" i="6"/>
  <c r="E534" i="6"/>
  <c r="F534" i="6"/>
  <c r="G534" i="6"/>
  <c r="B535" i="6"/>
  <c r="C535" i="6"/>
  <c r="D535" i="6"/>
  <c r="E535" i="6"/>
  <c r="F535" i="6"/>
  <c r="G535" i="6"/>
  <c r="B536" i="6"/>
  <c r="C536" i="6"/>
  <c r="D536" i="6"/>
  <c r="E536" i="6"/>
  <c r="F536" i="6"/>
  <c r="G536" i="6"/>
  <c r="B537" i="6"/>
  <c r="C537" i="6"/>
  <c r="D537" i="6"/>
  <c r="E537" i="6"/>
  <c r="F537" i="6"/>
  <c r="G537" i="6"/>
  <c r="B538" i="6"/>
  <c r="C538" i="6"/>
  <c r="D538" i="6"/>
  <c r="E538" i="6"/>
  <c r="F538" i="6"/>
  <c r="G538" i="6"/>
  <c r="B539" i="6"/>
  <c r="C539" i="6"/>
  <c r="D539" i="6"/>
  <c r="E539" i="6"/>
  <c r="F539" i="6"/>
  <c r="G539" i="6"/>
  <c r="B540" i="6"/>
  <c r="C540" i="6"/>
  <c r="D540" i="6"/>
  <c r="E540" i="6"/>
  <c r="F540" i="6"/>
  <c r="G540" i="6"/>
  <c r="B541" i="6"/>
  <c r="C541" i="6"/>
  <c r="D541" i="6"/>
  <c r="E541" i="6"/>
  <c r="F541" i="6"/>
  <c r="G541" i="6"/>
  <c r="B542" i="6"/>
  <c r="C542" i="6"/>
  <c r="D542" i="6"/>
  <c r="E542" i="6"/>
  <c r="F542" i="6"/>
  <c r="G542" i="6"/>
  <c r="B543" i="6"/>
  <c r="C543" i="6"/>
  <c r="D543" i="6"/>
  <c r="E543" i="6"/>
  <c r="F543" i="6"/>
  <c r="G543" i="6"/>
  <c r="B544" i="6"/>
  <c r="C544" i="6"/>
  <c r="D544" i="6"/>
  <c r="E544" i="6"/>
  <c r="F544" i="6"/>
  <c r="G544" i="6"/>
  <c r="B545" i="6"/>
  <c r="C545" i="6"/>
  <c r="D545" i="6"/>
  <c r="E545" i="6"/>
  <c r="F545" i="6"/>
  <c r="G545" i="6"/>
  <c r="B546" i="6"/>
  <c r="C546" i="6"/>
  <c r="D546" i="6"/>
  <c r="E546" i="6"/>
  <c r="F546" i="6"/>
  <c r="G546" i="6"/>
  <c r="B547" i="6"/>
  <c r="C547" i="6"/>
  <c r="D547" i="6"/>
  <c r="E547" i="6"/>
  <c r="F547" i="6"/>
  <c r="G547" i="6"/>
  <c r="B548" i="6"/>
  <c r="C548" i="6"/>
  <c r="D548" i="6"/>
  <c r="E548" i="6"/>
  <c r="F548" i="6"/>
  <c r="G548" i="6"/>
  <c r="B549" i="6"/>
  <c r="C549" i="6"/>
  <c r="D549" i="6"/>
  <c r="E549" i="6"/>
  <c r="F549" i="6"/>
  <c r="G549" i="6"/>
  <c r="B550" i="6"/>
  <c r="C550" i="6"/>
  <c r="D550" i="6"/>
  <c r="E550" i="6"/>
  <c r="F550" i="6"/>
  <c r="G550" i="6"/>
  <c r="B551" i="6"/>
  <c r="C551" i="6"/>
  <c r="D551" i="6"/>
  <c r="E551" i="6"/>
  <c r="F551" i="6"/>
  <c r="G551" i="6"/>
  <c r="B552" i="6"/>
  <c r="C552" i="6"/>
  <c r="D552" i="6"/>
  <c r="E552" i="6"/>
  <c r="F552" i="6"/>
  <c r="G552" i="6"/>
  <c r="B553" i="6"/>
  <c r="C553" i="6"/>
  <c r="D553" i="6"/>
  <c r="E553" i="6"/>
  <c r="F553" i="6"/>
  <c r="G553" i="6"/>
  <c r="B554" i="6"/>
  <c r="C554" i="6"/>
  <c r="D554" i="6"/>
  <c r="E554" i="6"/>
  <c r="F554" i="6"/>
  <c r="G554" i="6"/>
  <c r="B555" i="6"/>
  <c r="C555" i="6"/>
  <c r="D555" i="6"/>
  <c r="E555" i="6"/>
  <c r="F555" i="6"/>
  <c r="G555" i="6"/>
  <c r="B556" i="6"/>
  <c r="C556" i="6"/>
  <c r="D556" i="6"/>
  <c r="E556" i="6"/>
  <c r="F556" i="6"/>
  <c r="G556" i="6"/>
  <c r="B557" i="6"/>
  <c r="C557" i="6"/>
  <c r="D557" i="6"/>
  <c r="E557" i="6"/>
  <c r="F557" i="6"/>
  <c r="G557" i="6"/>
  <c r="B558" i="6"/>
  <c r="C558" i="6"/>
  <c r="D558" i="6"/>
  <c r="E558" i="6"/>
  <c r="F558" i="6"/>
  <c r="G558" i="6"/>
  <c r="B559" i="6"/>
  <c r="C559" i="6"/>
  <c r="D559" i="6"/>
  <c r="E559" i="6"/>
  <c r="F559" i="6"/>
  <c r="G559" i="6"/>
  <c r="B560" i="6"/>
  <c r="C560" i="6"/>
  <c r="D560" i="6"/>
  <c r="E560" i="6"/>
  <c r="F560" i="6"/>
  <c r="G560" i="6"/>
  <c r="B561" i="6"/>
  <c r="C561" i="6"/>
  <c r="D561" i="6"/>
  <c r="E561" i="6"/>
  <c r="F561" i="6"/>
  <c r="G561" i="6"/>
  <c r="B562" i="6"/>
  <c r="C562" i="6"/>
  <c r="D562" i="6"/>
  <c r="E562" i="6"/>
  <c r="F562" i="6"/>
  <c r="G562" i="6"/>
  <c r="B563" i="6"/>
  <c r="C563" i="6"/>
  <c r="D563" i="6"/>
  <c r="E563" i="6"/>
  <c r="F563" i="6"/>
  <c r="G563" i="6"/>
  <c r="B564" i="6"/>
  <c r="C564" i="6"/>
  <c r="D564" i="6"/>
  <c r="E564" i="6"/>
  <c r="F564" i="6"/>
  <c r="G564" i="6"/>
  <c r="B565" i="6"/>
  <c r="C565" i="6"/>
  <c r="D565" i="6"/>
  <c r="E565" i="6"/>
  <c r="F565" i="6"/>
  <c r="G565" i="6"/>
  <c r="B566" i="6"/>
  <c r="C566" i="6"/>
  <c r="D566" i="6"/>
  <c r="E566" i="6"/>
  <c r="F566" i="6"/>
  <c r="G566" i="6"/>
  <c r="B567" i="6"/>
  <c r="C567" i="6"/>
  <c r="D567" i="6"/>
  <c r="E567" i="6"/>
  <c r="F567" i="6"/>
  <c r="G567" i="6"/>
  <c r="B568" i="6"/>
  <c r="C568" i="6"/>
  <c r="D568" i="6"/>
  <c r="E568" i="6"/>
  <c r="F568" i="6"/>
  <c r="G568" i="6"/>
  <c r="B569" i="6"/>
  <c r="C569" i="6"/>
  <c r="D569" i="6"/>
  <c r="E569" i="6"/>
  <c r="F569" i="6"/>
  <c r="G569" i="6"/>
  <c r="B570" i="6"/>
  <c r="C570" i="6"/>
  <c r="D570" i="6"/>
  <c r="E570" i="6"/>
  <c r="F570" i="6"/>
  <c r="G570" i="6"/>
  <c r="B571" i="6"/>
  <c r="C571" i="6"/>
  <c r="D571" i="6"/>
  <c r="E571" i="6"/>
  <c r="F571" i="6"/>
  <c r="G571" i="6"/>
  <c r="B572" i="6"/>
  <c r="C572" i="6"/>
  <c r="D572" i="6"/>
  <c r="E572" i="6"/>
  <c r="F572" i="6"/>
  <c r="G572" i="6"/>
  <c r="B573" i="6"/>
  <c r="C573" i="6"/>
  <c r="D573" i="6"/>
  <c r="E573" i="6"/>
  <c r="F573" i="6"/>
  <c r="G573" i="6"/>
  <c r="B574" i="6"/>
  <c r="C574" i="6"/>
  <c r="D574" i="6"/>
  <c r="E574" i="6"/>
  <c r="F574" i="6"/>
  <c r="G574" i="6"/>
  <c r="B575" i="6"/>
  <c r="C575" i="6"/>
  <c r="D575" i="6"/>
  <c r="E575" i="6"/>
  <c r="F575" i="6"/>
  <c r="G575" i="6"/>
  <c r="B576" i="6"/>
  <c r="C576" i="6"/>
  <c r="D576" i="6"/>
  <c r="E576" i="6"/>
  <c r="F576" i="6"/>
  <c r="G576" i="6"/>
  <c r="B577" i="6"/>
  <c r="C577" i="6"/>
  <c r="D577" i="6"/>
  <c r="E577" i="6"/>
  <c r="F577" i="6"/>
  <c r="G577" i="6"/>
  <c r="B578" i="6"/>
  <c r="C578" i="6"/>
  <c r="D578" i="6"/>
  <c r="E578" i="6"/>
  <c r="F578" i="6"/>
  <c r="G578" i="6"/>
  <c r="B579" i="6"/>
  <c r="C579" i="6"/>
  <c r="D579" i="6"/>
  <c r="E579" i="6"/>
  <c r="F579" i="6"/>
  <c r="G579" i="6"/>
  <c r="B580" i="6"/>
  <c r="C580" i="6"/>
  <c r="D580" i="6"/>
  <c r="E580" i="6"/>
  <c r="F580" i="6"/>
  <c r="G580" i="6"/>
  <c r="B581" i="6"/>
  <c r="C581" i="6"/>
  <c r="D581" i="6"/>
  <c r="E581" i="6"/>
  <c r="F581" i="6"/>
  <c r="G581" i="6"/>
  <c r="B582" i="6"/>
  <c r="C582" i="6"/>
  <c r="D582" i="6"/>
  <c r="E582" i="6"/>
  <c r="F582" i="6"/>
  <c r="G582" i="6"/>
  <c r="B583" i="6"/>
  <c r="C583" i="6"/>
  <c r="D583" i="6"/>
  <c r="E583" i="6"/>
  <c r="F583" i="6"/>
  <c r="G583" i="6"/>
  <c r="B584" i="6"/>
  <c r="C584" i="6"/>
  <c r="D584" i="6"/>
  <c r="E584" i="6"/>
  <c r="F584" i="6"/>
  <c r="G584" i="6"/>
  <c r="B585" i="6"/>
  <c r="C585" i="6"/>
  <c r="D585" i="6"/>
  <c r="E585" i="6"/>
  <c r="F585" i="6"/>
  <c r="G585" i="6"/>
  <c r="B586" i="6"/>
  <c r="C586" i="6"/>
  <c r="D586" i="6"/>
  <c r="E586" i="6"/>
  <c r="F586" i="6"/>
  <c r="G586" i="6"/>
  <c r="B587" i="6"/>
  <c r="C587" i="6"/>
  <c r="D587" i="6"/>
  <c r="E587" i="6"/>
  <c r="F587" i="6"/>
  <c r="G587" i="6"/>
  <c r="B588" i="6"/>
  <c r="C588" i="6"/>
  <c r="D588" i="6"/>
  <c r="E588" i="6"/>
  <c r="F588" i="6"/>
  <c r="G588" i="6"/>
  <c r="B589" i="6"/>
  <c r="C589" i="6"/>
  <c r="D589" i="6"/>
  <c r="E589" i="6"/>
  <c r="F589" i="6"/>
  <c r="G589" i="6"/>
  <c r="B590" i="6"/>
  <c r="C590" i="6"/>
  <c r="D590" i="6"/>
  <c r="E590" i="6"/>
  <c r="F590" i="6"/>
  <c r="G590" i="6"/>
  <c r="B591" i="6"/>
  <c r="C591" i="6"/>
  <c r="D591" i="6"/>
  <c r="E591" i="6"/>
  <c r="F591" i="6"/>
  <c r="G591" i="6"/>
  <c r="B592" i="6"/>
  <c r="C592" i="6"/>
  <c r="D592" i="6"/>
  <c r="E592" i="6"/>
  <c r="F592" i="6"/>
  <c r="G592" i="6"/>
  <c r="B593" i="6"/>
  <c r="C593" i="6"/>
  <c r="D593" i="6"/>
  <c r="E593" i="6"/>
  <c r="F593" i="6"/>
  <c r="G593" i="6"/>
  <c r="B594" i="6"/>
  <c r="C594" i="6"/>
  <c r="D594" i="6"/>
  <c r="E594" i="6"/>
  <c r="F594" i="6"/>
  <c r="G594" i="6"/>
  <c r="B595" i="6"/>
  <c r="C595" i="6"/>
  <c r="D595" i="6"/>
  <c r="E595" i="6"/>
  <c r="F595" i="6"/>
  <c r="G595" i="6"/>
  <c r="B596" i="6"/>
  <c r="C596" i="6"/>
  <c r="D596" i="6"/>
  <c r="E596" i="6"/>
  <c r="F596" i="6"/>
  <c r="G596" i="6"/>
  <c r="B597" i="6"/>
  <c r="C597" i="6"/>
  <c r="D597" i="6"/>
  <c r="E597" i="6"/>
  <c r="F597" i="6"/>
  <c r="G597" i="6"/>
  <c r="B598" i="6"/>
  <c r="C598" i="6"/>
  <c r="D598" i="6"/>
  <c r="E598" i="6"/>
  <c r="F598" i="6"/>
  <c r="G598" i="6"/>
  <c r="B599" i="6"/>
  <c r="C599" i="6"/>
  <c r="D599" i="6"/>
  <c r="E599" i="6"/>
  <c r="F599" i="6"/>
  <c r="G599" i="6"/>
  <c r="B600" i="6"/>
  <c r="C600" i="6"/>
  <c r="D600" i="6"/>
  <c r="E600" i="6"/>
  <c r="F600" i="6"/>
  <c r="G600" i="6"/>
  <c r="B601" i="6"/>
  <c r="C601" i="6"/>
  <c r="D601" i="6"/>
  <c r="E601" i="6"/>
  <c r="F601" i="6"/>
  <c r="G601" i="6"/>
  <c r="B602" i="6"/>
  <c r="C602" i="6"/>
  <c r="D602" i="6"/>
  <c r="E602" i="6"/>
  <c r="F602" i="6"/>
  <c r="G602" i="6"/>
  <c r="B603" i="6"/>
  <c r="C603" i="6"/>
  <c r="D603" i="6"/>
  <c r="E603" i="6"/>
  <c r="F603" i="6"/>
  <c r="G603" i="6"/>
  <c r="B604" i="6"/>
  <c r="C604" i="6"/>
  <c r="D604" i="6"/>
  <c r="E604" i="6"/>
  <c r="F604" i="6"/>
  <c r="G604" i="6"/>
  <c r="B605" i="6"/>
  <c r="C605" i="6"/>
  <c r="D605" i="6"/>
  <c r="E605" i="6"/>
  <c r="F605" i="6"/>
  <c r="G605" i="6"/>
  <c r="B606" i="6"/>
  <c r="C606" i="6"/>
  <c r="D606" i="6"/>
  <c r="E606" i="6"/>
  <c r="F606" i="6"/>
  <c r="G606" i="6"/>
  <c r="B607" i="6"/>
  <c r="C607" i="6"/>
  <c r="D607" i="6"/>
  <c r="E607" i="6"/>
  <c r="F607" i="6"/>
  <c r="G607" i="6"/>
  <c r="B608" i="6"/>
  <c r="C608" i="6"/>
  <c r="D608" i="6"/>
  <c r="E608" i="6"/>
  <c r="F608" i="6"/>
  <c r="G608" i="6"/>
  <c r="B609" i="6"/>
  <c r="C609" i="6"/>
  <c r="D609" i="6"/>
  <c r="E609" i="6"/>
  <c r="F609" i="6"/>
  <c r="G609" i="6"/>
  <c r="B610" i="6"/>
  <c r="C610" i="6"/>
  <c r="D610" i="6"/>
  <c r="E610" i="6"/>
  <c r="F610" i="6"/>
  <c r="G610" i="6"/>
  <c r="B611" i="6"/>
  <c r="C611" i="6"/>
  <c r="D611" i="6"/>
  <c r="E611" i="6"/>
  <c r="F611" i="6"/>
  <c r="G611" i="6"/>
  <c r="B612" i="6"/>
  <c r="C612" i="6"/>
  <c r="D612" i="6"/>
  <c r="E612" i="6"/>
  <c r="F612" i="6"/>
  <c r="G612" i="6"/>
  <c r="B613" i="6"/>
  <c r="C613" i="6"/>
  <c r="D613" i="6"/>
  <c r="E613" i="6"/>
  <c r="F613" i="6"/>
  <c r="G613" i="6"/>
  <c r="B614" i="6"/>
  <c r="C614" i="6"/>
  <c r="D614" i="6"/>
  <c r="E614" i="6"/>
  <c r="F614" i="6"/>
  <c r="G614" i="6"/>
  <c r="B615" i="6"/>
  <c r="C615" i="6"/>
  <c r="D615" i="6"/>
  <c r="E615" i="6"/>
  <c r="F615" i="6"/>
  <c r="G615" i="6"/>
  <c r="B616" i="6"/>
  <c r="C616" i="6"/>
  <c r="D616" i="6"/>
  <c r="E616" i="6"/>
  <c r="F616" i="6"/>
  <c r="G616" i="6"/>
  <c r="B617" i="6"/>
  <c r="C617" i="6"/>
  <c r="D617" i="6"/>
  <c r="E617" i="6"/>
  <c r="F617" i="6"/>
  <c r="G617" i="6"/>
  <c r="B618" i="6"/>
  <c r="C618" i="6"/>
  <c r="D618" i="6"/>
  <c r="E618" i="6"/>
  <c r="F618" i="6"/>
  <c r="G618" i="6"/>
  <c r="B619" i="6"/>
  <c r="C619" i="6"/>
  <c r="D619" i="6"/>
  <c r="E619" i="6"/>
  <c r="F619" i="6"/>
  <c r="G619" i="6"/>
  <c r="B620" i="6"/>
  <c r="C620" i="6"/>
  <c r="D620" i="6"/>
  <c r="E620" i="6"/>
  <c r="F620" i="6"/>
  <c r="G620" i="6"/>
  <c r="B621" i="6"/>
  <c r="C621" i="6"/>
  <c r="D621" i="6"/>
  <c r="E621" i="6"/>
  <c r="F621" i="6"/>
  <c r="G621" i="6"/>
  <c r="B622" i="6"/>
  <c r="C622" i="6"/>
  <c r="D622" i="6"/>
  <c r="E622" i="6"/>
  <c r="F622" i="6"/>
  <c r="G622" i="6"/>
  <c r="B623" i="6"/>
  <c r="C623" i="6"/>
  <c r="D623" i="6"/>
  <c r="E623" i="6"/>
  <c r="F623" i="6"/>
  <c r="G623" i="6"/>
  <c r="B624" i="6"/>
  <c r="C624" i="6"/>
  <c r="D624" i="6"/>
  <c r="E624" i="6"/>
  <c r="F624" i="6"/>
  <c r="G624" i="6"/>
  <c r="B625" i="6"/>
  <c r="C625" i="6"/>
  <c r="D625" i="6"/>
  <c r="E625" i="6"/>
  <c r="F625" i="6"/>
  <c r="G625" i="6"/>
  <c r="B626" i="6"/>
  <c r="C626" i="6"/>
  <c r="D626" i="6"/>
  <c r="E626" i="6"/>
  <c r="F626" i="6"/>
  <c r="G626" i="6"/>
  <c r="B627" i="6"/>
  <c r="C627" i="6"/>
  <c r="D627" i="6"/>
  <c r="E627" i="6"/>
  <c r="F627" i="6"/>
  <c r="G627" i="6"/>
  <c r="B628" i="6"/>
  <c r="C628" i="6"/>
  <c r="D628" i="6"/>
  <c r="E628" i="6"/>
  <c r="F628" i="6"/>
  <c r="G628" i="6"/>
  <c r="B629" i="6"/>
  <c r="C629" i="6"/>
  <c r="D629" i="6"/>
  <c r="E629" i="6"/>
  <c r="F629" i="6"/>
  <c r="G629" i="6"/>
  <c r="B630" i="6"/>
  <c r="C630" i="6"/>
  <c r="D630" i="6"/>
  <c r="E630" i="6"/>
  <c r="F630" i="6"/>
  <c r="G630" i="6"/>
  <c r="B631" i="6"/>
  <c r="C631" i="6"/>
  <c r="D631" i="6"/>
  <c r="E631" i="6"/>
  <c r="F631" i="6"/>
  <c r="G631" i="6"/>
  <c r="B632" i="6"/>
  <c r="C632" i="6"/>
  <c r="D632" i="6"/>
  <c r="E632" i="6"/>
  <c r="F632" i="6"/>
  <c r="G632" i="6"/>
  <c r="B633" i="6"/>
  <c r="C633" i="6"/>
  <c r="D633" i="6"/>
  <c r="E633" i="6"/>
  <c r="F633" i="6"/>
  <c r="G633" i="6"/>
  <c r="B634" i="6"/>
  <c r="C634" i="6"/>
  <c r="D634" i="6"/>
  <c r="E634" i="6"/>
  <c r="F634" i="6"/>
  <c r="G634" i="6"/>
  <c r="B635" i="6"/>
  <c r="C635" i="6"/>
  <c r="D635" i="6"/>
  <c r="E635" i="6"/>
  <c r="F635" i="6"/>
  <c r="G635" i="6"/>
  <c r="B636" i="6"/>
  <c r="C636" i="6"/>
  <c r="D636" i="6"/>
  <c r="E636" i="6"/>
  <c r="F636" i="6"/>
  <c r="G636" i="6"/>
  <c r="B637" i="6"/>
  <c r="C637" i="6"/>
  <c r="D637" i="6"/>
  <c r="E637" i="6"/>
  <c r="F637" i="6"/>
  <c r="G637" i="6"/>
  <c r="B638" i="6"/>
  <c r="C638" i="6"/>
  <c r="D638" i="6"/>
  <c r="E638" i="6"/>
  <c r="F638" i="6"/>
  <c r="G638" i="6"/>
  <c r="B639" i="6"/>
  <c r="C639" i="6"/>
  <c r="D639" i="6"/>
  <c r="E639" i="6"/>
  <c r="F639" i="6"/>
  <c r="G639" i="6"/>
  <c r="B640" i="6"/>
  <c r="C640" i="6"/>
  <c r="D640" i="6"/>
  <c r="E640" i="6"/>
  <c r="F640" i="6"/>
  <c r="G640" i="6"/>
  <c r="B641" i="6"/>
  <c r="C641" i="6"/>
  <c r="D641" i="6"/>
  <c r="E641" i="6"/>
  <c r="F641" i="6"/>
  <c r="G641" i="6"/>
  <c r="B642" i="6"/>
  <c r="C642" i="6"/>
  <c r="D642" i="6"/>
  <c r="E642" i="6"/>
  <c r="F642" i="6"/>
  <c r="G642" i="6"/>
  <c r="B643" i="6"/>
  <c r="C643" i="6"/>
  <c r="D643" i="6"/>
  <c r="E643" i="6"/>
  <c r="F643" i="6"/>
  <c r="G643" i="6"/>
  <c r="B644" i="6"/>
  <c r="C644" i="6"/>
  <c r="D644" i="6"/>
  <c r="E644" i="6"/>
  <c r="F644" i="6"/>
  <c r="G644" i="6"/>
  <c r="B645" i="6"/>
  <c r="C645" i="6"/>
  <c r="D645" i="6"/>
  <c r="E645" i="6"/>
  <c r="F645" i="6"/>
  <c r="G645" i="6"/>
  <c r="B646" i="6"/>
  <c r="C646" i="6"/>
  <c r="D646" i="6"/>
  <c r="E646" i="6"/>
  <c r="F646" i="6"/>
  <c r="G646" i="6"/>
  <c r="B647" i="6"/>
  <c r="C647" i="6"/>
  <c r="D647" i="6"/>
  <c r="E647" i="6"/>
  <c r="F647" i="6"/>
  <c r="G647" i="6"/>
  <c r="B648" i="6"/>
  <c r="C648" i="6"/>
  <c r="D648" i="6"/>
  <c r="E648" i="6"/>
  <c r="F648" i="6"/>
  <c r="G648" i="6"/>
  <c r="B649" i="6"/>
  <c r="C649" i="6"/>
  <c r="D649" i="6"/>
  <c r="E649" i="6"/>
  <c r="F649" i="6"/>
  <c r="G649" i="6"/>
  <c r="B650" i="6"/>
  <c r="C650" i="6"/>
  <c r="D650" i="6"/>
  <c r="E650" i="6"/>
  <c r="F650" i="6"/>
  <c r="G650" i="6"/>
  <c r="B651" i="6"/>
  <c r="C651" i="6"/>
  <c r="D651" i="6"/>
  <c r="E651" i="6"/>
  <c r="F651" i="6"/>
  <c r="G651" i="6"/>
  <c r="B652" i="6"/>
  <c r="C652" i="6"/>
  <c r="D652" i="6"/>
  <c r="E652" i="6"/>
  <c r="F652" i="6"/>
  <c r="G652" i="6"/>
  <c r="B653" i="6"/>
  <c r="C653" i="6"/>
  <c r="D653" i="6"/>
  <c r="E653" i="6"/>
  <c r="F653" i="6"/>
  <c r="G653" i="6"/>
  <c r="B654" i="6"/>
  <c r="C654" i="6"/>
  <c r="D654" i="6"/>
  <c r="E654" i="6"/>
  <c r="F654" i="6"/>
  <c r="G654" i="6"/>
  <c r="B655" i="6"/>
  <c r="C655" i="6"/>
  <c r="D655" i="6"/>
  <c r="E655" i="6"/>
  <c r="F655" i="6"/>
  <c r="G655" i="6"/>
  <c r="B656" i="6"/>
  <c r="C656" i="6"/>
  <c r="D656" i="6"/>
  <c r="E656" i="6"/>
  <c r="F656" i="6"/>
  <c r="G656" i="6"/>
  <c r="B657" i="6"/>
  <c r="C657" i="6"/>
  <c r="D657" i="6"/>
  <c r="E657" i="6"/>
  <c r="F657" i="6"/>
  <c r="G657" i="6"/>
  <c r="B658" i="6"/>
  <c r="C658" i="6"/>
  <c r="D658" i="6"/>
  <c r="E658" i="6"/>
  <c r="F658" i="6"/>
  <c r="G658" i="6"/>
  <c r="B659" i="6"/>
  <c r="C659" i="6"/>
  <c r="D659" i="6"/>
  <c r="E659" i="6"/>
  <c r="F659" i="6"/>
  <c r="G659" i="6"/>
  <c r="B660" i="6"/>
  <c r="C660" i="6"/>
  <c r="D660" i="6"/>
  <c r="E660" i="6"/>
  <c r="F660" i="6"/>
  <c r="G660" i="6"/>
  <c r="B661" i="6"/>
  <c r="C661" i="6"/>
  <c r="D661" i="6"/>
  <c r="E661" i="6"/>
  <c r="F661" i="6"/>
  <c r="G661" i="6"/>
  <c r="B662" i="6"/>
  <c r="C662" i="6"/>
  <c r="D662" i="6"/>
  <c r="E662" i="6"/>
  <c r="F662" i="6"/>
  <c r="G662" i="6"/>
  <c r="B663" i="6"/>
  <c r="C663" i="6"/>
  <c r="D663" i="6"/>
  <c r="E663" i="6"/>
  <c r="F663" i="6"/>
  <c r="G663" i="6"/>
  <c r="B664" i="6"/>
  <c r="C664" i="6"/>
  <c r="D664" i="6"/>
  <c r="E664" i="6"/>
  <c r="F664" i="6"/>
  <c r="G664" i="6"/>
  <c r="B665" i="6"/>
  <c r="C665" i="6"/>
  <c r="D665" i="6"/>
  <c r="E665" i="6"/>
  <c r="F665" i="6"/>
  <c r="G665" i="6"/>
  <c r="B666" i="6"/>
  <c r="C666" i="6"/>
  <c r="D666" i="6"/>
  <c r="E666" i="6"/>
  <c r="F666" i="6"/>
  <c r="G666" i="6"/>
  <c r="B667" i="6"/>
  <c r="C667" i="6"/>
  <c r="D667" i="6"/>
  <c r="E667" i="6"/>
  <c r="F667" i="6"/>
  <c r="G667" i="6"/>
  <c r="B668" i="6"/>
  <c r="C668" i="6"/>
  <c r="D668" i="6"/>
  <c r="E668" i="6"/>
  <c r="F668" i="6"/>
  <c r="G668" i="6"/>
  <c r="B669" i="6"/>
  <c r="C669" i="6"/>
  <c r="D669" i="6"/>
  <c r="E669" i="6"/>
  <c r="F669" i="6"/>
  <c r="G669" i="6"/>
  <c r="B670" i="6"/>
  <c r="C670" i="6"/>
  <c r="D670" i="6"/>
  <c r="E670" i="6"/>
  <c r="F670" i="6"/>
  <c r="G670" i="6"/>
  <c r="B671" i="6"/>
  <c r="C671" i="6"/>
  <c r="D671" i="6"/>
  <c r="E671" i="6"/>
  <c r="F671" i="6"/>
  <c r="G671" i="6"/>
  <c r="B672" i="6"/>
  <c r="C672" i="6"/>
  <c r="D672" i="6"/>
  <c r="E672" i="6"/>
  <c r="F672" i="6"/>
  <c r="G672" i="6"/>
  <c r="B673" i="6"/>
  <c r="C673" i="6"/>
  <c r="D673" i="6"/>
  <c r="E673" i="6"/>
  <c r="F673" i="6"/>
  <c r="G673" i="6"/>
  <c r="B674" i="6"/>
  <c r="C674" i="6"/>
  <c r="D674" i="6"/>
  <c r="E674" i="6"/>
  <c r="F674" i="6"/>
  <c r="G674" i="6"/>
  <c r="B675" i="6"/>
  <c r="C675" i="6"/>
  <c r="D675" i="6"/>
  <c r="E675" i="6"/>
  <c r="F675" i="6"/>
  <c r="G675" i="6"/>
  <c r="B676" i="6"/>
  <c r="C676" i="6"/>
  <c r="D676" i="6"/>
  <c r="E676" i="6"/>
  <c r="F676" i="6"/>
  <c r="G676" i="6"/>
  <c r="B677" i="6"/>
  <c r="C677" i="6"/>
  <c r="D677" i="6"/>
  <c r="E677" i="6"/>
  <c r="F677" i="6"/>
  <c r="G677" i="6"/>
  <c r="B678" i="6"/>
  <c r="C678" i="6"/>
  <c r="D678" i="6"/>
  <c r="E678" i="6"/>
  <c r="F678" i="6"/>
  <c r="G678" i="6"/>
  <c r="B679" i="6"/>
  <c r="C679" i="6"/>
  <c r="D679" i="6"/>
  <c r="E679" i="6"/>
  <c r="F679" i="6"/>
  <c r="G679" i="6"/>
  <c r="B680" i="6"/>
  <c r="C680" i="6"/>
  <c r="D680" i="6"/>
  <c r="E680" i="6"/>
  <c r="F680" i="6"/>
  <c r="G680" i="6"/>
  <c r="B681" i="6"/>
  <c r="C681" i="6"/>
  <c r="D681" i="6"/>
  <c r="E681" i="6"/>
  <c r="F681" i="6"/>
  <c r="G681" i="6"/>
  <c r="B682" i="6"/>
  <c r="C682" i="6"/>
  <c r="D682" i="6"/>
  <c r="E682" i="6"/>
  <c r="F682" i="6"/>
  <c r="G682" i="6"/>
  <c r="B683" i="6"/>
  <c r="C683" i="6"/>
  <c r="D683" i="6"/>
  <c r="E683" i="6"/>
  <c r="F683" i="6"/>
  <c r="G683" i="6"/>
  <c r="B684" i="6"/>
  <c r="C684" i="6"/>
  <c r="D684" i="6"/>
  <c r="E684" i="6"/>
  <c r="F684" i="6"/>
  <c r="G684" i="6"/>
  <c r="B685" i="6"/>
  <c r="C685" i="6"/>
  <c r="D685" i="6"/>
  <c r="E685" i="6"/>
  <c r="F685" i="6"/>
  <c r="G685" i="6"/>
  <c r="B686" i="6"/>
  <c r="C686" i="6"/>
  <c r="D686" i="6"/>
  <c r="E686" i="6"/>
  <c r="F686" i="6"/>
  <c r="G686" i="6"/>
  <c r="B687" i="6"/>
  <c r="C687" i="6"/>
  <c r="D687" i="6"/>
  <c r="E687" i="6"/>
  <c r="F687" i="6"/>
  <c r="G687" i="6"/>
  <c r="B688" i="6"/>
  <c r="C688" i="6"/>
  <c r="D688" i="6"/>
  <c r="E688" i="6"/>
  <c r="F688" i="6"/>
  <c r="G688" i="6"/>
  <c r="B689" i="6"/>
  <c r="C689" i="6"/>
  <c r="D689" i="6"/>
  <c r="E689" i="6"/>
  <c r="F689" i="6"/>
  <c r="G689" i="6"/>
  <c r="B690" i="6"/>
  <c r="C690" i="6"/>
  <c r="D690" i="6"/>
  <c r="E690" i="6"/>
  <c r="F690" i="6"/>
  <c r="G690" i="6"/>
  <c r="B691" i="6"/>
  <c r="C691" i="6"/>
  <c r="D691" i="6"/>
  <c r="E691" i="6"/>
  <c r="F691" i="6"/>
  <c r="G691" i="6"/>
  <c r="B692" i="6"/>
  <c r="C692" i="6"/>
  <c r="D692" i="6"/>
  <c r="E692" i="6"/>
  <c r="F692" i="6"/>
  <c r="G692" i="6"/>
  <c r="B693" i="6"/>
  <c r="C693" i="6"/>
  <c r="D693" i="6"/>
  <c r="E693" i="6"/>
  <c r="F693" i="6"/>
  <c r="G693" i="6"/>
  <c r="B694" i="6"/>
  <c r="C694" i="6"/>
  <c r="D694" i="6"/>
  <c r="E694" i="6"/>
  <c r="F694" i="6"/>
  <c r="G694" i="6"/>
  <c r="B695" i="6"/>
  <c r="C695" i="6"/>
  <c r="D695" i="6"/>
  <c r="E695" i="6"/>
  <c r="F695" i="6"/>
  <c r="G695" i="6"/>
  <c r="B696" i="6"/>
  <c r="C696" i="6"/>
  <c r="D696" i="6"/>
  <c r="E696" i="6"/>
  <c r="F696" i="6"/>
  <c r="G696" i="6"/>
  <c r="B697" i="6"/>
  <c r="C697" i="6"/>
  <c r="D697" i="6"/>
  <c r="E697" i="6"/>
  <c r="F697" i="6"/>
  <c r="G697" i="6"/>
  <c r="B698" i="6"/>
  <c r="C698" i="6"/>
  <c r="D698" i="6"/>
  <c r="E698" i="6"/>
  <c r="F698" i="6"/>
  <c r="G698" i="6"/>
  <c r="B699" i="6"/>
  <c r="C699" i="6"/>
  <c r="D699" i="6"/>
  <c r="E699" i="6"/>
  <c r="F699" i="6"/>
  <c r="G699" i="6"/>
  <c r="B700" i="6"/>
  <c r="C700" i="6"/>
  <c r="D700" i="6"/>
  <c r="E700" i="6"/>
  <c r="F700" i="6"/>
  <c r="G700" i="6"/>
  <c r="B701" i="6"/>
  <c r="C701" i="6"/>
  <c r="D701" i="6"/>
  <c r="E701" i="6"/>
  <c r="F701" i="6"/>
  <c r="G701" i="6"/>
  <c r="B702" i="6"/>
  <c r="C702" i="6"/>
  <c r="D702" i="6"/>
  <c r="E702" i="6"/>
  <c r="F702" i="6"/>
  <c r="G702" i="6"/>
  <c r="B703" i="6"/>
  <c r="C703" i="6"/>
  <c r="D703" i="6"/>
  <c r="E703" i="6"/>
  <c r="F703" i="6"/>
  <c r="G703" i="6"/>
  <c r="B704" i="6"/>
  <c r="C704" i="6"/>
  <c r="D704" i="6"/>
  <c r="E704" i="6"/>
  <c r="F704" i="6"/>
  <c r="G704" i="6"/>
  <c r="B705" i="6"/>
  <c r="C705" i="6"/>
  <c r="D705" i="6"/>
  <c r="E705" i="6"/>
  <c r="F705" i="6"/>
  <c r="G705" i="6"/>
  <c r="B706" i="6"/>
  <c r="C706" i="6"/>
  <c r="D706" i="6"/>
  <c r="E706" i="6"/>
  <c r="F706" i="6"/>
  <c r="G706" i="6"/>
  <c r="B707" i="6"/>
  <c r="C707" i="6"/>
  <c r="D707" i="6"/>
  <c r="E707" i="6"/>
  <c r="F707" i="6"/>
  <c r="G707" i="6"/>
  <c r="B708" i="6"/>
  <c r="C708" i="6"/>
  <c r="D708" i="6"/>
  <c r="E708" i="6"/>
  <c r="F708" i="6"/>
  <c r="G708" i="6"/>
  <c r="B709" i="6"/>
  <c r="C709" i="6"/>
  <c r="D709" i="6"/>
  <c r="E709" i="6"/>
  <c r="F709" i="6"/>
  <c r="G709" i="6"/>
  <c r="B710" i="6"/>
  <c r="C710" i="6"/>
  <c r="D710" i="6"/>
  <c r="E710" i="6"/>
  <c r="F710" i="6"/>
  <c r="G710" i="6"/>
  <c r="B711" i="6"/>
  <c r="C711" i="6"/>
  <c r="D711" i="6"/>
  <c r="E711" i="6"/>
  <c r="F711" i="6"/>
  <c r="G711" i="6"/>
  <c r="B712" i="6"/>
  <c r="C712" i="6"/>
  <c r="D712" i="6"/>
  <c r="E712" i="6"/>
  <c r="F712" i="6"/>
  <c r="G712" i="6"/>
  <c r="B713" i="6"/>
  <c r="C713" i="6"/>
  <c r="D713" i="6"/>
  <c r="E713" i="6"/>
  <c r="F713" i="6"/>
  <c r="G713" i="6"/>
  <c r="B714" i="6"/>
  <c r="C714" i="6"/>
  <c r="D714" i="6"/>
  <c r="E714" i="6"/>
  <c r="F714" i="6"/>
  <c r="G714" i="6"/>
  <c r="B715" i="6"/>
  <c r="C715" i="6"/>
  <c r="D715" i="6"/>
  <c r="E715" i="6"/>
  <c r="F715" i="6"/>
  <c r="G715" i="6"/>
  <c r="B716" i="6"/>
  <c r="C716" i="6"/>
  <c r="D716" i="6"/>
  <c r="E716" i="6"/>
  <c r="F716" i="6"/>
  <c r="G716" i="6"/>
  <c r="B717" i="6"/>
  <c r="C717" i="6"/>
  <c r="D717" i="6"/>
  <c r="E717" i="6"/>
  <c r="F717" i="6"/>
  <c r="G717" i="6"/>
  <c r="B718" i="6"/>
  <c r="C718" i="6"/>
  <c r="D718" i="6"/>
  <c r="E718" i="6"/>
  <c r="F718" i="6"/>
  <c r="G718" i="6"/>
  <c r="B719" i="6"/>
  <c r="C719" i="6"/>
  <c r="D719" i="6"/>
  <c r="E719" i="6"/>
  <c r="F719" i="6"/>
  <c r="G719" i="6"/>
  <c r="B720" i="6"/>
  <c r="C720" i="6"/>
  <c r="D720" i="6"/>
  <c r="E720" i="6"/>
  <c r="F720" i="6"/>
  <c r="G720" i="6"/>
  <c r="B721" i="6"/>
  <c r="C721" i="6"/>
  <c r="D721" i="6"/>
  <c r="E721" i="6"/>
  <c r="F721" i="6"/>
  <c r="G721" i="6"/>
  <c r="B722" i="6"/>
  <c r="C722" i="6"/>
  <c r="D722" i="6"/>
  <c r="E722" i="6"/>
  <c r="F722" i="6"/>
  <c r="G722" i="6"/>
  <c r="B723" i="6"/>
  <c r="C723" i="6"/>
  <c r="D723" i="6"/>
  <c r="E723" i="6"/>
  <c r="F723" i="6"/>
  <c r="G723" i="6"/>
  <c r="B724" i="6"/>
  <c r="C724" i="6"/>
  <c r="D724" i="6"/>
  <c r="E724" i="6"/>
  <c r="F724" i="6"/>
  <c r="G724" i="6"/>
  <c r="B725" i="6"/>
  <c r="C725" i="6"/>
  <c r="D725" i="6"/>
  <c r="E725" i="6"/>
  <c r="F725" i="6"/>
  <c r="G725" i="6"/>
  <c r="B726" i="6"/>
  <c r="C726" i="6"/>
  <c r="D726" i="6"/>
  <c r="E726" i="6"/>
  <c r="F726" i="6"/>
  <c r="G726" i="6"/>
  <c r="B727" i="6"/>
  <c r="C727" i="6"/>
  <c r="D727" i="6"/>
  <c r="E727" i="6"/>
  <c r="F727" i="6"/>
  <c r="G727" i="6"/>
  <c r="B728" i="6"/>
  <c r="C728" i="6"/>
  <c r="D728" i="6"/>
  <c r="E728" i="6"/>
  <c r="F728" i="6"/>
  <c r="G728" i="6"/>
  <c r="B729" i="6"/>
  <c r="C729" i="6"/>
  <c r="D729" i="6"/>
  <c r="E729" i="6"/>
  <c r="F729" i="6"/>
  <c r="G729" i="6"/>
  <c r="B730" i="6"/>
  <c r="C730" i="6"/>
  <c r="D730" i="6"/>
  <c r="E730" i="6"/>
  <c r="F730" i="6"/>
  <c r="G730" i="6"/>
  <c r="B731" i="6"/>
  <c r="C731" i="6"/>
  <c r="D731" i="6"/>
  <c r="E731" i="6"/>
  <c r="F731" i="6"/>
  <c r="G731" i="6"/>
  <c r="B732" i="6"/>
  <c r="C732" i="6"/>
  <c r="D732" i="6"/>
  <c r="E732" i="6"/>
  <c r="F732" i="6"/>
  <c r="G732" i="6"/>
  <c r="B733" i="6"/>
  <c r="C733" i="6"/>
  <c r="D733" i="6"/>
  <c r="E733" i="6"/>
  <c r="F733" i="6"/>
  <c r="G733" i="6"/>
  <c r="B734" i="6"/>
  <c r="C734" i="6"/>
  <c r="D734" i="6"/>
  <c r="E734" i="6"/>
  <c r="F734" i="6"/>
  <c r="G734" i="6"/>
  <c r="B735" i="6"/>
  <c r="C735" i="6"/>
  <c r="D735" i="6"/>
  <c r="E735" i="6"/>
  <c r="F735" i="6"/>
  <c r="G735" i="6"/>
  <c r="B736" i="6"/>
  <c r="C736" i="6"/>
  <c r="D736" i="6"/>
  <c r="E736" i="6"/>
  <c r="F736" i="6"/>
  <c r="G736" i="6"/>
  <c r="B737" i="6"/>
  <c r="C737" i="6"/>
  <c r="D737" i="6"/>
  <c r="E737" i="6"/>
  <c r="F737" i="6"/>
  <c r="G737" i="6"/>
  <c r="B738" i="6"/>
  <c r="C738" i="6"/>
  <c r="D738" i="6"/>
  <c r="E738" i="6"/>
  <c r="F738" i="6"/>
  <c r="G738" i="6"/>
  <c r="B739" i="6"/>
  <c r="C739" i="6"/>
  <c r="D739" i="6"/>
  <c r="E739" i="6"/>
  <c r="F739" i="6"/>
  <c r="G739" i="6"/>
  <c r="B740" i="6"/>
  <c r="C740" i="6"/>
  <c r="D740" i="6"/>
  <c r="E740" i="6"/>
  <c r="F740" i="6"/>
  <c r="G740" i="6"/>
  <c r="B741" i="6"/>
  <c r="C741" i="6"/>
  <c r="D741" i="6"/>
  <c r="E741" i="6"/>
  <c r="F741" i="6"/>
  <c r="G741" i="6"/>
  <c r="B742" i="6"/>
  <c r="C742" i="6"/>
  <c r="D742" i="6"/>
  <c r="E742" i="6"/>
  <c r="F742" i="6"/>
  <c r="G742" i="6"/>
  <c r="B743" i="6"/>
  <c r="C743" i="6"/>
  <c r="D743" i="6"/>
  <c r="E743" i="6"/>
  <c r="F743" i="6"/>
  <c r="G743" i="6"/>
  <c r="B744" i="6"/>
  <c r="C744" i="6"/>
  <c r="D744" i="6"/>
  <c r="E744" i="6"/>
  <c r="F744" i="6"/>
  <c r="G744" i="6"/>
  <c r="B745" i="6"/>
  <c r="C745" i="6"/>
  <c r="D745" i="6"/>
  <c r="E745" i="6"/>
  <c r="F745" i="6"/>
  <c r="G745" i="6"/>
  <c r="B746" i="6"/>
  <c r="C746" i="6"/>
  <c r="D746" i="6"/>
  <c r="E746" i="6"/>
  <c r="F746" i="6"/>
  <c r="G746" i="6"/>
  <c r="B747" i="6"/>
  <c r="C747" i="6"/>
  <c r="D747" i="6"/>
  <c r="E747" i="6"/>
  <c r="F747" i="6"/>
  <c r="G747" i="6"/>
  <c r="B748" i="6"/>
  <c r="C748" i="6"/>
  <c r="D748" i="6"/>
  <c r="E748" i="6"/>
  <c r="F748" i="6"/>
  <c r="G748" i="6"/>
  <c r="B749" i="6"/>
  <c r="C749" i="6"/>
  <c r="D749" i="6"/>
  <c r="E749" i="6"/>
  <c r="F749" i="6"/>
  <c r="G749" i="6"/>
  <c r="B750" i="6"/>
  <c r="C750" i="6"/>
  <c r="D750" i="6"/>
  <c r="E750" i="6"/>
  <c r="F750" i="6"/>
  <c r="G750" i="6"/>
  <c r="B751" i="6"/>
  <c r="C751" i="6"/>
  <c r="D751" i="6"/>
  <c r="E751" i="6"/>
  <c r="F751" i="6"/>
  <c r="G751" i="6"/>
  <c r="B752" i="6"/>
  <c r="C752" i="6"/>
  <c r="D752" i="6"/>
  <c r="E752" i="6"/>
  <c r="F752" i="6"/>
  <c r="G752" i="6"/>
  <c r="B753" i="6"/>
  <c r="C753" i="6"/>
  <c r="D753" i="6"/>
  <c r="E753" i="6"/>
  <c r="F753" i="6"/>
  <c r="G753" i="6"/>
  <c r="B754" i="6"/>
  <c r="C754" i="6"/>
  <c r="D754" i="6"/>
  <c r="E754" i="6"/>
  <c r="F754" i="6"/>
  <c r="G754" i="6"/>
  <c r="B755" i="6"/>
  <c r="C755" i="6"/>
  <c r="D755" i="6"/>
  <c r="E755" i="6"/>
  <c r="F755" i="6"/>
  <c r="G755" i="6"/>
  <c r="B756" i="6"/>
  <c r="C756" i="6"/>
  <c r="D756" i="6"/>
  <c r="E756" i="6"/>
  <c r="F756" i="6"/>
  <c r="G756" i="6"/>
  <c r="B757" i="6"/>
  <c r="C757" i="6"/>
  <c r="D757" i="6"/>
  <c r="E757" i="6"/>
  <c r="F757" i="6"/>
  <c r="G757" i="6"/>
  <c r="B758" i="6"/>
  <c r="C758" i="6"/>
  <c r="D758" i="6"/>
  <c r="E758" i="6"/>
  <c r="F758" i="6"/>
  <c r="G758" i="6"/>
  <c r="B759" i="6"/>
  <c r="C759" i="6"/>
  <c r="D759" i="6"/>
  <c r="E759" i="6"/>
  <c r="F759" i="6"/>
  <c r="G759" i="6"/>
  <c r="B760" i="6"/>
  <c r="C760" i="6"/>
  <c r="D760" i="6"/>
  <c r="E760" i="6"/>
  <c r="F760" i="6"/>
  <c r="G760" i="6"/>
  <c r="B761" i="6"/>
  <c r="C761" i="6"/>
  <c r="D761" i="6"/>
  <c r="E761" i="6"/>
  <c r="F761" i="6"/>
  <c r="G761" i="6"/>
  <c r="B762" i="6"/>
  <c r="C762" i="6"/>
  <c r="D762" i="6"/>
  <c r="E762" i="6"/>
  <c r="F762" i="6"/>
  <c r="G762" i="6"/>
  <c r="B763" i="6"/>
  <c r="C763" i="6"/>
  <c r="D763" i="6"/>
  <c r="E763" i="6"/>
  <c r="F763" i="6"/>
  <c r="G763" i="6"/>
  <c r="B764" i="6"/>
  <c r="C764" i="6"/>
  <c r="D764" i="6"/>
  <c r="E764" i="6"/>
  <c r="F764" i="6"/>
  <c r="G764" i="6"/>
  <c r="B765" i="6"/>
  <c r="C765" i="6"/>
  <c r="D765" i="6"/>
  <c r="E765" i="6"/>
  <c r="F765" i="6"/>
  <c r="G765" i="6"/>
  <c r="B766" i="6"/>
  <c r="C766" i="6"/>
  <c r="D766" i="6"/>
  <c r="E766" i="6"/>
  <c r="F766" i="6"/>
  <c r="G766" i="6"/>
  <c r="B767" i="6"/>
  <c r="C767" i="6"/>
  <c r="D767" i="6"/>
  <c r="E767" i="6"/>
  <c r="F767" i="6"/>
  <c r="G767" i="6"/>
  <c r="B768" i="6"/>
  <c r="C768" i="6"/>
  <c r="D768" i="6"/>
  <c r="E768" i="6"/>
  <c r="F768" i="6"/>
  <c r="G768" i="6"/>
  <c r="B769" i="6"/>
  <c r="C769" i="6"/>
  <c r="D769" i="6"/>
  <c r="E769" i="6"/>
  <c r="F769" i="6"/>
  <c r="G769" i="6"/>
  <c r="B770" i="6"/>
  <c r="C770" i="6"/>
  <c r="D770" i="6"/>
  <c r="E770" i="6"/>
  <c r="F770" i="6"/>
  <c r="G770" i="6"/>
  <c r="B771" i="6"/>
  <c r="C771" i="6"/>
  <c r="D771" i="6"/>
  <c r="E771" i="6"/>
  <c r="F771" i="6"/>
  <c r="G771" i="6"/>
  <c r="B772" i="6"/>
  <c r="C772" i="6"/>
  <c r="D772" i="6"/>
  <c r="E772" i="6"/>
  <c r="F772" i="6"/>
  <c r="G772" i="6"/>
  <c r="B773" i="6"/>
  <c r="C773" i="6"/>
  <c r="D773" i="6"/>
  <c r="E773" i="6"/>
  <c r="F773" i="6"/>
  <c r="G773" i="6"/>
  <c r="B774" i="6"/>
  <c r="C774" i="6"/>
  <c r="D774" i="6"/>
  <c r="E774" i="6"/>
  <c r="F774" i="6"/>
  <c r="G774" i="6"/>
  <c r="B775" i="6"/>
  <c r="C775" i="6"/>
  <c r="D775" i="6"/>
  <c r="E775" i="6"/>
  <c r="F775" i="6"/>
  <c r="G775" i="6"/>
  <c r="B776" i="6"/>
  <c r="C776" i="6"/>
  <c r="D776" i="6"/>
  <c r="E776" i="6"/>
  <c r="F776" i="6"/>
  <c r="G776" i="6"/>
  <c r="B777" i="6"/>
  <c r="C777" i="6"/>
  <c r="D777" i="6"/>
  <c r="E777" i="6"/>
  <c r="F777" i="6"/>
  <c r="G777" i="6"/>
  <c r="B778" i="6"/>
  <c r="C778" i="6"/>
  <c r="D778" i="6"/>
  <c r="E778" i="6"/>
  <c r="F778" i="6"/>
  <c r="G778" i="6"/>
  <c r="B779" i="6"/>
  <c r="C779" i="6"/>
  <c r="D779" i="6"/>
  <c r="E779" i="6"/>
  <c r="F779" i="6"/>
  <c r="G779" i="6"/>
  <c r="B780" i="6"/>
  <c r="C780" i="6"/>
  <c r="D780" i="6"/>
  <c r="E780" i="6"/>
  <c r="F780" i="6"/>
  <c r="G780" i="6"/>
  <c r="B781" i="6"/>
  <c r="C781" i="6"/>
  <c r="D781" i="6"/>
  <c r="E781" i="6"/>
  <c r="F781" i="6"/>
  <c r="G781" i="6"/>
  <c r="B782" i="6"/>
  <c r="C782" i="6"/>
  <c r="D782" i="6"/>
  <c r="E782" i="6"/>
  <c r="F782" i="6"/>
  <c r="G782" i="6"/>
  <c r="B783" i="6"/>
  <c r="C783" i="6"/>
  <c r="D783" i="6"/>
  <c r="E783" i="6"/>
  <c r="F783" i="6"/>
  <c r="G783" i="6"/>
  <c r="B784" i="6"/>
  <c r="C784" i="6"/>
  <c r="D784" i="6"/>
  <c r="E784" i="6"/>
  <c r="F784" i="6"/>
  <c r="G784" i="6"/>
  <c r="B785" i="6"/>
  <c r="C785" i="6"/>
  <c r="D785" i="6"/>
  <c r="E785" i="6"/>
  <c r="F785" i="6"/>
  <c r="G785" i="6"/>
  <c r="B786" i="6"/>
  <c r="C786" i="6"/>
  <c r="D786" i="6"/>
  <c r="E786" i="6"/>
  <c r="F786" i="6"/>
  <c r="G786" i="6"/>
  <c r="B787" i="6"/>
  <c r="C787" i="6"/>
  <c r="D787" i="6"/>
  <c r="E787" i="6"/>
  <c r="F787" i="6"/>
  <c r="G787" i="6"/>
  <c r="B788" i="6"/>
  <c r="C788" i="6"/>
  <c r="D788" i="6"/>
  <c r="E788" i="6"/>
  <c r="F788" i="6"/>
  <c r="G788" i="6"/>
  <c r="B789" i="6"/>
  <c r="C789" i="6"/>
  <c r="D789" i="6"/>
  <c r="E789" i="6"/>
  <c r="F789" i="6"/>
  <c r="G789" i="6"/>
  <c r="B790" i="6"/>
  <c r="C790" i="6"/>
  <c r="D790" i="6"/>
  <c r="E790" i="6"/>
  <c r="F790" i="6"/>
  <c r="G790" i="6"/>
  <c r="B791" i="6"/>
  <c r="C791" i="6"/>
  <c r="D791" i="6"/>
  <c r="E791" i="6"/>
  <c r="F791" i="6"/>
  <c r="G791" i="6"/>
  <c r="B792" i="6"/>
  <c r="C792" i="6"/>
  <c r="D792" i="6"/>
  <c r="E792" i="6"/>
  <c r="F792" i="6"/>
  <c r="G792" i="6"/>
  <c r="B793" i="6"/>
  <c r="C793" i="6"/>
  <c r="D793" i="6"/>
  <c r="E793" i="6"/>
  <c r="F793" i="6"/>
  <c r="G793" i="6"/>
  <c r="B794" i="6"/>
  <c r="C794" i="6"/>
  <c r="D794" i="6"/>
  <c r="E794" i="6"/>
  <c r="F794" i="6"/>
  <c r="G794" i="6"/>
  <c r="B795" i="6"/>
  <c r="C795" i="6"/>
  <c r="D795" i="6"/>
  <c r="E795" i="6"/>
  <c r="F795" i="6"/>
  <c r="G795" i="6"/>
  <c r="B796" i="6"/>
  <c r="C796" i="6"/>
  <c r="D796" i="6"/>
  <c r="E796" i="6"/>
  <c r="F796" i="6"/>
  <c r="G796" i="6"/>
  <c r="B797" i="6"/>
  <c r="C797" i="6"/>
  <c r="D797" i="6"/>
  <c r="E797" i="6"/>
  <c r="F797" i="6"/>
  <c r="G797" i="6"/>
  <c r="B798" i="6"/>
  <c r="C798" i="6"/>
  <c r="D798" i="6"/>
  <c r="E798" i="6"/>
  <c r="F798" i="6"/>
  <c r="G798" i="6"/>
  <c r="B799" i="6"/>
  <c r="C799" i="6"/>
  <c r="D799" i="6"/>
  <c r="E799" i="6"/>
  <c r="F799" i="6"/>
  <c r="G799" i="6"/>
  <c r="B800" i="6"/>
  <c r="C800" i="6"/>
  <c r="D800" i="6"/>
  <c r="E800" i="6"/>
  <c r="F800" i="6"/>
  <c r="G800" i="6"/>
  <c r="B801" i="6"/>
  <c r="C801" i="6"/>
  <c r="D801" i="6"/>
  <c r="E801" i="6"/>
  <c r="F801" i="6"/>
  <c r="G801" i="6"/>
  <c r="B802" i="6"/>
  <c r="C802" i="6"/>
  <c r="D802" i="6"/>
  <c r="E802" i="6"/>
  <c r="F802" i="6"/>
  <c r="G802" i="6"/>
  <c r="B803" i="6"/>
  <c r="C803" i="6"/>
  <c r="D803" i="6"/>
  <c r="E803" i="6"/>
  <c r="F803" i="6"/>
  <c r="G803" i="6"/>
  <c r="B804" i="6"/>
  <c r="C804" i="6"/>
  <c r="D804" i="6"/>
  <c r="E804" i="6"/>
  <c r="F804" i="6"/>
  <c r="G804" i="6"/>
  <c r="B805" i="6"/>
  <c r="C805" i="6"/>
  <c r="D805" i="6"/>
  <c r="E805" i="6"/>
  <c r="F805" i="6"/>
  <c r="G805" i="6"/>
  <c r="B806" i="6"/>
  <c r="C806" i="6"/>
  <c r="D806" i="6"/>
  <c r="E806" i="6"/>
  <c r="F806" i="6"/>
  <c r="G806" i="6"/>
  <c r="B807" i="6"/>
  <c r="C807" i="6"/>
  <c r="D807" i="6"/>
  <c r="E807" i="6"/>
  <c r="F807" i="6"/>
  <c r="G807" i="6"/>
  <c r="B808" i="6"/>
  <c r="C808" i="6"/>
  <c r="D808" i="6"/>
  <c r="E808" i="6"/>
  <c r="F808" i="6"/>
  <c r="G808" i="6"/>
  <c r="B809" i="6"/>
  <c r="C809" i="6"/>
  <c r="D809" i="6"/>
  <c r="E809" i="6"/>
  <c r="F809" i="6"/>
  <c r="G809" i="6"/>
  <c r="B810" i="6"/>
  <c r="C810" i="6"/>
  <c r="D810" i="6"/>
  <c r="E810" i="6"/>
  <c r="F810" i="6"/>
  <c r="G810" i="6"/>
  <c r="B811" i="6"/>
  <c r="C811" i="6"/>
  <c r="D811" i="6"/>
  <c r="E811" i="6"/>
  <c r="F811" i="6"/>
  <c r="G811" i="6"/>
  <c r="B812" i="6"/>
  <c r="C812" i="6"/>
  <c r="D812" i="6"/>
  <c r="E812" i="6"/>
  <c r="F812" i="6"/>
  <c r="G812" i="6"/>
  <c r="B813" i="6"/>
  <c r="C813" i="6"/>
  <c r="D813" i="6"/>
  <c r="E813" i="6"/>
  <c r="F813" i="6"/>
  <c r="G813" i="6"/>
  <c r="B814" i="6"/>
  <c r="C814" i="6"/>
  <c r="D814" i="6"/>
  <c r="E814" i="6"/>
  <c r="F814" i="6"/>
  <c r="G814" i="6"/>
  <c r="B815" i="6"/>
  <c r="C815" i="6"/>
  <c r="D815" i="6"/>
  <c r="E815" i="6"/>
  <c r="F815" i="6"/>
  <c r="G815" i="6"/>
  <c r="B816" i="6"/>
  <c r="C816" i="6"/>
  <c r="D816" i="6"/>
  <c r="E816" i="6"/>
  <c r="F816" i="6"/>
  <c r="G816" i="6"/>
  <c r="B817" i="6"/>
  <c r="C817" i="6"/>
  <c r="D817" i="6"/>
  <c r="E817" i="6"/>
  <c r="F817" i="6"/>
  <c r="G817" i="6"/>
  <c r="B818" i="6"/>
  <c r="C818" i="6"/>
  <c r="D818" i="6"/>
  <c r="E818" i="6"/>
  <c r="F818" i="6"/>
  <c r="G818" i="6"/>
  <c r="B819" i="6"/>
  <c r="C819" i="6"/>
  <c r="D819" i="6"/>
  <c r="E819" i="6"/>
  <c r="F819" i="6"/>
  <c r="G819" i="6"/>
  <c r="B820" i="6"/>
  <c r="C820" i="6"/>
  <c r="D820" i="6"/>
  <c r="E820" i="6"/>
  <c r="F820" i="6"/>
  <c r="G820" i="6"/>
  <c r="B821" i="6"/>
  <c r="C821" i="6"/>
  <c r="D821" i="6"/>
  <c r="E821" i="6"/>
  <c r="F821" i="6"/>
  <c r="G821" i="6"/>
  <c r="B822" i="6"/>
  <c r="C822" i="6"/>
  <c r="D822" i="6"/>
  <c r="E822" i="6"/>
  <c r="F822" i="6"/>
  <c r="G822" i="6"/>
  <c r="B823" i="6"/>
  <c r="C823" i="6"/>
  <c r="D823" i="6"/>
  <c r="E823" i="6"/>
  <c r="F823" i="6"/>
  <c r="G823" i="6"/>
  <c r="B824" i="6"/>
  <c r="C824" i="6"/>
  <c r="D824" i="6"/>
  <c r="E824" i="6"/>
  <c r="F824" i="6"/>
  <c r="G824" i="6"/>
  <c r="B825" i="6"/>
  <c r="C825" i="6"/>
  <c r="D825" i="6"/>
  <c r="E825" i="6"/>
  <c r="F825" i="6"/>
  <c r="G825" i="6"/>
  <c r="B826" i="6"/>
  <c r="C826" i="6"/>
  <c r="D826" i="6"/>
  <c r="E826" i="6"/>
  <c r="F826" i="6"/>
  <c r="G826" i="6"/>
  <c r="B827" i="6"/>
  <c r="C827" i="6"/>
  <c r="D827" i="6"/>
  <c r="E827" i="6"/>
  <c r="F827" i="6"/>
  <c r="G827" i="6"/>
  <c r="B828" i="6"/>
  <c r="C828" i="6"/>
  <c r="D828" i="6"/>
  <c r="E828" i="6"/>
  <c r="F828" i="6"/>
  <c r="G828" i="6"/>
  <c r="B829" i="6"/>
  <c r="C829" i="6"/>
  <c r="D829" i="6"/>
  <c r="E829" i="6"/>
  <c r="F829" i="6"/>
  <c r="G829" i="6"/>
  <c r="B830" i="6"/>
  <c r="C830" i="6"/>
  <c r="D830" i="6"/>
  <c r="E830" i="6"/>
  <c r="F830" i="6"/>
  <c r="G830" i="6"/>
  <c r="B831" i="6"/>
  <c r="C831" i="6"/>
  <c r="D831" i="6"/>
  <c r="E831" i="6"/>
  <c r="F831" i="6"/>
  <c r="G831" i="6"/>
  <c r="B832" i="6"/>
  <c r="C832" i="6"/>
  <c r="D832" i="6"/>
  <c r="E832" i="6"/>
  <c r="F832" i="6"/>
  <c r="G832" i="6"/>
  <c r="B833" i="6"/>
  <c r="C833" i="6"/>
  <c r="D833" i="6"/>
  <c r="E833" i="6"/>
  <c r="F833" i="6"/>
  <c r="G833" i="6"/>
  <c r="B834" i="6"/>
  <c r="C834" i="6"/>
  <c r="D834" i="6"/>
  <c r="E834" i="6"/>
  <c r="F834" i="6"/>
  <c r="G834" i="6"/>
  <c r="B835" i="6"/>
  <c r="C835" i="6"/>
  <c r="D835" i="6"/>
  <c r="E835" i="6"/>
  <c r="F835" i="6"/>
  <c r="G835" i="6"/>
  <c r="B836" i="6"/>
  <c r="C836" i="6"/>
  <c r="D836" i="6"/>
  <c r="E836" i="6"/>
  <c r="F836" i="6"/>
  <c r="G836" i="6"/>
  <c r="B837" i="6"/>
  <c r="C837" i="6"/>
  <c r="D837" i="6"/>
  <c r="E837" i="6"/>
  <c r="F837" i="6"/>
  <c r="G837" i="6"/>
  <c r="B838" i="6"/>
  <c r="C838" i="6"/>
  <c r="D838" i="6"/>
  <c r="E838" i="6"/>
  <c r="F838" i="6"/>
  <c r="G838" i="6"/>
  <c r="B839" i="6"/>
  <c r="C839" i="6"/>
  <c r="D839" i="6"/>
  <c r="E839" i="6"/>
  <c r="F839" i="6"/>
  <c r="G839" i="6"/>
  <c r="B840" i="6"/>
  <c r="C840" i="6"/>
  <c r="D840" i="6"/>
  <c r="E840" i="6"/>
  <c r="F840" i="6"/>
  <c r="G840" i="6"/>
  <c r="B841" i="6"/>
  <c r="C841" i="6"/>
  <c r="D841" i="6"/>
  <c r="E841" i="6"/>
  <c r="F841" i="6"/>
  <c r="G841" i="6"/>
  <c r="B842" i="6"/>
  <c r="C842" i="6"/>
  <c r="D842" i="6"/>
  <c r="E842" i="6"/>
  <c r="F842" i="6"/>
  <c r="G842" i="6"/>
  <c r="B843" i="6"/>
  <c r="C843" i="6"/>
  <c r="D843" i="6"/>
  <c r="E843" i="6"/>
  <c r="F843" i="6"/>
  <c r="G843" i="6"/>
  <c r="B844" i="6"/>
  <c r="C844" i="6"/>
  <c r="D844" i="6"/>
  <c r="E844" i="6"/>
  <c r="F844" i="6"/>
  <c r="G844" i="6"/>
  <c r="B845" i="6"/>
  <c r="C845" i="6"/>
  <c r="D845" i="6"/>
  <c r="E845" i="6"/>
  <c r="F845" i="6"/>
  <c r="G845" i="6"/>
  <c r="B846" i="6"/>
  <c r="C846" i="6"/>
  <c r="D846" i="6"/>
  <c r="E846" i="6"/>
  <c r="F846" i="6"/>
  <c r="G846" i="6"/>
  <c r="B847" i="6"/>
  <c r="C847" i="6"/>
  <c r="D847" i="6"/>
  <c r="E847" i="6"/>
  <c r="F847" i="6"/>
  <c r="G847" i="6"/>
  <c r="B848" i="6"/>
  <c r="C848" i="6"/>
  <c r="D848" i="6"/>
  <c r="E848" i="6"/>
  <c r="F848" i="6"/>
  <c r="G848" i="6"/>
  <c r="B849" i="6"/>
  <c r="C849" i="6"/>
  <c r="D849" i="6"/>
  <c r="E849" i="6"/>
  <c r="F849" i="6"/>
  <c r="G849" i="6"/>
  <c r="B850" i="6"/>
  <c r="C850" i="6"/>
  <c r="D850" i="6"/>
  <c r="E850" i="6"/>
  <c r="F850" i="6"/>
  <c r="G850" i="6"/>
  <c r="B851" i="6"/>
  <c r="C851" i="6"/>
  <c r="D851" i="6"/>
  <c r="E851" i="6"/>
  <c r="F851" i="6"/>
  <c r="G851" i="6"/>
  <c r="B852" i="6"/>
  <c r="C852" i="6"/>
  <c r="D852" i="6"/>
  <c r="E852" i="6"/>
  <c r="F852" i="6"/>
  <c r="G852" i="6"/>
  <c r="B853" i="6"/>
  <c r="C853" i="6"/>
  <c r="D853" i="6"/>
  <c r="E853" i="6"/>
  <c r="F853" i="6"/>
  <c r="G853" i="6"/>
  <c r="B854" i="6"/>
  <c r="C854" i="6"/>
  <c r="D854" i="6"/>
  <c r="E854" i="6"/>
  <c r="F854" i="6"/>
  <c r="G854" i="6"/>
  <c r="B855" i="6"/>
  <c r="C855" i="6"/>
  <c r="D855" i="6"/>
  <c r="E855" i="6"/>
  <c r="F855" i="6"/>
  <c r="G855" i="6"/>
  <c r="B856" i="6"/>
  <c r="C856" i="6"/>
  <c r="D856" i="6"/>
  <c r="E856" i="6"/>
  <c r="F856" i="6"/>
  <c r="G856" i="6"/>
  <c r="B857" i="6"/>
  <c r="C857" i="6"/>
  <c r="D857" i="6"/>
  <c r="E857" i="6"/>
  <c r="F857" i="6"/>
  <c r="G857" i="6"/>
  <c r="B858" i="6"/>
  <c r="C858" i="6"/>
  <c r="D858" i="6"/>
  <c r="E858" i="6"/>
  <c r="F858" i="6"/>
  <c r="G858" i="6"/>
  <c r="B859" i="6"/>
  <c r="C859" i="6"/>
  <c r="D859" i="6"/>
  <c r="E859" i="6"/>
  <c r="F859" i="6"/>
  <c r="G859" i="6"/>
  <c r="B860" i="6"/>
  <c r="C860" i="6"/>
  <c r="D860" i="6"/>
  <c r="E860" i="6"/>
  <c r="F860" i="6"/>
  <c r="G860" i="6"/>
  <c r="B861" i="6"/>
  <c r="C861" i="6"/>
  <c r="D861" i="6"/>
  <c r="E861" i="6"/>
  <c r="F861" i="6"/>
  <c r="G861" i="6"/>
  <c r="B862" i="6"/>
  <c r="C862" i="6"/>
  <c r="D862" i="6"/>
  <c r="E862" i="6"/>
  <c r="F862" i="6"/>
  <c r="G862" i="6"/>
  <c r="B863" i="6"/>
  <c r="C863" i="6"/>
  <c r="D863" i="6"/>
  <c r="E863" i="6"/>
  <c r="F863" i="6"/>
  <c r="G863" i="6"/>
  <c r="B864" i="6"/>
  <c r="C864" i="6"/>
  <c r="D864" i="6"/>
  <c r="E864" i="6"/>
  <c r="F864" i="6"/>
  <c r="G864" i="6"/>
  <c r="B865" i="6"/>
  <c r="C865" i="6"/>
  <c r="D865" i="6"/>
  <c r="E865" i="6"/>
  <c r="F865" i="6"/>
  <c r="G865" i="6"/>
  <c r="B866" i="6"/>
  <c r="C866" i="6"/>
  <c r="D866" i="6"/>
  <c r="E866" i="6"/>
  <c r="F866" i="6"/>
  <c r="G866" i="6"/>
  <c r="B867" i="6"/>
  <c r="C867" i="6"/>
  <c r="D867" i="6"/>
  <c r="E867" i="6"/>
  <c r="F867" i="6"/>
  <c r="G867" i="6"/>
  <c r="B868" i="6"/>
  <c r="C868" i="6"/>
  <c r="D868" i="6"/>
  <c r="E868" i="6"/>
  <c r="F868" i="6"/>
  <c r="G868" i="6"/>
  <c r="B869" i="6"/>
  <c r="C869" i="6"/>
  <c r="D869" i="6"/>
  <c r="E869" i="6"/>
  <c r="F869" i="6"/>
  <c r="G869" i="6"/>
  <c r="B870" i="6"/>
  <c r="C870" i="6"/>
  <c r="D870" i="6"/>
  <c r="E870" i="6"/>
  <c r="F870" i="6"/>
  <c r="G870" i="6"/>
  <c r="B871" i="6"/>
  <c r="C871" i="6"/>
  <c r="D871" i="6"/>
  <c r="E871" i="6"/>
  <c r="F871" i="6"/>
  <c r="G871" i="6"/>
  <c r="B872" i="6"/>
  <c r="C872" i="6"/>
  <c r="D872" i="6"/>
  <c r="E872" i="6"/>
  <c r="F872" i="6"/>
  <c r="G872" i="6"/>
  <c r="B873" i="6"/>
  <c r="C873" i="6"/>
  <c r="D873" i="6"/>
  <c r="E873" i="6"/>
  <c r="F873" i="6"/>
  <c r="G873" i="6"/>
  <c r="B874" i="6"/>
  <c r="C874" i="6"/>
  <c r="D874" i="6"/>
  <c r="E874" i="6"/>
  <c r="F874" i="6"/>
  <c r="G874" i="6"/>
  <c r="B875" i="6"/>
  <c r="C875" i="6"/>
  <c r="D875" i="6"/>
  <c r="E875" i="6"/>
  <c r="F875" i="6"/>
  <c r="G875" i="6"/>
  <c r="B876" i="6"/>
  <c r="C876" i="6"/>
  <c r="D876" i="6"/>
  <c r="E876" i="6"/>
  <c r="F876" i="6"/>
  <c r="G876" i="6"/>
  <c r="B877" i="6"/>
  <c r="C877" i="6"/>
  <c r="D877" i="6"/>
  <c r="E877" i="6"/>
  <c r="F877" i="6"/>
  <c r="G877" i="6"/>
  <c r="B878" i="6"/>
  <c r="C878" i="6"/>
  <c r="D878" i="6"/>
  <c r="E878" i="6"/>
  <c r="F878" i="6"/>
  <c r="G878" i="6"/>
  <c r="B879" i="6"/>
  <c r="C879" i="6"/>
  <c r="D879" i="6"/>
  <c r="E879" i="6"/>
  <c r="F879" i="6"/>
  <c r="G879" i="6"/>
  <c r="B880" i="6"/>
  <c r="C880" i="6"/>
  <c r="D880" i="6"/>
  <c r="E880" i="6"/>
  <c r="F880" i="6"/>
  <c r="G880" i="6"/>
  <c r="B881" i="6"/>
  <c r="C881" i="6"/>
  <c r="D881" i="6"/>
  <c r="E881" i="6"/>
  <c r="F881" i="6"/>
  <c r="G881" i="6"/>
  <c r="B882" i="6"/>
  <c r="C882" i="6"/>
  <c r="D882" i="6"/>
  <c r="E882" i="6"/>
  <c r="F882" i="6"/>
  <c r="G882" i="6"/>
  <c r="B883" i="6"/>
  <c r="C883" i="6"/>
  <c r="D883" i="6"/>
  <c r="E883" i="6"/>
  <c r="F883" i="6"/>
  <c r="G883" i="6"/>
  <c r="B884" i="6"/>
  <c r="C884" i="6"/>
  <c r="D884" i="6"/>
  <c r="E884" i="6"/>
  <c r="F884" i="6"/>
  <c r="G884" i="6"/>
  <c r="B885" i="6"/>
  <c r="C885" i="6"/>
  <c r="D885" i="6"/>
  <c r="E885" i="6"/>
  <c r="F885" i="6"/>
  <c r="G885" i="6"/>
  <c r="B886" i="6"/>
  <c r="C886" i="6"/>
  <c r="D886" i="6"/>
  <c r="E886" i="6"/>
  <c r="F886" i="6"/>
  <c r="G886" i="6"/>
  <c r="B887" i="6"/>
  <c r="C887" i="6"/>
  <c r="D887" i="6"/>
  <c r="E887" i="6"/>
  <c r="F887" i="6"/>
  <c r="G887" i="6"/>
  <c r="B888" i="6"/>
  <c r="C888" i="6"/>
  <c r="D888" i="6"/>
  <c r="E888" i="6"/>
  <c r="F888" i="6"/>
  <c r="G888" i="6"/>
  <c r="B889" i="6"/>
  <c r="C889" i="6"/>
  <c r="D889" i="6"/>
  <c r="E889" i="6"/>
  <c r="F889" i="6"/>
  <c r="G889" i="6"/>
  <c r="B890" i="6"/>
  <c r="C890" i="6"/>
  <c r="D890" i="6"/>
  <c r="E890" i="6"/>
  <c r="F890" i="6"/>
  <c r="G890" i="6"/>
  <c r="B891" i="6"/>
  <c r="C891" i="6"/>
  <c r="D891" i="6"/>
  <c r="E891" i="6"/>
  <c r="F891" i="6"/>
  <c r="G891" i="6"/>
  <c r="B892" i="6"/>
  <c r="C892" i="6"/>
  <c r="D892" i="6"/>
  <c r="E892" i="6"/>
  <c r="F892" i="6"/>
  <c r="G892" i="6"/>
  <c r="B893" i="6"/>
  <c r="C893" i="6"/>
  <c r="D893" i="6"/>
  <c r="E893" i="6"/>
  <c r="F893" i="6"/>
  <c r="G893" i="6"/>
  <c r="B894" i="6"/>
  <c r="C894" i="6"/>
  <c r="D894" i="6"/>
  <c r="E894" i="6"/>
  <c r="F894" i="6"/>
  <c r="G894" i="6"/>
  <c r="B895" i="6"/>
  <c r="C895" i="6"/>
  <c r="D895" i="6"/>
  <c r="E895" i="6"/>
  <c r="F895" i="6"/>
  <c r="G895" i="6"/>
  <c r="B896" i="6"/>
  <c r="C896" i="6"/>
  <c r="D896" i="6"/>
  <c r="E896" i="6"/>
  <c r="F896" i="6"/>
  <c r="G896" i="6"/>
  <c r="B897" i="6"/>
  <c r="C897" i="6"/>
  <c r="D897" i="6"/>
  <c r="E897" i="6"/>
  <c r="F897" i="6"/>
  <c r="G897" i="6"/>
  <c r="B898" i="6"/>
  <c r="C898" i="6"/>
  <c r="D898" i="6"/>
  <c r="E898" i="6"/>
  <c r="F898" i="6"/>
  <c r="G898" i="6"/>
  <c r="B899" i="6"/>
  <c r="C899" i="6"/>
  <c r="D899" i="6"/>
  <c r="E899" i="6"/>
  <c r="F899" i="6"/>
  <c r="G899" i="6"/>
  <c r="B900" i="6"/>
  <c r="C900" i="6"/>
  <c r="D900" i="6"/>
  <c r="E900" i="6"/>
  <c r="F900" i="6"/>
  <c r="G900" i="6"/>
  <c r="B901" i="6"/>
  <c r="C901" i="6"/>
  <c r="D901" i="6"/>
  <c r="E901" i="6"/>
  <c r="F901" i="6"/>
  <c r="G901" i="6"/>
  <c r="B902" i="6"/>
  <c r="C902" i="6"/>
  <c r="D902" i="6"/>
  <c r="E902" i="6"/>
  <c r="F902" i="6"/>
  <c r="G902" i="6"/>
  <c r="B903" i="6"/>
  <c r="C903" i="6"/>
  <c r="D903" i="6"/>
  <c r="E903" i="6"/>
  <c r="F903" i="6"/>
  <c r="G903" i="6"/>
  <c r="B904" i="6"/>
  <c r="C904" i="6"/>
  <c r="D904" i="6"/>
  <c r="E904" i="6"/>
  <c r="F904" i="6"/>
  <c r="G904" i="6"/>
  <c r="B905" i="6"/>
  <c r="C905" i="6"/>
  <c r="D905" i="6"/>
  <c r="E905" i="6"/>
  <c r="F905" i="6"/>
  <c r="G905" i="6"/>
  <c r="B906" i="6"/>
  <c r="C906" i="6"/>
  <c r="D906" i="6"/>
  <c r="E906" i="6"/>
  <c r="F906" i="6"/>
  <c r="G906" i="6"/>
  <c r="B907" i="6"/>
  <c r="C907" i="6"/>
  <c r="D907" i="6"/>
  <c r="E907" i="6"/>
  <c r="F907" i="6"/>
  <c r="G907" i="6"/>
  <c r="B908" i="6"/>
  <c r="C908" i="6"/>
  <c r="D908" i="6"/>
  <c r="E908" i="6"/>
  <c r="F908" i="6"/>
  <c r="G908" i="6"/>
  <c r="B909" i="6"/>
  <c r="C909" i="6"/>
  <c r="D909" i="6"/>
  <c r="E909" i="6"/>
  <c r="F909" i="6"/>
  <c r="G909" i="6"/>
  <c r="B910" i="6"/>
  <c r="C910" i="6"/>
  <c r="D910" i="6"/>
  <c r="E910" i="6"/>
  <c r="F910" i="6"/>
  <c r="G910" i="6"/>
  <c r="B911" i="6"/>
  <c r="C911" i="6"/>
  <c r="D911" i="6"/>
  <c r="E911" i="6"/>
  <c r="F911" i="6"/>
  <c r="G911" i="6"/>
  <c r="B912" i="6"/>
  <c r="C912" i="6"/>
  <c r="D912" i="6"/>
  <c r="E912" i="6"/>
  <c r="F912" i="6"/>
  <c r="G912" i="6"/>
  <c r="B913" i="6"/>
  <c r="C913" i="6"/>
  <c r="D913" i="6"/>
  <c r="E913" i="6"/>
  <c r="F913" i="6"/>
  <c r="G913" i="6"/>
  <c r="B914" i="6"/>
  <c r="C914" i="6"/>
  <c r="D914" i="6"/>
  <c r="E914" i="6"/>
  <c r="F914" i="6"/>
  <c r="G914" i="6"/>
  <c r="B915" i="6"/>
  <c r="C915" i="6"/>
  <c r="D915" i="6"/>
  <c r="E915" i="6"/>
  <c r="F915" i="6"/>
  <c r="G915" i="6"/>
  <c r="B916" i="6"/>
  <c r="C916" i="6"/>
  <c r="D916" i="6"/>
  <c r="E916" i="6"/>
  <c r="F916" i="6"/>
  <c r="G916" i="6"/>
  <c r="B917" i="6"/>
  <c r="C917" i="6"/>
  <c r="D917" i="6"/>
  <c r="E917" i="6"/>
  <c r="F917" i="6"/>
  <c r="G917" i="6"/>
  <c r="B918" i="6"/>
  <c r="C918" i="6"/>
  <c r="D918" i="6"/>
  <c r="E918" i="6"/>
  <c r="F918" i="6"/>
  <c r="G918" i="6"/>
  <c r="B919" i="6"/>
  <c r="C919" i="6"/>
  <c r="D919" i="6"/>
  <c r="E919" i="6"/>
  <c r="F919" i="6"/>
  <c r="G919" i="6"/>
  <c r="B920" i="6"/>
  <c r="C920" i="6"/>
  <c r="D920" i="6"/>
  <c r="E920" i="6"/>
  <c r="F920" i="6"/>
  <c r="G920" i="6"/>
  <c r="B921" i="6"/>
  <c r="C921" i="6"/>
  <c r="D921" i="6"/>
  <c r="E921" i="6"/>
  <c r="F921" i="6"/>
  <c r="G921" i="6"/>
  <c r="B922" i="6"/>
  <c r="C922" i="6"/>
  <c r="D922" i="6"/>
  <c r="E922" i="6"/>
  <c r="F922" i="6"/>
  <c r="G922" i="6"/>
  <c r="B923" i="6"/>
  <c r="C923" i="6"/>
  <c r="D923" i="6"/>
  <c r="E923" i="6"/>
  <c r="F923" i="6"/>
  <c r="G923" i="6"/>
  <c r="B924" i="6"/>
  <c r="C924" i="6"/>
  <c r="D924" i="6"/>
  <c r="E924" i="6"/>
  <c r="F924" i="6"/>
  <c r="G924" i="6"/>
  <c r="B925" i="6"/>
  <c r="C925" i="6"/>
  <c r="D925" i="6"/>
  <c r="E925" i="6"/>
  <c r="F925" i="6"/>
  <c r="G925" i="6"/>
  <c r="B926" i="6"/>
  <c r="C926" i="6"/>
  <c r="D926" i="6"/>
  <c r="E926" i="6"/>
  <c r="F926" i="6"/>
  <c r="G926" i="6"/>
  <c r="B927" i="6"/>
  <c r="C927" i="6"/>
  <c r="D927" i="6"/>
  <c r="E927" i="6"/>
  <c r="F927" i="6"/>
  <c r="G927" i="6"/>
  <c r="B928" i="6"/>
  <c r="C928" i="6"/>
  <c r="D928" i="6"/>
  <c r="E928" i="6"/>
  <c r="F928" i="6"/>
  <c r="G928" i="6"/>
  <c r="B929" i="6"/>
  <c r="C929" i="6"/>
  <c r="D929" i="6"/>
  <c r="E929" i="6"/>
  <c r="F929" i="6"/>
  <c r="G929" i="6"/>
  <c r="B930" i="6"/>
  <c r="C930" i="6"/>
  <c r="D930" i="6"/>
  <c r="E930" i="6"/>
  <c r="F930" i="6"/>
  <c r="G930" i="6"/>
  <c r="B931" i="6"/>
  <c r="C931" i="6"/>
  <c r="D931" i="6"/>
  <c r="E931" i="6"/>
  <c r="F931" i="6"/>
  <c r="G931" i="6"/>
  <c r="B932" i="6"/>
  <c r="C932" i="6"/>
  <c r="D932" i="6"/>
  <c r="E932" i="6"/>
  <c r="F932" i="6"/>
  <c r="G932" i="6"/>
  <c r="B933" i="6"/>
  <c r="C933" i="6"/>
  <c r="D933" i="6"/>
  <c r="E933" i="6"/>
  <c r="F933" i="6"/>
  <c r="G933" i="6"/>
  <c r="B934" i="6"/>
  <c r="C934" i="6"/>
  <c r="D934" i="6"/>
  <c r="E934" i="6"/>
  <c r="F934" i="6"/>
  <c r="G934" i="6"/>
  <c r="B935" i="6"/>
  <c r="C935" i="6"/>
  <c r="D935" i="6"/>
  <c r="E935" i="6"/>
  <c r="F935" i="6"/>
  <c r="G935" i="6"/>
  <c r="B936" i="6"/>
  <c r="C936" i="6"/>
  <c r="D936" i="6"/>
  <c r="E936" i="6"/>
  <c r="F936" i="6"/>
  <c r="G936" i="6"/>
  <c r="B937" i="6"/>
  <c r="C937" i="6"/>
  <c r="D937" i="6"/>
  <c r="E937" i="6"/>
  <c r="F937" i="6"/>
  <c r="G937" i="6"/>
  <c r="B938" i="6"/>
  <c r="C938" i="6"/>
  <c r="D938" i="6"/>
  <c r="E938" i="6"/>
  <c r="F938" i="6"/>
  <c r="G938" i="6"/>
  <c r="B939" i="6"/>
  <c r="C939" i="6"/>
  <c r="D939" i="6"/>
  <c r="E939" i="6"/>
  <c r="F939" i="6"/>
  <c r="G939" i="6"/>
  <c r="B940" i="6"/>
  <c r="C940" i="6"/>
  <c r="D940" i="6"/>
  <c r="E940" i="6"/>
  <c r="F940" i="6"/>
  <c r="G940" i="6"/>
  <c r="B941" i="6"/>
  <c r="C941" i="6"/>
  <c r="D941" i="6"/>
  <c r="E941" i="6"/>
  <c r="F941" i="6"/>
  <c r="G941" i="6"/>
  <c r="B942" i="6"/>
  <c r="C942" i="6"/>
  <c r="D942" i="6"/>
  <c r="E942" i="6"/>
  <c r="F942" i="6"/>
  <c r="G942" i="6"/>
  <c r="B943" i="6"/>
  <c r="C943" i="6"/>
  <c r="D943" i="6"/>
  <c r="E943" i="6"/>
  <c r="F943" i="6"/>
  <c r="G943" i="6"/>
  <c r="B944" i="6"/>
  <c r="C944" i="6"/>
  <c r="D944" i="6"/>
  <c r="E944" i="6"/>
  <c r="F944" i="6"/>
  <c r="G944" i="6"/>
  <c r="B945" i="6"/>
  <c r="C945" i="6"/>
  <c r="D945" i="6"/>
  <c r="E945" i="6"/>
  <c r="F945" i="6"/>
  <c r="G945" i="6"/>
  <c r="B946" i="6"/>
  <c r="C946" i="6"/>
  <c r="D946" i="6"/>
  <c r="E946" i="6"/>
  <c r="F946" i="6"/>
  <c r="G946" i="6"/>
  <c r="B947" i="6"/>
  <c r="C947" i="6"/>
  <c r="D947" i="6"/>
  <c r="E947" i="6"/>
  <c r="F947" i="6"/>
  <c r="G947" i="6"/>
  <c r="B948" i="6"/>
  <c r="C948" i="6"/>
  <c r="D948" i="6"/>
  <c r="E948" i="6"/>
  <c r="F948" i="6"/>
  <c r="G948" i="6"/>
  <c r="B949" i="6"/>
  <c r="C949" i="6"/>
  <c r="D949" i="6"/>
  <c r="E949" i="6"/>
  <c r="F949" i="6"/>
  <c r="G949" i="6"/>
  <c r="B950" i="6"/>
  <c r="C950" i="6"/>
  <c r="D950" i="6"/>
  <c r="E950" i="6"/>
  <c r="F950" i="6"/>
  <c r="G950" i="6"/>
  <c r="B951" i="6"/>
  <c r="C951" i="6"/>
  <c r="D951" i="6"/>
  <c r="E951" i="6"/>
  <c r="F951" i="6"/>
  <c r="G951" i="6"/>
  <c r="B952" i="6"/>
  <c r="C952" i="6"/>
  <c r="D952" i="6"/>
  <c r="E952" i="6"/>
  <c r="F952" i="6"/>
  <c r="G952" i="6"/>
  <c r="B953" i="6"/>
  <c r="C953" i="6"/>
  <c r="D953" i="6"/>
  <c r="E953" i="6"/>
  <c r="F953" i="6"/>
  <c r="G953" i="6"/>
  <c r="B954" i="6"/>
  <c r="C954" i="6"/>
  <c r="D954" i="6"/>
  <c r="E954" i="6"/>
  <c r="F954" i="6"/>
  <c r="G954" i="6"/>
  <c r="B955" i="6"/>
  <c r="C955" i="6"/>
  <c r="D955" i="6"/>
  <c r="E955" i="6"/>
  <c r="F955" i="6"/>
  <c r="G955" i="6"/>
  <c r="B956" i="6"/>
  <c r="C956" i="6"/>
  <c r="D956" i="6"/>
  <c r="E956" i="6"/>
  <c r="F956" i="6"/>
  <c r="G956" i="6"/>
  <c r="B957" i="6"/>
  <c r="C957" i="6"/>
  <c r="D957" i="6"/>
  <c r="E957" i="6"/>
  <c r="F957" i="6"/>
  <c r="G957" i="6"/>
  <c r="B958" i="6"/>
  <c r="C958" i="6"/>
  <c r="D958" i="6"/>
  <c r="E958" i="6"/>
  <c r="F958" i="6"/>
  <c r="G958" i="6"/>
  <c r="B959" i="6"/>
  <c r="C959" i="6"/>
  <c r="D959" i="6"/>
  <c r="E959" i="6"/>
  <c r="F959" i="6"/>
  <c r="G959" i="6"/>
  <c r="B960" i="6"/>
  <c r="C960" i="6"/>
  <c r="D960" i="6"/>
  <c r="E960" i="6"/>
  <c r="F960" i="6"/>
  <c r="G960" i="6"/>
  <c r="B961" i="6"/>
  <c r="C961" i="6"/>
  <c r="D961" i="6"/>
  <c r="E961" i="6"/>
  <c r="F961" i="6"/>
  <c r="G961" i="6"/>
  <c r="B962" i="6"/>
  <c r="C962" i="6"/>
  <c r="D962" i="6"/>
  <c r="E962" i="6"/>
  <c r="F962" i="6"/>
  <c r="G962" i="6"/>
  <c r="B963" i="6"/>
  <c r="C963" i="6"/>
  <c r="D963" i="6"/>
  <c r="E963" i="6"/>
  <c r="F963" i="6"/>
  <c r="G963" i="6"/>
  <c r="B964" i="6"/>
  <c r="C964" i="6"/>
  <c r="D964" i="6"/>
  <c r="E964" i="6"/>
  <c r="F964" i="6"/>
  <c r="G964" i="6"/>
  <c r="B965" i="6"/>
  <c r="C965" i="6"/>
  <c r="D965" i="6"/>
  <c r="E965" i="6"/>
  <c r="F965" i="6"/>
  <c r="G965" i="6"/>
  <c r="B966" i="6"/>
  <c r="C966" i="6"/>
  <c r="D966" i="6"/>
  <c r="E966" i="6"/>
  <c r="F966" i="6"/>
  <c r="G966" i="6"/>
  <c r="B967" i="6"/>
  <c r="C967" i="6"/>
  <c r="D967" i="6"/>
  <c r="E967" i="6"/>
  <c r="F967" i="6"/>
  <c r="G967" i="6"/>
  <c r="B968" i="6"/>
  <c r="C968" i="6"/>
  <c r="D968" i="6"/>
  <c r="E968" i="6"/>
  <c r="F968" i="6"/>
  <c r="G968" i="6"/>
  <c r="B969" i="6"/>
  <c r="C969" i="6"/>
  <c r="D969" i="6"/>
  <c r="E969" i="6"/>
  <c r="F969" i="6"/>
  <c r="G969" i="6"/>
  <c r="B970" i="6"/>
  <c r="C970" i="6"/>
  <c r="D970" i="6"/>
  <c r="E970" i="6"/>
  <c r="F970" i="6"/>
  <c r="G970" i="6"/>
  <c r="B971" i="6"/>
  <c r="C971" i="6"/>
  <c r="D971" i="6"/>
  <c r="E971" i="6"/>
  <c r="F971" i="6"/>
  <c r="G971" i="6"/>
  <c r="B972" i="6"/>
  <c r="C972" i="6"/>
  <c r="D972" i="6"/>
  <c r="E972" i="6"/>
  <c r="F972" i="6"/>
  <c r="G972" i="6"/>
  <c r="B973" i="6"/>
  <c r="C973" i="6"/>
  <c r="D973" i="6"/>
  <c r="E973" i="6"/>
  <c r="F973" i="6"/>
  <c r="G973" i="6"/>
  <c r="B974" i="6"/>
  <c r="C974" i="6"/>
  <c r="D974" i="6"/>
  <c r="E974" i="6"/>
  <c r="F974" i="6"/>
  <c r="G974" i="6"/>
  <c r="B975" i="6"/>
  <c r="C975" i="6"/>
  <c r="D975" i="6"/>
  <c r="E975" i="6"/>
  <c r="F975" i="6"/>
  <c r="G975" i="6"/>
  <c r="B976" i="6"/>
  <c r="C976" i="6"/>
  <c r="D976" i="6"/>
  <c r="E976" i="6"/>
  <c r="F976" i="6"/>
  <c r="G976" i="6"/>
  <c r="B977" i="6"/>
  <c r="C977" i="6"/>
  <c r="D977" i="6"/>
  <c r="E977" i="6"/>
  <c r="F977" i="6"/>
  <c r="G977" i="6"/>
  <c r="B978" i="6"/>
  <c r="C978" i="6"/>
  <c r="D978" i="6"/>
  <c r="E978" i="6"/>
  <c r="F978" i="6"/>
  <c r="G978" i="6"/>
  <c r="B979" i="6"/>
  <c r="C979" i="6"/>
  <c r="D979" i="6"/>
  <c r="E979" i="6"/>
  <c r="F979" i="6"/>
  <c r="G979" i="6"/>
  <c r="B980" i="6"/>
  <c r="C980" i="6"/>
  <c r="D980" i="6"/>
  <c r="E980" i="6"/>
  <c r="F980" i="6"/>
  <c r="G980" i="6"/>
  <c r="B981" i="6"/>
  <c r="C981" i="6"/>
  <c r="D981" i="6"/>
  <c r="E981" i="6"/>
  <c r="F981" i="6"/>
  <c r="G981" i="6"/>
  <c r="B982" i="6"/>
  <c r="C982" i="6"/>
  <c r="D982" i="6"/>
  <c r="E982" i="6"/>
  <c r="F982" i="6"/>
  <c r="G982" i="6"/>
  <c r="B983" i="6"/>
  <c r="C983" i="6"/>
  <c r="D983" i="6"/>
  <c r="E983" i="6"/>
  <c r="F983" i="6"/>
  <c r="G983" i="6"/>
  <c r="B984" i="6"/>
  <c r="C984" i="6"/>
  <c r="D984" i="6"/>
  <c r="E984" i="6"/>
  <c r="F984" i="6"/>
  <c r="G984" i="6"/>
  <c r="B985" i="6"/>
  <c r="C985" i="6"/>
  <c r="D985" i="6"/>
  <c r="E985" i="6"/>
  <c r="F985" i="6"/>
  <c r="G985" i="6"/>
  <c r="B986" i="6"/>
  <c r="C986" i="6"/>
  <c r="D986" i="6"/>
  <c r="E986" i="6"/>
  <c r="F986" i="6"/>
  <c r="G986" i="6"/>
  <c r="B987" i="6"/>
  <c r="C987" i="6"/>
  <c r="D987" i="6"/>
  <c r="E987" i="6"/>
  <c r="F987" i="6"/>
  <c r="G987" i="6"/>
  <c r="B988" i="6"/>
  <c r="C988" i="6"/>
  <c r="D988" i="6"/>
  <c r="E988" i="6"/>
  <c r="F988" i="6"/>
  <c r="G988" i="6"/>
  <c r="B989" i="6"/>
  <c r="C989" i="6"/>
  <c r="D989" i="6"/>
  <c r="E989" i="6"/>
  <c r="F989" i="6"/>
  <c r="G989" i="6"/>
  <c r="B990" i="6"/>
  <c r="C990" i="6"/>
  <c r="D990" i="6"/>
  <c r="E990" i="6"/>
  <c r="F990" i="6"/>
  <c r="G990" i="6"/>
  <c r="B991" i="6"/>
  <c r="C991" i="6"/>
  <c r="D991" i="6"/>
  <c r="E991" i="6"/>
  <c r="F991" i="6"/>
  <c r="G991" i="6"/>
  <c r="B992" i="6"/>
  <c r="C992" i="6"/>
  <c r="D992" i="6"/>
  <c r="E992" i="6"/>
  <c r="F992" i="6"/>
  <c r="G992" i="6"/>
  <c r="B993" i="6"/>
  <c r="C993" i="6"/>
  <c r="D993" i="6"/>
  <c r="E993" i="6"/>
  <c r="F993" i="6"/>
  <c r="G993" i="6"/>
  <c r="B994" i="6"/>
  <c r="C994" i="6"/>
  <c r="D994" i="6"/>
  <c r="E994" i="6"/>
  <c r="F994" i="6"/>
  <c r="G994" i="6"/>
  <c r="B995" i="6"/>
  <c r="C995" i="6"/>
  <c r="D995" i="6"/>
  <c r="E995" i="6"/>
  <c r="F995" i="6"/>
  <c r="G995" i="6"/>
  <c r="B996" i="6"/>
  <c r="C996" i="6"/>
  <c r="D996" i="6"/>
  <c r="E996" i="6"/>
  <c r="F996" i="6"/>
  <c r="G996" i="6"/>
  <c r="B997" i="6"/>
  <c r="C997" i="6"/>
  <c r="D997" i="6"/>
  <c r="E997" i="6"/>
  <c r="F997" i="6"/>
  <c r="G997" i="6"/>
  <c r="B998" i="6"/>
  <c r="C998" i="6"/>
  <c r="D998" i="6"/>
  <c r="E998" i="6"/>
  <c r="F998" i="6"/>
  <c r="G998" i="6"/>
  <c r="B999" i="6"/>
  <c r="C999" i="6"/>
  <c r="D999" i="6"/>
  <c r="E999" i="6"/>
  <c r="F999" i="6"/>
  <c r="G999" i="6"/>
  <c r="B1000" i="6"/>
  <c r="C1000" i="6"/>
  <c r="D1000" i="6"/>
  <c r="E1000" i="6"/>
  <c r="F1000" i="6"/>
  <c r="G1000" i="6"/>
  <c r="B1001" i="6"/>
  <c r="C1001" i="6"/>
  <c r="D1001" i="6"/>
  <c r="E1001" i="6"/>
  <c r="F1001" i="6"/>
  <c r="G1001" i="6"/>
  <c r="B1002" i="6"/>
  <c r="C1002" i="6"/>
  <c r="D1002" i="6"/>
  <c r="E1002" i="6"/>
  <c r="F1002" i="6"/>
  <c r="G1002" i="6"/>
  <c r="B1003" i="6"/>
  <c r="C1003" i="6"/>
  <c r="D1003" i="6"/>
  <c r="E1003" i="6"/>
  <c r="F1003" i="6"/>
  <c r="G1003" i="6"/>
  <c r="B1004" i="6"/>
  <c r="C1004" i="6"/>
  <c r="D1004" i="6"/>
  <c r="E1004" i="6"/>
  <c r="F1004" i="6"/>
  <c r="G1004" i="6"/>
  <c r="B1005" i="6"/>
  <c r="C1005" i="6"/>
  <c r="D1005" i="6"/>
  <c r="E1005" i="6"/>
  <c r="F1005" i="6"/>
  <c r="G1005" i="6"/>
  <c r="B1006" i="6"/>
  <c r="C1006" i="6"/>
  <c r="D1006" i="6"/>
  <c r="E1006" i="6"/>
  <c r="F1006" i="6"/>
  <c r="G1006" i="6"/>
  <c r="B1007" i="6"/>
  <c r="C1007" i="6"/>
  <c r="D1007" i="6"/>
  <c r="E1007" i="6"/>
  <c r="F1007" i="6"/>
  <c r="G1007" i="6"/>
  <c r="B1008" i="6"/>
  <c r="C1008" i="6"/>
  <c r="D1008" i="6"/>
  <c r="E1008" i="6"/>
  <c r="F1008" i="6"/>
  <c r="G1008" i="6"/>
  <c r="B1009" i="6"/>
  <c r="C1009" i="6"/>
  <c r="D1009" i="6"/>
  <c r="E1009" i="6"/>
  <c r="F1009" i="6"/>
  <c r="G1009" i="6"/>
  <c r="B1010" i="6"/>
  <c r="C1010" i="6"/>
  <c r="D1010" i="6"/>
  <c r="E1010" i="6"/>
  <c r="F1010" i="6"/>
  <c r="G1010" i="6"/>
  <c r="B1011" i="6"/>
  <c r="C1011" i="6"/>
  <c r="D1011" i="6"/>
  <c r="E1011" i="6"/>
  <c r="F1011" i="6"/>
  <c r="G1011" i="6"/>
  <c r="B1012" i="6"/>
  <c r="C1012" i="6"/>
  <c r="D1012" i="6"/>
  <c r="E1012" i="6"/>
  <c r="F1012" i="6"/>
  <c r="G1012" i="6"/>
  <c r="B1013" i="6"/>
  <c r="C1013" i="6"/>
  <c r="D1013" i="6"/>
  <c r="E1013" i="6"/>
  <c r="F1013" i="6"/>
  <c r="G1013" i="6"/>
  <c r="B1014" i="6"/>
  <c r="C1014" i="6"/>
  <c r="D1014" i="6"/>
  <c r="E1014" i="6"/>
  <c r="F1014" i="6"/>
  <c r="G1014" i="6"/>
  <c r="B1015" i="6"/>
  <c r="C1015" i="6"/>
  <c r="D1015" i="6"/>
  <c r="E1015" i="6"/>
  <c r="F1015" i="6"/>
  <c r="G1015" i="6"/>
  <c r="B1016" i="6"/>
  <c r="C1016" i="6"/>
  <c r="D1016" i="6"/>
  <c r="E1016" i="6"/>
  <c r="F1016" i="6"/>
  <c r="G1016" i="6"/>
  <c r="B1017" i="6"/>
  <c r="C1017" i="6"/>
  <c r="D1017" i="6"/>
  <c r="E1017" i="6"/>
  <c r="F1017" i="6"/>
  <c r="G1017" i="6"/>
  <c r="B1018" i="6"/>
  <c r="C1018" i="6"/>
  <c r="D1018" i="6"/>
  <c r="E1018" i="6"/>
  <c r="F1018" i="6"/>
  <c r="G1018" i="6"/>
  <c r="B1019" i="6"/>
  <c r="C1019" i="6"/>
  <c r="D1019" i="6"/>
  <c r="E1019" i="6"/>
  <c r="F1019" i="6"/>
  <c r="G1019" i="6"/>
  <c r="B1020" i="6"/>
  <c r="C1020" i="6"/>
  <c r="D1020" i="6"/>
  <c r="E1020" i="6"/>
  <c r="F1020" i="6"/>
  <c r="G1020" i="6"/>
  <c r="B1021" i="6"/>
  <c r="C1021" i="6"/>
  <c r="D1021" i="6"/>
  <c r="E1021" i="6"/>
  <c r="F1021" i="6"/>
  <c r="G1021" i="6"/>
  <c r="B1022" i="6"/>
  <c r="C1022" i="6"/>
  <c r="D1022" i="6"/>
  <c r="E1022" i="6"/>
  <c r="F1022" i="6"/>
  <c r="G1022" i="6"/>
  <c r="B1023" i="6"/>
  <c r="C1023" i="6"/>
  <c r="D1023" i="6"/>
  <c r="E1023" i="6"/>
  <c r="F1023" i="6"/>
  <c r="G1023" i="6"/>
  <c r="B1024" i="6"/>
  <c r="C1024" i="6"/>
  <c r="D1024" i="6"/>
  <c r="E1024" i="6"/>
  <c r="F1024" i="6"/>
  <c r="G1024" i="6"/>
  <c r="B1025" i="6"/>
  <c r="C1025" i="6"/>
  <c r="D1025" i="6"/>
  <c r="E1025" i="6"/>
  <c r="F1025" i="6"/>
  <c r="G1025" i="6"/>
  <c r="B1026" i="6"/>
  <c r="C1026" i="6"/>
  <c r="D1026" i="6"/>
  <c r="E1026" i="6"/>
  <c r="F1026" i="6"/>
  <c r="G1026" i="6"/>
  <c r="B1027" i="6"/>
  <c r="C1027" i="6"/>
  <c r="D1027" i="6"/>
  <c r="E1027" i="6"/>
  <c r="F1027" i="6"/>
  <c r="G1027" i="6"/>
  <c r="B1028" i="6"/>
  <c r="C1028" i="6"/>
  <c r="D1028" i="6"/>
  <c r="E1028" i="6"/>
  <c r="F1028" i="6"/>
  <c r="G1028" i="6"/>
  <c r="B1029" i="6"/>
  <c r="C1029" i="6"/>
  <c r="D1029" i="6"/>
  <c r="E1029" i="6"/>
  <c r="F1029" i="6"/>
  <c r="G1029" i="6"/>
  <c r="B1030" i="6"/>
  <c r="C1030" i="6"/>
  <c r="D1030" i="6"/>
  <c r="E1030" i="6"/>
  <c r="F1030" i="6"/>
  <c r="G1030" i="6"/>
  <c r="B1031" i="6"/>
  <c r="C1031" i="6"/>
  <c r="D1031" i="6"/>
  <c r="E1031" i="6"/>
  <c r="F1031" i="6"/>
  <c r="G1031" i="6"/>
  <c r="B1032" i="6"/>
  <c r="C1032" i="6"/>
  <c r="D1032" i="6"/>
  <c r="E1032" i="6"/>
  <c r="F1032" i="6"/>
  <c r="G1032" i="6"/>
  <c r="B1033" i="6"/>
  <c r="C1033" i="6"/>
  <c r="D1033" i="6"/>
  <c r="E1033" i="6"/>
  <c r="F1033" i="6"/>
  <c r="G1033" i="6"/>
  <c r="B1034" i="6"/>
  <c r="C1034" i="6"/>
  <c r="D1034" i="6"/>
  <c r="E1034" i="6"/>
  <c r="F1034" i="6"/>
  <c r="G1034" i="6"/>
  <c r="B1035" i="6"/>
  <c r="C1035" i="6"/>
  <c r="D1035" i="6"/>
  <c r="E1035" i="6"/>
  <c r="F1035" i="6"/>
  <c r="G1035" i="6"/>
  <c r="B1036" i="6"/>
  <c r="C1036" i="6"/>
  <c r="D1036" i="6"/>
  <c r="E1036" i="6"/>
  <c r="F1036" i="6"/>
  <c r="G1036" i="6"/>
  <c r="B1037" i="6"/>
  <c r="C1037" i="6"/>
  <c r="D1037" i="6"/>
  <c r="E1037" i="6"/>
  <c r="F1037" i="6"/>
  <c r="G1037" i="6"/>
  <c r="B1038" i="6"/>
  <c r="C1038" i="6"/>
  <c r="D1038" i="6"/>
  <c r="E1038" i="6"/>
  <c r="F1038" i="6"/>
  <c r="G1038" i="6"/>
  <c r="B1039" i="6"/>
  <c r="C1039" i="6"/>
  <c r="D1039" i="6"/>
  <c r="E1039" i="6"/>
  <c r="F1039" i="6"/>
  <c r="G1039" i="6"/>
  <c r="B1040" i="6"/>
  <c r="C1040" i="6"/>
  <c r="D1040" i="6"/>
  <c r="E1040" i="6"/>
  <c r="F1040" i="6"/>
  <c r="G1040" i="6"/>
  <c r="B1041" i="6"/>
  <c r="C1041" i="6"/>
  <c r="D1041" i="6"/>
  <c r="E1041" i="6"/>
  <c r="F1041" i="6"/>
  <c r="G1041" i="6"/>
  <c r="B1042" i="6"/>
  <c r="C1042" i="6"/>
  <c r="D1042" i="6"/>
  <c r="E1042" i="6"/>
  <c r="F1042" i="6"/>
  <c r="G1042" i="6"/>
  <c r="B1043" i="6"/>
  <c r="C1043" i="6"/>
  <c r="D1043" i="6"/>
  <c r="E1043" i="6"/>
  <c r="F1043" i="6"/>
  <c r="G1043" i="6"/>
  <c r="B1044" i="6"/>
  <c r="C1044" i="6"/>
  <c r="D1044" i="6"/>
  <c r="E1044" i="6"/>
  <c r="F1044" i="6"/>
  <c r="G1044" i="6"/>
  <c r="B1045" i="6"/>
  <c r="C1045" i="6"/>
  <c r="D1045" i="6"/>
  <c r="E1045" i="6"/>
  <c r="F1045" i="6"/>
  <c r="G1045" i="6"/>
  <c r="B1046" i="6"/>
  <c r="C1046" i="6"/>
  <c r="D1046" i="6"/>
  <c r="E1046" i="6"/>
  <c r="F1046" i="6"/>
  <c r="G1046" i="6"/>
  <c r="B1047" i="6"/>
  <c r="C1047" i="6"/>
  <c r="D1047" i="6"/>
  <c r="E1047" i="6"/>
  <c r="F1047" i="6"/>
  <c r="G1047" i="6"/>
  <c r="B1048" i="6"/>
  <c r="C1048" i="6"/>
  <c r="D1048" i="6"/>
  <c r="E1048" i="6"/>
  <c r="F1048" i="6"/>
  <c r="G1048" i="6"/>
  <c r="B1049" i="6"/>
  <c r="C1049" i="6"/>
  <c r="D1049" i="6"/>
  <c r="E1049" i="6"/>
  <c r="F1049" i="6"/>
  <c r="G1049" i="6"/>
  <c r="B1050" i="6"/>
  <c r="C1050" i="6"/>
  <c r="D1050" i="6"/>
  <c r="E1050" i="6"/>
  <c r="F1050" i="6"/>
  <c r="G1050" i="6"/>
  <c r="B1051" i="6"/>
  <c r="C1051" i="6"/>
  <c r="D1051" i="6"/>
  <c r="E1051" i="6"/>
  <c r="F1051" i="6"/>
  <c r="G1051" i="6"/>
  <c r="B1052" i="6"/>
  <c r="C1052" i="6"/>
  <c r="D1052" i="6"/>
  <c r="E1052" i="6"/>
  <c r="F1052" i="6"/>
  <c r="G1052" i="6"/>
  <c r="B1053" i="6"/>
  <c r="C1053" i="6"/>
  <c r="D1053" i="6"/>
  <c r="E1053" i="6"/>
  <c r="F1053" i="6"/>
  <c r="G1053" i="6"/>
  <c r="B1054" i="6"/>
  <c r="C1054" i="6"/>
  <c r="D1054" i="6"/>
  <c r="E1054" i="6"/>
  <c r="F1054" i="6"/>
  <c r="G1054" i="6"/>
  <c r="B1055" i="6"/>
  <c r="C1055" i="6"/>
  <c r="D1055" i="6"/>
  <c r="E1055" i="6"/>
  <c r="F1055" i="6"/>
  <c r="G1055" i="6"/>
  <c r="B1056" i="6"/>
  <c r="C1056" i="6"/>
  <c r="D1056" i="6"/>
  <c r="E1056" i="6"/>
  <c r="F1056" i="6"/>
  <c r="G1056" i="6"/>
  <c r="B1057" i="6"/>
  <c r="C1057" i="6"/>
  <c r="D1057" i="6"/>
  <c r="E1057" i="6"/>
  <c r="F1057" i="6"/>
  <c r="G1057" i="6"/>
  <c r="B1058" i="6"/>
  <c r="C1058" i="6"/>
  <c r="D1058" i="6"/>
  <c r="E1058" i="6"/>
  <c r="F1058" i="6"/>
  <c r="G1058" i="6"/>
  <c r="B1059" i="6"/>
  <c r="C1059" i="6"/>
  <c r="D1059" i="6"/>
  <c r="E1059" i="6"/>
  <c r="F1059" i="6"/>
  <c r="G1059" i="6"/>
  <c r="B1060" i="6"/>
  <c r="C1060" i="6"/>
  <c r="D1060" i="6"/>
  <c r="E1060" i="6"/>
  <c r="F1060" i="6"/>
  <c r="G1060" i="6"/>
  <c r="B1061" i="6"/>
  <c r="C1061" i="6"/>
  <c r="D1061" i="6"/>
  <c r="E1061" i="6"/>
  <c r="F1061" i="6"/>
  <c r="G1061" i="6"/>
  <c r="B1062" i="6"/>
  <c r="C1062" i="6"/>
  <c r="D1062" i="6"/>
  <c r="E1062" i="6"/>
  <c r="F1062" i="6"/>
  <c r="G1062" i="6"/>
  <c r="B1063" i="6"/>
  <c r="C1063" i="6"/>
  <c r="D1063" i="6"/>
  <c r="E1063" i="6"/>
  <c r="F1063" i="6"/>
  <c r="G1063" i="6"/>
  <c r="B1064" i="6"/>
  <c r="C1064" i="6"/>
  <c r="D1064" i="6"/>
  <c r="E1064" i="6"/>
  <c r="F1064" i="6"/>
  <c r="G1064" i="6"/>
  <c r="B1065" i="6"/>
  <c r="C1065" i="6"/>
  <c r="D1065" i="6"/>
  <c r="E1065" i="6"/>
  <c r="F1065" i="6"/>
  <c r="G1065" i="6"/>
  <c r="B1066" i="6"/>
  <c r="C1066" i="6"/>
  <c r="D1066" i="6"/>
  <c r="E1066" i="6"/>
  <c r="F1066" i="6"/>
  <c r="G1066" i="6"/>
  <c r="B1067" i="6"/>
  <c r="C1067" i="6"/>
  <c r="D1067" i="6"/>
  <c r="E1067" i="6"/>
  <c r="F1067" i="6"/>
  <c r="G1067" i="6"/>
  <c r="B1068" i="6"/>
  <c r="C1068" i="6"/>
  <c r="D1068" i="6"/>
  <c r="E1068" i="6"/>
  <c r="F1068" i="6"/>
  <c r="G1068" i="6"/>
  <c r="B1069" i="6"/>
  <c r="C1069" i="6"/>
  <c r="D1069" i="6"/>
  <c r="E1069" i="6"/>
  <c r="F1069" i="6"/>
  <c r="G1069" i="6"/>
  <c r="B1070" i="6"/>
  <c r="C1070" i="6"/>
  <c r="D1070" i="6"/>
  <c r="E1070" i="6"/>
  <c r="F1070" i="6"/>
  <c r="G1070" i="6"/>
  <c r="B1071" i="6"/>
  <c r="C1071" i="6"/>
  <c r="D1071" i="6"/>
  <c r="E1071" i="6"/>
  <c r="F1071" i="6"/>
  <c r="G1071" i="6"/>
  <c r="B1072" i="6"/>
  <c r="C1072" i="6"/>
  <c r="D1072" i="6"/>
  <c r="E1072" i="6"/>
  <c r="F1072" i="6"/>
  <c r="G1072" i="6"/>
  <c r="B1073" i="6"/>
  <c r="C1073" i="6"/>
  <c r="D1073" i="6"/>
  <c r="E1073" i="6"/>
  <c r="F1073" i="6"/>
  <c r="G1073" i="6"/>
  <c r="B1074" i="6"/>
  <c r="C1074" i="6"/>
  <c r="D1074" i="6"/>
  <c r="E1074" i="6"/>
  <c r="F1074" i="6"/>
  <c r="G1074" i="6"/>
  <c r="B1075" i="6"/>
  <c r="C1075" i="6"/>
  <c r="D1075" i="6"/>
  <c r="E1075" i="6"/>
  <c r="F1075" i="6"/>
  <c r="G1075" i="6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B98" i="5"/>
  <c r="C98" i="5"/>
  <c r="D98" i="5"/>
  <c r="E98" i="5"/>
  <c r="F98" i="5"/>
  <c r="G98" i="5"/>
  <c r="H98" i="5"/>
  <c r="I98" i="5"/>
  <c r="J98" i="5"/>
  <c r="B99" i="5"/>
  <c r="C99" i="5"/>
  <c r="D99" i="5"/>
  <c r="E99" i="5"/>
  <c r="F99" i="5"/>
  <c r="G99" i="5"/>
  <c r="H99" i="5"/>
  <c r="I99" i="5"/>
  <c r="J99" i="5"/>
  <c r="B100" i="5"/>
  <c r="C100" i="5"/>
  <c r="D100" i="5"/>
  <c r="E100" i="5"/>
  <c r="F100" i="5"/>
  <c r="G100" i="5"/>
  <c r="H100" i="5"/>
  <c r="I100" i="5"/>
  <c r="J100" i="5"/>
  <c r="B101" i="5"/>
  <c r="C101" i="5"/>
  <c r="D101" i="5"/>
  <c r="E101" i="5"/>
  <c r="F101" i="5"/>
  <c r="G101" i="5"/>
  <c r="H101" i="5"/>
  <c r="I101" i="5"/>
  <c r="J101" i="5"/>
  <c r="B102" i="5"/>
  <c r="C102" i="5"/>
  <c r="D102" i="5"/>
  <c r="E102" i="5"/>
  <c r="F102" i="5"/>
  <c r="G102" i="5"/>
  <c r="H102" i="5"/>
  <c r="I102" i="5"/>
  <c r="J102" i="5"/>
  <c r="B103" i="5"/>
  <c r="C103" i="5"/>
  <c r="D103" i="5"/>
  <c r="E103" i="5"/>
  <c r="F103" i="5"/>
  <c r="G103" i="5"/>
  <c r="H103" i="5"/>
  <c r="I103" i="5"/>
  <c r="J103" i="5"/>
  <c r="B104" i="5"/>
  <c r="C104" i="5"/>
  <c r="D104" i="5"/>
  <c r="E104" i="5"/>
  <c r="F104" i="5"/>
  <c r="G104" i="5"/>
  <c r="H104" i="5"/>
  <c r="I104" i="5"/>
  <c r="J104" i="5"/>
  <c r="B105" i="5"/>
  <c r="C105" i="5"/>
  <c r="D105" i="5"/>
  <c r="E105" i="5"/>
  <c r="F105" i="5"/>
  <c r="G105" i="5"/>
  <c r="H105" i="5"/>
  <c r="I105" i="5"/>
  <c r="J105" i="5"/>
  <c r="B106" i="5"/>
  <c r="C106" i="5"/>
  <c r="D106" i="5"/>
  <c r="E106" i="5"/>
  <c r="F106" i="5"/>
  <c r="G106" i="5"/>
  <c r="H106" i="5"/>
  <c r="I106" i="5"/>
  <c r="J106" i="5"/>
  <c r="B107" i="5"/>
  <c r="C107" i="5"/>
  <c r="D107" i="5"/>
  <c r="E107" i="5"/>
  <c r="F107" i="5"/>
  <c r="G107" i="5"/>
  <c r="H107" i="5"/>
  <c r="I107" i="5"/>
  <c r="J107" i="5"/>
  <c r="B108" i="5"/>
  <c r="C108" i="5"/>
  <c r="D108" i="5"/>
  <c r="E108" i="5"/>
  <c r="F108" i="5"/>
  <c r="G108" i="5"/>
  <c r="H108" i="5"/>
  <c r="I108" i="5"/>
  <c r="J108" i="5"/>
  <c r="B109" i="5"/>
  <c r="C109" i="5"/>
  <c r="D109" i="5"/>
  <c r="E109" i="5"/>
  <c r="F109" i="5"/>
  <c r="G109" i="5"/>
  <c r="H109" i="5"/>
  <c r="I109" i="5"/>
  <c r="J109" i="5"/>
  <c r="B110" i="5"/>
  <c r="C110" i="5"/>
  <c r="D110" i="5"/>
  <c r="E110" i="5"/>
  <c r="F110" i="5"/>
  <c r="G110" i="5"/>
  <c r="H110" i="5"/>
  <c r="I110" i="5"/>
  <c r="J110" i="5"/>
  <c r="B111" i="5"/>
  <c r="C111" i="5"/>
  <c r="D111" i="5"/>
  <c r="E111" i="5"/>
  <c r="F111" i="5"/>
  <c r="G111" i="5"/>
  <c r="H111" i="5"/>
  <c r="I111" i="5"/>
  <c r="J111" i="5"/>
  <c r="B112" i="5"/>
  <c r="C112" i="5"/>
  <c r="D112" i="5"/>
  <c r="E112" i="5"/>
  <c r="F112" i="5"/>
  <c r="G112" i="5"/>
  <c r="H112" i="5"/>
  <c r="I112" i="5"/>
  <c r="J112" i="5"/>
  <c r="B113" i="5"/>
  <c r="C113" i="5"/>
  <c r="D113" i="5"/>
  <c r="E113" i="5"/>
  <c r="F113" i="5"/>
  <c r="G113" i="5"/>
  <c r="H113" i="5"/>
  <c r="I113" i="5"/>
  <c r="J113" i="5"/>
  <c r="B114" i="5"/>
  <c r="C114" i="5"/>
  <c r="D114" i="5"/>
  <c r="E114" i="5"/>
  <c r="F114" i="5"/>
  <c r="G114" i="5"/>
  <c r="H114" i="5"/>
  <c r="I114" i="5"/>
  <c r="J114" i="5"/>
  <c r="B115" i="5"/>
  <c r="C115" i="5"/>
  <c r="D115" i="5"/>
  <c r="E115" i="5"/>
  <c r="F115" i="5"/>
  <c r="G115" i="5"/>
  <c r="H115" i="5"/>
  <c r="I115" i="5"/>
  <c r="J115" i="5"/>
  <c r="B116" i="5"/>
  <c r="C116" i="5"/>
  <c r="D116" i="5"/>
  <c r="E116" i="5"/>
  <c r="F116" i="5"/>
  <c r="G116" i="5"/>
  <c r="H116" i="5"/>
  <c r="I116" i="5"/>
  <c r="J116" i="5"/>
  <c r="B117" i="5"/>
  <c r="C117" i="5"/>
  <c r="D117" i="5"/>
  <c r="E117" i="5"/>
  <c r="F117" i="5"/>
  <c r="G117" i="5"/>
  <c r="H117" i="5"/>
  <c r="I117" i="5"/>
  <c r="J117" i="5"/>
  <c r="B118" i="5"/>
  <c r="C118" i="5"/>
  <c r="D118" i="5"/>
  <c r="E118" i="5"/>
  <c r="F118" i="5"/>
  <c r="G118" i="5"/>
  <c r="H118" i="5"/>
  <c r="I118" i="5"/>
  <c r="J118" i="5"/>
  <c r="B119" i="5"/>
  <c r="C119" i="5"/>
  <c r="D119" i="5"/>
  <c r="E119" i="5"/>
  <c r="F119" i="5"/>
  <c r="G119" i="5"/>
  <c r="H119" i="5"/>
  <c r="I119" i="5"/>
  <c r="J119" i="5"/>
  <c r="B120" i="5"/>
  <c r="C120" i="5"/>
  <c r="D120" i="5"/>
  <c r="E120" i="5"/>
  <c r="F120" i="5"/>
  <c r="G120" i="5"/>
  <c r="H120" i="5"/>
  <c r="I120" i="5"/>
  <c r="J120" i="5"/>
  <c r="B121" i="5"/>
  <c r="C121" i="5"/>
  <c r="D121" i="5"/>
  <c r="E121" i="5"/>
  <c r="F121" i="5"/>
  <c r="G121" i="5"/>
  <c r="H121" i="5"/>
  <c r="I121" i="5"/>
  <c r="J121" i="5"/>
  <c r="B122" i="5"/>
  <c r="C122" i="5"/>
  <c r="D122" i="5"/>
  <c r="E122" i="5"/>
  <c r="F122" i="5"/>
  <c r="G122" i="5"/>
  <c r="H122" i="5"/>
  <c r="I122" i="5"/>
  <c r="J122" i="5"/>
  <c r="B123" i="5"/>
  <c r="C123" i="5"/>
  <c r="D123" i="5"/>
  <c r="E123" i="5"/>
  <c r="F123" i="5"/>
  <c r="G123" i="5"/>
  <c r="H123" i="5"/>
  <c r="I123" i="5"/>
  <c r="J123" i="5"/>
  <c r="B124" i="5"/>
  <c r="C124" i="5"/>
  <c r="D124" i="5"/>
  <c r="E124" i="5"/>
  <c r="F124" i="5"/>
  <c r="G124" i="5"/>
  <c r="H124" i="5"/>
  <c r="I124" i="5"/>
  <c r="J124" i="5"/>
  <c r="B125" i="5"/>
  <c r="C125" i="5"/>
  <c r="D125" i="5"/>
  <c r="E125" i="5"/>
  <c r="F125" i="5"/>
  <c r="G125" i="5"/>
  <c r="H125" i="5"/>
  <c r="I125" i="5"/>
  <c r="J125" i="5"/>
  <c r="B126" i="5"/>
  <c r="C126" i="5"/>
  <c r="D126" i="5"/>
  <c r="E126" i="5"/>
  <c r="F126" i="5"/>
  <c r="G126" i="5"/>
  <c r="H126" i="5"/>
  <c r="I126" i="5"/>
  <c r="J126" i="5"/>
  <c r="B127" i="5"/>
  <c r="C127" i="5"/>
  <c r="D127" i="5"/>
  <c r="E127" i="5"/>
  <c r="F127" i="5"/>
  <c r="G127" i="5"/>
  <c r="H127" i="5"/>
  <c r="I127" i="5"/>
  <c r="J127" i="5"/>
  <c r="B128" i="5"/>
  <c r="C128" i="5"/>
  <c r="D128" i="5"/>
  <c r="E128" i="5"/>
  <c r="F128" i="5"/>
  <c r="G128" i="5"/>
  <c r="H128" i="5"/>
  <c r="I128" i="5"/>
  <c r="J128" i="5"/>
  <c r="B129" i="5"/>
  <c r="C129" i="5"/>
  <c r="D129" i="5"/>
  <c r="E129" i="5"/>
  <c r="F129" i="5"/>
  <c r="G129" i="5"/>
  <c r="H129" i="5"/>
  <c r="I129" i="5"/>
  <c r="J129" i="5"/>
  <c r="B130" i="5"/>
  <c r="C130" i="5"/>
  <c r="D130" i="5"/>
  <c r="E130" i="5"/>
  <c r="F130" i="5"/>
  <c r="G130" i="5"/>
  <c r="H130" i="5"/>
  <c r="I130" i="5"/>
  <c r="J130" i="5"/>
  <c r="B131" i="5"/>
  <c r="C131" i="5"/>
  <c r="D131" i="5"/>
  <c r="E131" i="5"/>
  <c r="F131" i="5"/>
  <c r="G131" i="5"/>
  <c r="H131" i="5"/>
  <c r="I131" i="5"/>
  <c r="J131" i="5"/>
  <c r="B132" i="5"/>
  <c r="C132" i="5"/>
  <c r="D132" i="5"/>
  <c r="E132" i="5"/>
  <c r="F132" i="5"/>
  <c r="G132" i="5"/>
  <c r="H132" i="5"/>
  <c r="I132" i="5"/>
  <c r="J132" i="5"/>
  <c r="B133" i="5"/>
  <c r="C133" i="5"/>
  <c r="D133" i="5"/>
  <c r="E133" i="5"/>
  <c r="F133" i="5"/>
  <c r="G133" i="5"/>
  <c r="H133" i="5"/>
  <c r="I133" i="5"/>
  <c r="J133" i="5"/>
  <c r="B134" i="5"/>
  <c r="C134" i="5"/>
  <c r="D134" i="5"/>
  <c r="E134" i="5"/>
  <c r="F134" i="5"/>
  <c r="G134" i="5"/>
  <c r="H134" i="5"/>
  <c r="I134" i="5"/>
  <c r="J134" i="5"/>
  <c r="B135" i="5"/>
  <c r="C135" i="5"/>
  <c r="D135" i="5"/>
  <c r="E135" i="5"/>
  <c r="F135" i="5"/>
  <c r="G135" i="5"/>
  <c r="H135" i="5"/>
  <c r="I135" i="5"/>
  <c r="J135" i="5"/>
  <c r="B136" i="5"/>
  <c r="C136" i="5"/>
  <c r="D136" i="5"/>
  <c r="E136" i="5"/>
  <c r="F136" i="5"/>
  <c r="G136" i="5"/>
  <c r="H136" i="5"/>
  <c r="I136" i="5"/>
  <c r="J136" i="5"/>
  <c r="B137" i="5"/>
  <c r="C137" i="5"/>
  <c r="D137" i="5"/>
  <c r="E137" i="5"/>
  <c r="F137" i="5"/>
  <c r="G137" i="5"/>
  <c r="H137" i="5"/>
  <c r="I137" i="5"/>
  <c r="J137" i="5"/>
  <c r="B138" i="5"/>
  <c r="C138" i="5"/>
  <c r="D138" i="5"/>
  <c r="E138" i="5"/>
  <c r="F138" i="5"/>
  <c r="G138" i="5"/>
  <c r="H138" i="5"/>
  <c r="I138" i="5"/>
  <c r="J138" i="5"/>
  <c r="B139" i="5"/>
  <c r="C139" i="5"/>
  <c r="D139" i="5"/>
  <c r="E139" i="5"/>
  <c r="F139" i="5"/>
  <c r="G139" i="5"/>
  <c r="H139" i="5"/>
  <c r="I139" i="5"/>
  <c r="J139" i="5"/>
  <c r="B140" i="5"/>
  <c r="C140" i="5"/>
  <c r="D140" i="5"/>
  <c r="E140" i="5"/>
  <c r="F140" i="5"/>
  <c r="G140" i="5"/>
  <c r="H140" i="5"/>
  <c r="I140" i="5"/>
  <c r="J140" i="5"/>
  <c r="B141" i="5"/>
  <c r="C141" i="5"/>
  <c r="D141" i="5"/>
  <c r="E141" i="5"/>
  <c r="F141" i="5"/>
  <c r="G141" i="5"/>
  <c r="H141" i="5"/>
  <c r="I141" i="5"/>
  <c r="J141" i="5"/>
  <c r="B142" i="5"/>
  <c r="C142" i="5"/>
  <c r="D142" i="5"/>
  <c r="E142" i="5"/>
  <c r="F142" i="5"/>
  <c r="G142" i="5"/>
  <c r="H142" i="5"/>
  <c r="I142" i="5"/>
  <c r="J142" i="5"/>
  <c r="B143" i="5"/>
  <c r="C143" i="5"/>
  <c r="D143" i="5"/>
  <c r="E143" i="5"/>
  <c r="F143" i="5"/>
  <c r="G143" i="5"/>
  <c r="H143" i="5"/>
  <c r="I143" i="5"/>
  <c r="J143" i="5"/>
  <c r="B144" i="5"/>
  <c r="C144" i="5"/>
  <c r="D144" i="5"/>
  <c r="E144" i="5"/>
  <c r="F144" i="5"/>
  <c r="G144" i="5"/>
  <c r="H144" i="5"/>
  <c r="I144" i="5"/>
  <c r="J144" i="5"/>
  <c r="B145" i="5"/>
  <c r="C145" i="5"/>
  <c r="D145" i="5"/>
  <c r="E145" i="5"/>
  <c r="F145" i="5"/>
  <c r="G145" i="5"/>
  <c r="H145" i="5"/>
  <c r="I145" i="5"/>
  <c r="J145" i="5"/>
  <c r="B146" i="5"/>
  <c r="C146" i="5"/>
  <c r="D146" i="5"/>
  <c r="E146" i="5"/>
  <c r="F146" i="5"/>
  <c r="G146" i="5"/>
  <c r="H146" i="5"/>
  <c r="I146" i="5"/>
  <c r="J146" i="5"/>
  <c r="B147" i="5"/>
  <c r="C147" i="5"/>
  <c r="D147" i="5"/>
  <c r="E147" i="5"/>
  <c r="F147" i="5"/>
  <c r="G147" i="5"/>
  <c r="H147" i="5"/>
  <c r="I147" i="5"/>
  <c r="J147" i="5"/>
  <c r="B148" i="5"/>
  <c r="C148" i="5"/>
  <c r="D148" i="5"/>
  <c r="E148" i="5"/>
  <c r="F148" i="5"/>
  <c r="G148" i="5"/>
  <c r="H148" i="5"/>
  <c r="I148" i="5"/>
  <c r="J148" i="5"/>
  <c r="B149" i="5"/>
  <c r="C149" i="5"/>
  <c r="D149" i="5"/>
  <c r="E149" i="5"/>
  <c r="F149" i="5"/>
  <c r="G149" i="5"/>
  <c r="H149" i="5"/>
  <c r="I149" i="5"/>
  <c r="J149" i="5"/>
  <c r="B150" i="5"/>
  <c r="C150" i="5"/>
  <c r="D150" i="5"/>
  <c r="E150" i="5"/>
  <c r="F150" i="5"/>
  <c r="G150" i="5"/>
  <c r="H150" i="5"/>
  <c r="I150" i="5"/>
  <c r="J150" i="5"/>
  <c r="B151" i="5"/>
  <c r="C151" i="5"/>
  <c r="D151" i="5"/>
  <c r="E151" i="5"/>
  <c r="F151" i="5"/>
  <c r="G151" i="5"/>
  <c r="H151" i="5"/>
  <c r="I151" i="5"/>
  <c r="J151" i="5"/>
  <c r="B152" i="5"/>
  <c r="C152" i="5"/>
  <c r="D152" i="5"/>
  <c r="E152" i="5"/>
  <c r="F152" i="5"/>
  <c r="G152" i="5"/>
  <c r="H152" i="5"/>
  <c r="I152" i="5"/>
  <c r="J152" i="5"/>
  <c r="B153" i="5"/>
  <c r="C153" i="5"/>
  <c r="D153" i="5"/>
  <c r="E153" i="5"/>
  <c r="F153" i="5"/>
  <c r="G153" i="5"/>
  <c r="H153" i="5"/>
  <c r="I153" i="5"/>
  <c r="J153" i="5"/>
  <c r="B154" i="5"/>
  <c r="C154" i="5"/>
  <c r="D154" i="5"/>
  <c r="E154" i="5"/>
  <c r="F154" i="5"/>
  <c r="G154" i="5"/>
  <c r="H154" i="5"/>
  <c r="I154" i="5"/>
  <c r="J154" i="5"/>
  <c r="B155" i="5"/>
  <c r="C155" i="5"/>
  <c r="D155" i="5"/>
  <c r="E155" i="5"/>
  <c r="F155" i="5"/>
  <c r="G155" i="5"/>
  <c r="H155" i="5"/>
  <c r="I155" i="5"/>
  <c r="J155" i="5"/>
  <c r="B156" i="5"/>
  <c r="C156" i="5"/>
  <c r="D156" i="5"/>
  <c r="E156" i="5"/>
  <c r="F156" i="5"/>
  <c r="G156" i="5"/>
  <c r="H156" i="5"/>
  <c r="I156" i="5"/>
  <c r="J156" i="5"/>
  <c r="B157" i="5"/>
  <c r="C157" i="5"/>
  <c r="D157" i="5"/>
  <c r="E157" i="5"/>
  <c r="F157" i="5"/>
  <c r="G157" i="5"/>
  <c r="H157" i="5"/>
  <c r="I157" i="5"/>
  <c r="J157" i="5"/>
  <c r="B158" i="5"/>
  <c r="C158" i="5"/>
  <c r="D158" i="5"/>
  <c r="E158" i="5"/>
  <c r="F158" i="5"/>
  <c r="G158" i="5"/>
  <c r="H158" i="5"/>
  <c r="I158" i="5"/>
  <c r="J158" i="5"/>
  <c r="B159" i="5"/>
  <c r="C159" i="5"/>
  <c r="D159" i="5"/>
  <c r="E159" i="5"/>
  <c r="F159" i="5"/>
  <c r="G159" i="5"/>
  <c r="H159" i="5"/>
  <c r="I159" i="5"/>
  <c r="J159" i="5"/>
  <c r="B160" i="5"/>
  <c r="C160" i="5"/>
  <c r="D160" i="5"/>
  <c r="E160" i="5"/>
  <c r="F160" i="5"/>
  <c r="G160" i="5"/>
  <c r="H160" i="5"/>
  <c r="I160" i="5"/>
  <c r="J160" i="5"/>
  <c r="B161" i="5"/>
  <c r="C161" i="5"/>
  <c r="D161" i="5"/>
  <c r="E161" i="5"/>
  <c r="F161" i="5"/>
  <c r="G161" i="5"/>
  <c r="H161" i="5"/>
  <c r="I161" i="5"/>
  <c r="J161" i="5"/>
  <c r="B162" i="5"/>
  <c r="C162" i="5"/>
  <c r="D162" i="5"/>
  <c r="E162" i="5"/>
  <c r="F162" i="5"/>
  <c r="G162" i="5"/>
  <c r="H162" i="5"/>
  <c r="I162" i="5"/>
  <c r="J162" i="5"/>
  <c r="B163" i="5"/>
  <c r="C163" i="5"/>
  <c r="D163" i="5"/>
  <c r="E163" i="5"/>
  <c r="F163" i="5"/>
  <c r="G163" i="5"/>
  <c r="H163" i="5"/>
  <c r="I163" i="5"/>
  <c r="J163" i="5"/>
  <c r="B164" i="5"/>
  <c r="C164" i="5"/>
  <c r="D164" i="5"/>
  <c r="E164" i="5"/>
  <c r="F164" i="5"/>
  <c r="G164" i="5"/>
  <c r="H164" i="5"/>
  <c r="I164" i="5"/>
  <c r="J164" i="5"/>
  <c r="B165" i="5"/>
  <c r="C165" i="5"/>
  <c r="D165" i="5"/>
  <c r="E165" i="5"/>
  <c r="F165" i="5"/>
  <c r="G165" i="5"/>
  <c r="H165" i="5"/>
  <c r="I165" i="5"/>
  <c r="J165" i="5"/>
  <c r="B166" i="5"/>
  <c r="C166" i="5"/>
  <c r="D166" i="5"/>
  <c r="E166" i="5"/>
  <c r="F166" i="5"/>
  <c r="G166" i="5"/>
  <c r="H166" i="5"/>
  <c r="I166" i="5"/>
  <c r="J166" i="5"/>
  <c r="B167" i="5"/>
  <c r="C167" i="5"/>
  <c r="D167" i="5"/>
  <c r="E167" i="5"/>
  <c r="F167" i="5"/>
  <c r="G167" i="5"/>
  <c r="H167" i="5"/>
  <c r="I167" i="5"/>
  <c r="J167" i="5"/>
  <c r="B168" i="5"/>
  <c r="C168" i="5"/>
  <c r="D168" i="5"/>
  <c r="E168" i="5"/>
  <c r="F168" i="5"/>
  <c r="G168" i="5"/>
  <c r="H168" i="5"/>
  <c r="I168" i="5"/>
  <c r="J168" i="5"/>
  <c r="B169" i="5"/>
  <c r="C169" i="5"/>
  <c r="D169" i="5"/>
  <c r="E169" i="5"/>
  <c r="F169" i="5"/>
  <c r="G169" i="5"/>
  <c r="H169" i="5"/>
  <c r="I169" i="5"/>
  <c r="J169" i="5"/>
  <c r="B170" i="5"/>
  <c r="C170" i="5"/>
  <c r="D170" i="5"/>
  <c r="E170" i="5"/>
  <c r="F170" i="5"/>
  <c r="G170" i="5"/>
  <c r="H170" i="5"/>
  <c r="I170" i="5"/>
  <c r="J170" i="5"/>
  <c r="B171" i="5"/>
  <c r="C171" i="5"/>
  <c r="D171" i="5"/>
  <c r="E171" i="5"/>
  <c r="F171" i="5"/>
  <c r="G171" i="5"/>
  <c r="H171" i="5"/>
  <c r="I171" i="5"/>
  <c r="J171" i="5"/>
  <c r="B172" i="5"/>
  <c r="C172" i="5"/>
  <c r="D172" i="5"/>
  <c r="E172" i="5"/>
  <c r="F172" i="5"/>
  <c r="G172" i="5"/>
  <c r="H172" i="5"/>
  <c r="I172" i="5"/>
  <c r="J172" i="5"/>
  <c r="B173" i="5"/>
  <c r="C173" i="5"/>
  <c r="D173" i="5"/>
  <c r="E173" i="5"/>
  <c r="F173" i="5"/>
  <c r="G173" i="5"/>
  <c r="H173" i="5"/>
  <c r="I173" i="5"/>
  <c r="J173" i="5"/>
  <c r="B174" i="5"/>
  <c r="C174" i="5"/>
  <c r="D174" i="5"/>
  <c r="E174" i="5"/>
  <c r="F174" i="5"/>
  <c r="G174" i="5"/>
  <c r="H174" i="5"/>
  <c r="I174" i="5"/>
  <c r="J174" i="5"/>
  <c r="B175" i="5"/>
  <c r="C175" i="5"/>
  <c r="D175" i="5"/>
  <c r="E175" i="5"/>
  <c r="F175" i="5"/>
  <c r="G175" i="5"/>
  <c r="H175" i="5"/>
  <c r="I175" i="5"/>
  <c r="J175" i="5"/>
  <c r="B176" i="5"/>
  <c r="C176" i="5"/>
  <c r="D176" i="5"/>
  <c r="E176" i="5"/>
  <c r="F176" i="5"/>
  <c r="G176" i="5"/>
  <c r="H176" i="5"/>
  <c r="I176" i="5"/>
  <c r="J176" i="5"/>
  <c r="B177" i="5"/>
  <c r="C177" i="5"/>
  <c r="D177" i="5"/>
  <c r="E177" i="5"/>
  <c r="F177" i="5"/>
  <c r="G177" i="5"/>
  <c r="H177" i="5"/>
  <c r="I177" i="5"/>
  <c r="J177" i="5"/>
  <c r="B178" i="5"/>
  <c r="C178" i="5"/>
  <c r="D178" i="5"/>
  <c r="E178" i="5"/>
  <c r="F178" i="5"/>
  <c r="G178" i="5"/>
  <c r="H178" i="5"/>
  <c r="I178" i="5"/>
  <c r="J178" i="5"/>
  <c r="B179" i="5"/>
  <c r="C179" i="5"/>
  <c r="D179" i="5"/>
  <c r="E179" i="5"/>
  <c r="F179" i="5"/>
  <c r="G179" i="5"/>
  <c r="H179" i="5"/>
  <c r="I179" i="5"/>
  <c r="J179" i="5"/>
  <c r="B180" i="5"/>
  <c r="C180" i="5"/>
  <c r="D180" i="5"/>
  <c r="E180" i="5"/>
  <c r="F180" i="5"/>
  <c r="G180" i="5"/>
  <c r="H180" i="5"/>
  <c r="I180" i="5"/>
  <c r="J180" i="5"/>
  <c r="B181" i="5"/>
  <c r="C181" i="5"/>
  <c r="D181" i="5"/>
  <c r="E181" i="5"/>
  <c r="F181" i="5"/>
  <c r="G181" i="5"/>
  <c r="H181" i="5"/>
  <c r="I181" i="5"/>
  <c r="J181" i="5"/>
  <c r="B182" i="5"/>
  <c r="C182" i="5"/>
  <c r="D182" i="5"/>
  <c r="E182" i="5"/>
  <c r="F182" i="5"/>
  <c r="G182" i="5"/>
  <c r="H182" i="5"/>
  <c r="I182" i="5"/>
  <c r="J182" i="5"/>
  <c r="B183" i="5"/>
  <c r="C183" i="5"/>
  <c r="D183" i="5"/>
  <c r="E183" i="5"/>
  <c r="F183" i="5"/>
  <c r="G183" i="5"/>
  <c r="H183" i="5"/>
  <c r="I183" i="5"/>
  <c r="J183" i="5"/>
  <c r="B184" i="5"/>
  <c r="C184" i="5"/>
  <c r="D184" i="5"/>
  <c r="E184" i="5"/>
  <c r="F184" i="5"/>
  <c r="G184" i="5"/>
  <c r="H184" i="5"/>
  <c r="I184" i="5"/>
  <c r="J184" i="5"/>
  <c r="B185" i="5"/>
  <c r="C185" i="5"/>
  <c r="D185" i="5"/>
  <c r="E185" i="5"/>
  <c r="F185" i="5"/>
  <c r="G185" i="5"/>
  <c r="H185" i="5"/>
  <c r="I185" i="5"/>
  <c r="J185" i="5"/>
  <c r="B186" i="5"/>
  <c r="C186" i="5"/>
  <c r="D186" i="5"/>
  <c r="E186" i="5"/>
  <c r="F186" i="5"/>
  <c r="G186" i="5"/>
  <c r="H186" i="5"/>
  <c r="I186" i="5"/>
  <c r="J186" i="5"/>
  <c r="B187" i="5"/>
  <c r="C187" i="5"/>
  <c r="D187" i="5"/>
  <c r="E187" i="5"/>
  <c r="F187" i="5"/>
  <c r="G187" i="5"/>
  <c r="H187" i="5"/>
  <c r="I187" i="5"/>
  <c r="J187" i="5"/>
  <c r="B188" i="5"/>
  <c r="C188" i="5"/>
  <c r="D188" i="5"/>
  <c r="E188" i="5"/>
  <c r="F188" i="5"/>
  <c r="G188" i="5"/>
  <c r="H188" i="5"/>
  <c r="I188" i="5"/>
  <c r="J188" i="5"/>
  <c r="B189" i="5"/>
  <c r="C189" i="5"/>
  <c r="D189" i="5"/>
  <c r="E189" i="5"/>
  <c r="F189" i="5"/>
  <c r="G189" i="5"/>
  <c r="H189" i="5"/>
  <c r="I189" i="5"/>
  <c r="J189" i="5"/>
  <c r="B190" i="5"/>
  <c r="C190" i="5"/>
  <c r="D190" i="5"/>
  <c r="E190" i="5"/>
  <c r="F190" i="5"/>
  <c r="G190" i="5"/>
  <c r="H190" i="5"/>
  <c r="I190" i="5"/>
  <c r="J190" i="5"/>
  <c r="B191" i="5"/>
  <c r="C191" i="5"/>
  <c r="D191" i="5"/>
  <c r="E191" i="5"/>
  <c r="F191" i="5"/>
  <c r="G191" i="5"/>
  <c r="H191" i="5"/>
  <c r="I191" i="5"/>
  <c r="J191" i="5"/>
  <c r="B192" i="5"/>
  <c r="C192" i="5"/>
  <c r="D192" i="5"/>
  <c r="E192" i="5"/>
  <c r="F192" i="5"/>
  <c r="G192" i="5"/>
  <c r="H192" i="5"/>
  <c r="I192" i="5"/>
  <c r="J192" i="5"/>
  <c r="B193" i="5"/>
  <c r="C193" i="5"/>
  <c r="D193" i="5"/>
  <c r="E193" i="5"/>
  <c r="F193" i="5"/>
  <c r="G193" i="5"/>
  <c r="H193" i="5"/>
  <c r="I193" i="5"/>
  <c r="J193" i="5"/>
  <c r="B194" i="5"/>
  <c r="C194" i="5"/>
  <c r="D194" i="5"/>
  <c r="E194" i="5"/>
  <c r="F194" i="5"/>
  <c r="G194" i="5"/>
  <c r="H194" i="5"/>
  <c r="I194" i="5"/>
  <c r="J194" i="5"/>
  <c r="B195" i="5"/>
  <c r="C195" i="5"/>
  <c r="D195" i="5"/>
  <c r="E195" i="5"/>
  <c r="F195" i="5"/>
  <c r="G195" i="5"/>
  <c r="H195" i="5"/>
  <c r="I195" i="5"/>
  <c r="J195" i="5"/>
  <c r="B196" i="5"/>
  <c r="C196" i="5"/>
  <c r="D196" i="5"/>
  <c r="E196" i="5"/>
  <c r="F196" i="5"/>
  <c r="G196" i="5"/>
  <c r="H196" i="5"/>
  <c r="I196" i="5"/>
  <c r="J196" i="5"/>
  <c r="B197" i="5"/>
  <c r="C197" i="5"/>
  <c r="D197" i="5"/>
  <c r="E197" i="5"/>
  <c r="F197" i="5"/>
  <c r="G197" i="5"/>
  <c r="H197" i="5"/>
  <c r="I197" i="5"/>
  <c r="J197" i="5"/>
  <c r="B198" i="5"/>
  <c r="C198" i="5"/>
  <c r="D198" i="5"/>
  <c r="E198" i="5"/>
  <c r="F198" i="5"/>
  <c r="G198" i="5"/>
  <c r="H198" i="5"/>
  <c r="I198" i="5"/>
  <c r="J198" i="5"/>
  <c r="B199" i="5"/>
  <c r="C199" i="5"/>
  <c r="D199" i="5"/>
  <c r="E199" i="5"/>
  <c r="F199" i="5"/>
  <c r="G199" i="5"/>
  <c r="H199" i="5"/>
  <c r="I199" i="5"/>
  <c r="J199" i="5"/>
  <c r="B200" i="5"/>
  <c r="C200" i="5"/>
  <c r="D200" i="5"/>
  <c r="E200" i="5"/>
  <c r="F200" i="5"/>
  <c r="G200" i="5"/>
  <c r="H200" i="5"/>
  <c r="I200" i="5"/>
  <c r="J200" i="5"/>
  <c r="B201" i="5"/>
  <c r="C201" i="5"/>
  <c r="D201" i="5"/>
  <c r="E201" i="5"/>
  <c r="F201" i="5"/>
  <c r="G201" i="5"/>
  <c r="H201" i="5"/>
  <c r="I201" i="5"/>
  <c r="J201" i="5"/>
  <c r="B202" i="5"/>
  <c r="C202" i="5"/>
  <c r="D202" i="5"/>
  <c r="E202" i="5"/>
  <c r="F202" i="5"/>
  <c r="G202" i="5"/>
  <c r="H202" i="5"/>
  <c r="I202" i="5"/>
  <c r="J202" i="5"/>
  <c r="B203" i="5"/>
  <c r="C203" i="5"/>
  <c r="D203" i="5"/>
  <c r="E203" i="5"/>
  <c r="F203" i="5"/>
  <c r="G203" i="5"/>
  <c r="H203" i="5"/>
  <c r="I203" i="5"/>
  <c r="J203" i="5"/>
  <c r="B204" i="5"/>
  <c r="C204" i="5"/>
  <c r="D204" i="5"/>
  <c r="E204" i="5"/>
  <c r="F204" i="5"/>
  <c r="G204" i="5"/>
  <c r="H204" i="5"/>
  <c r="I204" i="5"/>
  <c r="J204" i="5"/>
  <c r="B205" i="5"/>
  <c r="C205" i="5"/>
  <c r="D205" i="5"/>
  <c r="E205" i="5"/>
  <c r="F205" i="5"/>
  <c r="G205" i="5"/>
  <c r="H205" i="5"/>
  <c r="I205" i="5"/>
  <c r="J205" i="5"/>
  <c r="B206" i="5"/>
  <c r="C206" i="5"/>
  <c r="D206" i="5"/>
  <c r="E206" i="5"/>
  <c r="F206" i="5"/>
  <c r="G206" i="5"/>
  <c r="H206" i="5"/>
  <c r="I206" i="5"/>
  <c r="J206" i="5"/>
  <c r="B207" i="5"/>
  <c r="C207" i="5"/>
  <c r="D207" i="5"/>
  <c r="E207" i="5"/>
  <c r="F207" i="5"/>
  <c r="G207" i="5"/>
  <c r="H207" i="5"/>
  <c r="I207" i="5"/>
  <c r="J207" i="5"/>
  <c r="B208" i="5"/>
  <c r="C208" i="5"/>
  <c r="D208" i="5"/>
  <c r="E208" i="5"/>
  <c r="F208" i="5"/>
  <c r="G208" i="5"/>
  <c r="H208" i="5"/>
  <c r="I208" i="5"/>
  <c r="J208" i="5"/>
  <c r="B209" i="5"/>
  <c r="C209" i="5"/>
  <c r="D209" i="5"/>
  <c r="E209" i="5"/>
  <c r="F209" i="5"/>
  <c r="G209" i="5"/>
  <c r="H209" i="5"/>
  <c r="I209" i="5"/>
  <c r="J209" i="5"/>
  <c r="B210" i="5"/>
  <c r="C210" i="5"/>
  <c r="D210" i="5"/>
  <c r="E210" i="5"/>
  <c r="F210" i="5"/>
  <c r="G210" i="5"/>
  <c r="H210" i="5"/>
  <c r="I210" i="5"/>
  <c r="J210" i="5"/>
  <c r="B211" i="5"/>
  <c r="C211" i="5"/>
  <c r="D211" i="5"/>
  <c r="E211" i="5"/>
  <c r="F211" i="5"/>
  <c r="G211" i="5"/>
  <c r="H211" i="5"/>
  <c r="I211" i="5"/>
  <c r="J211" i="5"/>
  <c r="B212" i="5"/>
  <c r="C212" i="5"/>
  <c r="D212" i="5"/>
  <c r="E212" i="5"/>
  <c r="F212" i="5"/>
  <c r="G212" i="5"/>
  <c r="H212" i="5"/>
  <c r="I212" i="5"/>
  <c r="J212" i="5"/>
  <c r="B213" i="5"/>
  <c r="C213" i="5"/>
  <c r="D213" i="5"/>
  <c r="E213" i="5"/>
  <c r="F213" i="5"/>
  <c r="G213" i="5"/>
  <c r="H213" i="5"/>
  <c r="I213" i="5"/>
  <c r="J213" i="5"/>
  <c r="B214" i="5"/>
  <c r="C214" i="5"/>
  <c r="D214" i="5"/>
  <c r="E214" i="5"/>
  <c r="F214" i="5"/>
  <c r="G214" i="5"/>
  <c r="H214" i="5"/>
  <c r="I214" i="5"/>
  <c r="J214" i="5"/>
  <c r="B215" i="5"/>
  <c r="C215" i="5"/>
  <c r="D215" i="5"/>
  <c r="E215" i="5"/>
  <c r="F215" i="5"/>
  <c r="G215" i="5"/>
  <c r="H215" i="5"/>
  <c r="I215" i="5"/>
  <c r="J215" i="5"/>
  <c r="B216" i="5"/>
  <c r="C216" i="5"/>
  <c r="D216" i="5"/>
  <c r="E216" i="5"/>
  <c r="F216" i="5"/>
  <c r="G216" i="5"/>
  <c r="H216" i="5"/>
  <c r="I216" i="5"/>
  <c r="J216" i="5"/>
  <c r="B217" i="5"/>
  <c r="C217" i="5"/>
  <c r="D217" i="5"/>
  <c r="E217" i="5"/>
  <c r="F217" i="5"/>
  <c r="G217" i="5"/>
  <c r="H217" i="5"/>
  <c r="I217" i="5"/>
  <c r="J217" i="5"/>
  <c r="B218" i="5"/>
  <c r="C218" i="5"/>
  <c r="D218" i="5"/>
  <c r="E218" i="5"/>
  <c r="F218" i="5"/>
  <c r="G218" i="5"/>
  <c r="H218" i="5"/>
  <c r="I218" i="5"/>
  <c r="J218" i="5"/>
  <c r="B219" i="5"/>
  <c r="C219" i="5"/>
  <c r="D219" i="5"/>
  <c r="E219" i="5"/>
  <c r="F219" i="5"/>
  <c r="G219" i="5"/>
  <c r="H219" i="5"/>
  <c r="I219" i="5"/>
  <c r="J219" i="5"/>
  <c r="B220" i="5"/>
  <c r="C220" i="5"/>
  <c r="D220" i="5"/>
  <c r="E220" i="5"/>
  <c r="F220" i="5"/>
  <c r="G220" i="5"/>
  <c r="H220" i="5"/>
  <c r="I220" i="5"/>
  <c r="J220" i="5"/>
  <c r="B221" i="5"/>
  <c r="C221" i="5"/>
  <c r="D221" i="5"/>
  <c r="E221" i="5"/>
  <c r="F221" i="5"/>
  <c r="G221" i="5"/>
  <c r="H221" i="5"/>
  <c r="I221" i="5"/>
  <c r="J221" i="5"/>
  <c r="B222" i="5"/>
  <c r="C222" i="5"/>
  <c r="D222" i="5"/>
  <c r="E222" i="5"/>
  <c r="F222" i="5"/>
  <c r="G222" i="5"/>
  <c r="H222" i="5"/>
  <c r="I222" i="5"/>
  <c r="J222" i="5"/>
  <c r="B223" i="5"/>
  <c r="C223" i="5"/>
  <c r="D223" i="5"/>
  <c r="E223" i="5"/>
  <c r="F223" i="5"/>
  <c r="G223" i="5"/>
  <c r="H223" i="5"/>
  <c r="I223" i="5"/>
  <c r="J223" i="5"/>
  <c r="B224" i="5"/>
  <c r="C224" i="5"/>
  <c r="D224" i="5"/>
  <c r="E224" i="5"/>
  <c r="F224" i="5"/>
  <c r="G224" i="5"/>
  <c r="H224" i="5"/>
  <c r="I224" i="5"/>
  <c r="J224" i="5"/>
  <c r="B225" i="5"/>
  <c r="C225" i="5"/>
  <c r="D225" i="5"/>
  <c r="E225" i="5"/>
  <c r="F225" i="5"/>
  <c r="G225" i="5"/>
  <c r="H225" i="5"/>
  <c r="I225" i="5"/>
  <c r="J225" i="5"/>
  <c r="B226" i="5"/>
  <c r="C226" i="5"/>
  <c r="D226" i="5"/>
  <c r="E226" i="5"/>
  <c r="F226" i="5"/>
  <c r="G226" i="5"/>
  <c r="H226" i="5"/>
  <c r="I226" i="5"/>
  <c r="J226" i="5"/>
  <c r="B227" i="5"/>
  <c r="C227" i="5"/>
  <c r="D227" i="5"/>
  <c r="E227" i="5"/>
  <c r="F227" i="5"/>
  <c r="G227" i="5"/>
  <c r="H227" i="5"/>
  <c r="I227" i="5"/>
  <c r="J227" i="5"/>
  <c r="B228" i="5"/>
  <c r="C228" i="5"/>
  <c r="D228" i="5"/>
  <c r="E228" i="5"/>
  <c r="F228" i="5"/>
  <c r="G228" i="5"/>
  <c r="H228" i="5"/>
  <c r="I228" i="5"/>
  <c r="J228" i="5"/>
  <c r="B229" i="5"/>
  <c r="C229" i="5"/>
  <c r="D229" i="5"/>
  <c r="E229" i="5"/>
  <c r="F229" i="5"/>
  <c r="G229" i="5"/>
  <c r="H229" i="5"/>
  <c r="I229" i="5"/>
  <c r="J229" i="5"/>
  <c r="B230" i="5"/>
  <c r="C230" i="5"/>
  <c r="D230" i="5"/>
  <c r="E230" i="5"/>
  <c r="F230" i="5"/>
  <c r="G230" i="5"/>
  <c r="H230" i="5"/>
  <c r="I230" i="5"/>
  <c r="J230" i="5"/>
  <c r="B231" i="5"/>
  <c r="C231" i="5"/>
  <c r="D231" i="5"/>
  <c r="E231" i="5"/>
  <c r="F231" i="5"/>
  <c r="G231" i="5"/>
  <c r="H231" i="5"/>
  <c r="I231" i="5"/>
  <c r="J231" i="5"/>
  <c r="B232" i="5"/>
  <c r="C232" i="5"/>
  <c r="D232" i="5"/>
  <c r="E232" i="5"/>
  <c r="F232" i="5"/>
  <c r="G232" i="5"/>
  <c r="H232" i="5"/>
  <c r="I232" i="5"/>
  <c r="J232" i="5"/>
  <c r="B233" i="5"/>
  <c r="C233" i="5"/>
  <c r="D233" i="5"/>
  <c r="E233" i="5"/>
  <c r="F233" i="5"/>
  <c r="G233" i="5"/>
  <c r="H233" i="5"/>
  <c r="I233" i="5"/>
  <c r="J233" i="5"/>
  <c r="B234" i="5"/>
  <c r="C234" i="5"/>
  <c r="D234" i="5"/>
  <c r="E234" i="5"/>
  <c r="F234" i="5"/>
  <c r="G234" i="5"/>
  <c r="H234" i="5"/>
  <c r="I234" i="5"/>
  <c r="J234" i="5"/>
  <c r="B235" i="5"/>
  <c r="C235" i="5"/>
  <c r="D235" i="5"/>
  <c r="E235" i="5"/>
  <c r="F235" i="5"/>
  <c r="G235" i="5"/>
  <c r="H235" i="5"/>
  <c r="I235" i="5"/>
  <c r="J235" i="5"/>
  <c r="B236" i="5"/>
  <c r="C236" i="5"/>
  <c r="D236" i="5"/>
  <c r="E236" i="5"/>
  <c r="F236" i="5"/>
  <c r="G236" i="5"/>
  <c r="H236" i="5"/>
  <c r="I236" i="5"/>
  <c r="J236" i="5"/>
  <c r="B237" i="5"/>
  <c r="C237" i="5"/>
  <c r="D237" i="5"/>
  <c r="E237" i="5"/>
  <c r="F237" i="5"/>
  <c r="G237" i="5"/>
  <c r="H237" i="5"/>
  <c r="I237" i="5"/>
  <c r="J237" i="5"/>
  <c r="B238" i="5"/>
  <c r="C238" i="5"/>
  <c r="D238" i="5"/>
  <c r="E238" i="5"/>
  <c r="F238" i="5"/>
  <c r="G238" i="5"/>
  <c r="H238" i="5"/>
  <c r="I238" i="5"/>
  <c r="J238" i="5"/>
  <c r="B239" i="5"/>
  <c r="C239" i="5"/>
  <c r="D239" i="5"/>
  <c r="E239" i="5"/>
  <c r="F239" i="5"/>
  <c r="G239" i="5"/>
  <c r="H239" i="5"/>
  <c r="I239" i="5"/>
  <c r="J239" i="5"/>
  <c r="B240" i="5"/>
  <c r="C240" i="5"/>
  <c r="D240" i="5"/>
  <c r="E240" i="5"/>
  <c r="F240" i="5"/>
  <c r="G240" i="5"/>
  <c r="H240" i="5"/>
  <c r="I240" i="5"/>
  <c r="J240" i="5"/>
  <c r="B241" i="5"/>
  <c r="C241" i="5"/>
  <c r="D241" i="5"/>
  <c r="E241" i="5"/>
  <c r="F241" i="5"/>
  <c r="G241" i="5"/>
  <c r="H241" i="5"/>
  <c r="I241" i="5"/>
  <c r="J241" i="5"/>
  <c r="B242" i="5"/>
  <c r="C242" i="5"/>
  <c r="D242" i="5"/>
  <c r="E242" i="5"/>
  <c r="F242" i="5"/>
  <c r="G242" i="5"/>
  <c r="H242" i="5"/>
  <c r="I242" i="5"/>
  <c r="J242" i="5"/>
  <c r="B243" i="5"/>
  <c r="C243" i="5"/>
  <c r="D243" i="5"/>
  <c r="E243" i="5"/>
  <c r="F243" i="5"/>
  <c r="G243" i="5"/>
  <c r="H243" i="5"/>
  <c r="I243" i="5"/>
  <c r="J243" i="5"/>
  <c r="B244" i="5"/>
  <c r="C244" i="5"/>
  <c r="D244" i="5"/>
  <c r="E244" i="5"/>
  <c r="F244" i="5"/>
  <c r="G244" i="5"/>
  <c r="H244" i="5"/>
  <c r="I244" i="5"/>
  <c r="J244" i="5"/>
  <c r="B245" i="5"/>
  <c r="C245" i="5"/>
  <c r="D245" i="5"/>
  <c r="E245" i="5"/>
  <c r="F245" i="5"/>
  <c r="G245" i="5"/>
  <c r="H245" i="5"/>
  <c r="I245" i="5"/>
  <c r="J245" i="5"/>
  <c r="B246" i="5"/>
  <c r="C246" i="5"/>
  <c r="D246" i="5"/>
  <c r="E246" i="5"/>
  <c r="F246" i="5"/>
  <c r="G246" i="5"/>
  <c r="H246" i="5"/>
  <c r="I246" i="5"/>
  <c r="J246" i="5"/>
  <c r="B247" i="5"/>
  <c r="C247" i="5"/>
  <c r="D247" i="5"/>
  <c r="E247" i="5"/>
  <c r="F247" i="5"/>
  <c r="G247" i="5"/>
  <c r="H247" i="5"/>
  <c r="I247" i="5"/>
  <c r="J247" i="5"/>
  <c r="B248" i="5"/>
  <c r="C248" i="5"/>
  <c r="D248" i="5"/>
  <c r="E248" i="5"/>
  <c r="F248" i="5"/>
  <c r="G248" i="5"/>
  <c r="H248" i="5"/>
  <c r="I248" i="5"/>
  <c r="J248" i="5"/>
  <c r="B249" i="5"/>
  <c r="C249" i="5"/>
  <c r="D249" i="5"/>
  <c r="E249" i="5"/>
  <c r="F249" i="5"/>
  <c r="G249" i="5"/>
  <c r="H249" i="5"/>
  <c r="I249" i="5"/>
  <c r="J249" i="5"/>
  <c r="B250" i="5"/>
  <c r="C250" i="5"/>
  <c r="D250" i="5"/>
  <c r="E250" i="5"/>
  <c r="F250" i="5"/>
  <c r="G250" i="5"/>
  <c r="H250" i="5"/>
  <c r="I250" i="5"/>
  <c r="J250" i="5"/>
  <c r="B251" i="5"/>
  <c r="C251" i="5"/>
  <c r="D251" i="5"/>
  <c r="E251" i="5"/>
  <c r="F251" i="5"/>
  <c r="G251" i="5"/>
  <c r="H251" i="5"/>
  <c r="I251" i="5"/>
  <c r="J251" i="5"/>
  <c r="B252" i="5"/>
  <c r="C252" i="5"/>
  <c r="D252" i="5"/>
  <c r="E252" i="5"/>
  <c r="F252" i="5"/>
  <c r="G252" i="5"/>
  <c r="H252" i="5"/>
  <c r="I252" i="5"/>
  <c r="J252" i="5"/>
  <c r="B253" i="5"/>
  <c r="C253" i="5"/>
  <c r="D253" i="5"/>
  <c r="E253" i="5"/>
  <c r="F253" i="5"/>
  <c r="G253" i="5"/>
  <c r="H253" i="5"/>
  <c r="I253" i="5"/>
  <c r="J253" i="5"/>
  <c r="B254" i="5"/>
  <c r="C254" i="5"/>
  <c r="D254" i="5"/>
  <c r="E254" i="5"/>
  <c r="F254" i="5"/>
  <c r="G254" i="5"/>
  <c r="H254" i="5"/>
  <c r="I254" i="5"/>
  <c r="J254" i="5"/>
  <c r="B255" i="5"/>
  <c r="C255" i="5"/>
  <c r="D255" i="5"/>
  <c r="E255" i="5"/>
  <c r="F255" i="5"/>
  <c r="G255" i="5"/>
  <c r="H255" i="5"/>
  <c r="I255" i="5"/>
  <c r="J255" i="5"/>
  <c r="B256" i="5"/>
  <c r="C256" i="5"/>
  <c r="D256" i="5"/>
  <c r="E256" i="5"/>
  <c r="F256" i="5"/>
  <c r="G256" i="5"/>
  <c r="H256" i="5"/>
  <c r="I256" i="5"/>
  <c r="J256" i="5"/>
  <c r="B257" i="5"/>
  <c r="C257" i="5"/>
  <c r="D257" i="5"/>
  <c r="E257" i="5"/>
  <c r="F257" i="5"/>
  <c r="G257" i="5"/>
  <c r="H257" i="5"/>
  <c r="I257" i="5"/>
  <c r="J257" i="5"/>
  <c r="B258" i="5"/>
  <c r="C258" i="5"/>
  <c r="D258" i="5"/>
  <c r="E258" i="5"/>
  <c r="F258" i="5"/>
  <c r="G258" i="5"/>
  <c r="H258" i="5"/>
  <c r="I258" i="5"/>
  <c r="J258" i="5"/>
  <c r="B259" i="5"/>
  <c r="C259" i="5"/>
  <c r="D259" i="5"/>
  <c r="E259" i="5"/>
  <c r="F259" i="5"/>
  <c r="G259" i="5"/>
  <c r="H259" i="5"/>
  <c r="I259" i="5"/>
  <c r="J259" i="5"/>
  <c r="B260" i="5"/>
  <c r="C260" i="5"/>
  <c r="D260" i="5"/>
  <c r="E260" i="5"/>
  <c r="F260" i="5"/>
  <c r="G260" i="5"/>
  <c r="H260" i="5"/>
  <c r="I260" i="5"/>
  <c r="J260" i="5"/>
  <c r="B261" i="5"/>
  <c r="C261" i="5"/>
  <c r="D261" i="5"/>
  <c r="E261" i="5"/>
  <c r="F261" i="5"/>
  <c r="G261" i="5"/>
  <c r="H261" i="5"/>
  <c r="I261" i="5"/>
  <c r="J261" i="5"/>
  <c r="B262" i="5"/>
  <c r="C262" i="5"/>
  <c r="D262" i="5"/>
  <c r="E262" i="5"/>
  <c r="F262" i="5"/>
  <c r="G262" i="5"/>
  <c r="H262" i="5"/>
  <c r="I262" i="5"/>
  <c r="J262" i="5"/>
  <c r="B263" i="5"/>
  <c r="C263" i="5"/>
  <c r="D263" i="5"/>
  <c r="E263" i="5"/>
  <c r="F263" i="5"/>
  <c r="G263" i="5"/>
  <c r="H263" i="5"/>
  <c r="I263" i="5"/>
  <c r="J263" i="5"/>
  <c r="B264" i="5"/>
  <c r="C264" i="5"/>
  <c r="D264" i="5"/>
  <c r="E264" i="5"/>
  <c r="F264" i="5"/>
  <c r="G264" i="5"/>
  <c r="H264" i="5"/>
  <c r="I264" i="5"/>
  <c r="J264" i="5"/>
  <c r="B265" i="5"/>
  <c r="C265" i="5"/>
  <c r="D265" i="5"/>
  <c r="E265" i="5"/>
  <c r="F265" i="5"/>
  <c r="G265" i="5"/>
  <c r="H265" i="5"/>
  <c r="I265" i="5"/>
  <c r="J265" i="5"/>
  <c r="B266" i="5"/>
  <c r="C266" i="5"/>
  <c r="D266" i="5"/>
  <c r="E266" i="5"/>
  <c r="F266" i="5"/>
  <c r="G266" i="5"/>
  <c r="H266" i="5"/>
  <c r="I266" i="5"/>
  <c r="J266" i="5"/>
  <c r="B267" i="5"/>
  <c r="C267" i="5"/>
  <c r="D267" i="5"/>
  <c r="E267" i="5"/>
  <c r="F267" i="5"/>
  <c r="G267" i="5"/>
  <c r="H267" i="5"/>
  <c r="I267" i="5"/>
  <c r="J267" i="5"/>
  <c r="B268" i="5"/>
  <c r="C268" i="5"/>
  <c r="D268" i="5"/>
  <c r="E268" i="5"/>
  <c r="F268" i="5"/>
  <c r="G268" i="5"/>
  <c r="H268" i="5"/>
  <c r="I268" i="5"/>
  <c r="J268" i="5"/>
  <c r="B269" i="5"/>
  <c r="C269" i="5"/>
  <c r="D269" i="5"/>
  <c r="E269" i="5"/>
  <c r="F269" i="5"/>
  <c r="G269" i="5"/>
  <c r="H269" i="5"/>
  <c r="I269" i="5"/>
  <c r="J269" i="5"/>
  <c r="B270" i="5"/>
  <c r="C270" i="5"/>
  <c r="D270" i="5"/>
  <c r="E270" i="5"/>
  <c r="F270" i="5"/>
  <c r="G270" i="5"/>
  <c r="H270" i="5"/>
  <c r="I270" i="5"/>
  <c r="J270" i="5"/>
  <c r="B271" i="5"/>
  <c r="C271" i="5"/>
  <c r="D271" i="5"/>
  <c r="E271" i="5"/>
  <c r="F271" i="5"/>
  <c r="G271" i="5"/>
  <c r="H271" i="5"/>
  <c r="I271" i="5"/>
  <c r="J271" i="5"/>
  <c r="B272" i="5"/>
  <c r="C272" i="5"/>
  <c r="D272" i="5"/>
  <c r="E272" i="5"/>
  <c r="F272" i="5"/>
  <c r="G272" i="5"/>
  <c r="H272" i="5"/>
  <c r="I272" i="5"/>
  <c r="J272" i="5"/>
  <c r="B273" i="5"/>
  <c r="C273" i="5"/>
  <c r="D273" i="5"/>
  <c r="E273" i="5"/>
  <c r="F273" i="5"/>
  <c r="G273" i="5"/>
  <c r="H273" i="5"/>
  <c r="I273" i="5"/>
  <c r="J273" i="5"/>
  <c r="B274" i="5"/>
  <c r="C274" i="5"/>
  <c r="D274" i="5"/>
  <c r="E274" i="5"/>
  <c r="F274" i="5"/>
  <c r="G274" i="5"/>
  <c r="H274" i="5"/>
  <c r="I274" i="5"/>
  <c r="J274" i="5"/>
  <c r="B275" i="5"/>
  <c r="C275" i="5"/>
  <c r="D275" i="5"/>
  <c r="E275" i="5"/>
  <c r="F275" i="5"/>
  <c r="G275" i="5"/>
  <c r="H275" i="5"/>
  <c r="I275" i="5"/>
  <c r="J275" i="5"/>
  <c r="B276" i="5"/>
  <c r="C276" i="5"/>
  <c r="D276" i="5"/>
  <c r="E276" i="5"/>
  <c r="F276" i="5"/>
  <c r="G276" i="5"/>
  <c r="H276" i="5"/>
  <c r="I276" i="5"/>
  <c r="J276" i="5"/>
  <c r="B277" i="5"/>
  <c r="C277" i="5"/>
  <c r="D277" i="5"/>
  <c r="E277" i="5"/>
  <c r="F277" i="5"/>
  <c r="G277" i="5"/>
  <c r="H277" i="5"/>
  <c r="I277" i="5"/>
  <c r="J277" i="5"/>
  <c r="B278" i="5"/>
  <c r="C278" i="5"/>
  <c r="D278" i="5"/>
  <c r="E278" i="5"/>
  <c r="F278" i="5"/>
  <c r="G278" i="5"/>
  <c r="H278" i="5"/>
  <c r="I278" i="5"/>
  <c r="J278" i="5"/>
  <c r="B279" i="5"/>
  <c r="C279" i="5"/>
  <c r="D279" i="5"/>
  <c r="E279" i="5"/>
  <c r="F279" i="5"/>
  <c r="G279" i="5"/>
  <c r="H279" i="5"/>
  <c r="I279" i="5"/>
  <c r="J279" i="5"/>
  <c r="B280" i="5"/>
  <c r="C280" i="5"/>
  <c r="D280" i="5"/>
  <c r="E280" i="5"/>
  <c r="F280" i="5"/>
  <c r="G280" i="5"/>
  <c r="H280" i="5"/>
  <c r="I280" i="5"/>
  <c r="J280" i="5"/>
  <c r="B281" i="5"/>
  <c r="C281" i="5"/>
  <c r="D281" i="5"/>
  <c r="E281" i="5"/>
  <c r="F281" i="5"/>
  <c r="G281" i="5"/>
  <c r="H281" i="5"/>
  <c r="I281" i="5"/>
  <c r="J281" i="5"/>
  <c r="B282" i="5"/>
  <c r="C282" i="5"/>
  <c r="D282" i="5"/>
  <c r="E282" i="5"/>
  <c r="F282" i="5"/>
  <c r="G282" i="5"/>
  <c r="H282" i="5"/>
  <c r="I282" i="5"/>
  <c r="J282" i="5"/>
  <c r="B283" i="5"/>
  <c r="C283" i="5"/>
  <c r="D283" i="5"/>
  <c r="E283" i="5"/>
  <c r="F283" i="5"/>
  <c r="G283" i="5"/>
  <c r="H283" i="5"/>
  <c r="I283" i="5"/>
  <c r="J283" i="5"/>
  <c r="B284" i="5"/>
  <c r="C284" i="5"/>
  <c r="D284" i="5"/>
  <c r="E284" i="5"/>
  <c r="F284" i="5"/>
  <c r="G284" i="5"/>
  <c r="H284" i="5"/>
  <c r="I284" i="5"/>
  <c r="J284" i="5"/>
  <c r="B285" i="5"/>
  <c r="C285" i="5"/>
  <c r="D285" i="5"/>
  <c r="E285" i="5"/>
  <c r="F285" i="5"/>
  <c r="G285" i="5"/>
  <c r="H285" i="5"/>
  <c r="I285" i="5"/>
  <c r="J285" i="5"/>
  <c r="B286" i="5"/>
  <c r="C286" i="5"/>
  <c r="D286" i="5"/>
  <c r="E286" i="5"/>
  <c r="F286" i="5"/>
  <c r="G286" i="5"/>
  <c r="H286" i="5"/>
  <c r="I286" i="5"/>
  <c r="J286" i="5"/>
  <c r="B287" i="5"/>
  <c r="C287" i="5"/>
  <c r="D287" i="5"/>
  <c r="E287" i="5"/>
  <c r="F287" i="5"/>
  <c r="G287" i="5"/>
  <c r="H287" i="5"/>
  <c r="I287" i="5"/>
  <c r="J287" i="5"/>
  <c r="B288" i="5"/>
  <c r="C288" i="5"/>
  <c r="D288" i="5"/>
  <c r="E288" i="5"/>
  <c r="F288" i="5"/>
  <c r="G288" i="5"/>
  <c r="H288" i="5"/>
  <c r="I288" i="5"/>
  <c r="J288" i="5"/>
  <c r="B289" i="5"/>
  <c r="C289" i="5"/>
  <c r="D289" i="5"/>
  <c r="E289" i="5"/>
  <c r="F289" i="5"/>
  <c r="G289" i="5"/>
  <c r="H289" i="5"/>
  <c r="I289" i="5"/>
  <c r="J289" i="5"/>
  <c r="B290" i="5"/>
  <c r="C290" i="5"/>
  <c r="D290" i="5"/>
  <c r="E290" i="5"/>
  <c r="F290" i="5"/>
  <c r="G290" i="5"/>
  <c r="H290" i="5"/>
  <c r="I290" i="5"/>
  <c r="J290" i="5"/>
  <c r="B291" i="5"/>
  <c r="C291" i="5"/>
  <c r="D291" i="5"/>
  <c r="E291" i="5"/>
  <c r="F291" i="5"/>
  <c r="G291" i="5"/>
  <c r="H291" i="5"/>
  <c r="I291" i="5"/>
  <c r="J291" i="5"/>
  <c r="B292" i="5"/>
  <c r="C292" i="5"/>
  <c r="D292" i="5"/>
  <c r="E292" i="5"/>
  <c r="F292" i="5"/>
  <c r="G292" i="5"/>
  <c r="H292" i="5"/>
  <c r="I292" i="5"/>
  <c r="J292" i="5"/>
  <c r="B293" i="5"/>
  <c r="C293" i="5"/>
  <c r="D293" i="5"/>
  <c r="E293" i="5"/>
  <c r="F293" i="5"/>
  <c r="G293" i="5"/>
  <c r="H293" i="5"/>
  <c r="I293" i="5"/>
  <c r="J293" i="5"/>
  <c r="B294" i="5"/>
  <c r="C294" i="5"/>
  <c r="D294" i="5"/>
  <c r="E294" i="5"/>
  <c r="F294" i="5"/>
  <c r="G294" i="5"/>
  <c r="H294" i="5"/>
  <c r="I294" i="5"/>
  <c r="J294" i="5"/>
  <c r="B295" i="5"/>
  <c r="C295" i="5"/>
  <c r="D295" i="5"/>
  <c r="E295" i="5"/>
  <c r="F295" i="5"/>
  <c r="G295" i="5"/>
  <c r="H295" i="5"/>
  <c r="I295" i="5"/>
  <c r="J295" i="5"/>
  <c r="B296" i="5"/>
  <c r="C296" i="5"/>
  <c r="D296" i="5"/>
  <c r="E296" i="5"/>
  <c r="F296" i="5"/>
  <c r="G296" i="5"/>
  <c r="H296" i="5"/>
  <c r="I296" i="5"/>
  <c r="J296" i="5"/>
  <c r="B297" i="5"/>
  <c r="C297" i="5"/>
  <c r="D297" i="5"/>
  <c r="E297" i="5"/>
  <c r="F297" i="5"/>
  <c r="G297" i="5"/>
  <c r="H297" i="5"/>
  <c r="I297" i="5"/>
  <c r="J297" i="5"/>
  <c r="B298" i="5"/>
  <c r="C298" i="5"/>
  <c r="D298" i="5"/>
  <c r="E298" i="5"/>
  <c r="F298" i="5"/>
  <c r="G298" i="5"/>
  <c r="H298" i="5"/>
  <c r="I298" i="5"/>
  <c r="J298" i="5"/>
  <c r="B299" i="5"/>
  <c r="C299" i="5"/>
  <c r="D299" i="5"/>
  <c r="E299" i="5"/>
  <c r="F299" i="5"/>
  <c r="G299" i="5"/>
  <c r="H299" i="5"/>
  <c r="I299" i="5"/>
  <c r="J299" i="5"/>
  <c r="B300" i="5"/>
  <c r="C300" i="5"/>
  <c r="D300" i="5"/>
  <c r="E300" i="5"/>
  <c r="F300" i="5"/>
  <c r="G300" i="5"/>
  <c r="H300" i="5"/>
  <c r="I300" i="5"/>
  <c r="J300" i="5"/>
  <c r="B301" i="5"/>
  <c r="C301" i="5"/>
  <c r="D301" i="5"/>
  <c r="E301" i="5"/>
  <c r="F301" i="5"/>
  <c r="G301" i="5"/>
  <c r="H301" i="5"/>
  <c r="I301" i="5"/>
  <c r="J301" i="5"/>
  <c r="B302" i="5"/>
  <c r="C302" i="5"/>
  <c r="D302" i="5"/>
  <c r="E302" i="5"/>
  <c r="F302" i="5"/>
  <c r="G302" i="5"/>
  <c r="H302" i="5"/>
  <c r="I302" i="5"/>
  <c r="J302" i="5"/>
  <c r="B303" i="5"/>
  <c r="C303" i="5"/>
  <c r="D303" i="5"/>
  <c r="E303" i="5"/>
  <c r="F303" i="5"/>
  <c r="G303" i="5"/>
  <c r="H303" i="5"/>
  <c r="I303" i="5"/>
  <c r="J303" i="5"/>
  <c r="B304" i="5"/>
  <c r="C304" i="5"/>
  <c r="D304" i="5"/>
  <c r="E304" i="5"/>
  <c r="F304" i="5"/>
  <c r="G304" i="5"/>
  <c r="H304" i="5"/>
  <c r="I304" i="5"/>
  <c r="J304" i="5"/>
  <c r="B305" i="5"/>
  <c r="C305" i="5"/>
  <c r="D305" i="5"/>
  <c r="E305" i="5"/>
  <c r="F305" i="5"/>
  <c r="G305" i="5"/>
  <c r="H305" i="5"/>
  <c r="I305" i="5"/>
  <c r="J305" i="5"/>
  <c r="B306" i="5"/>
  <c r="C306" i="5"/>
  <c r="D306" i="5"/>
  <c r="E306" i="5"/>
  <c r="F306" i="5"/>
  <c r="G306" i="5"/>
  <c r="H306" i="5"/>
  <c r="I306" i="5"/>
  <c r="J306" i="5"/>
  <c r="B307" i="5"/>
  <c r="C307" i="5"/>
  <c r="D307" i="5"/>
  <c r="E307" i="5"/>
  <c r="F307" i="5"/>
  <c r="G307" i="5"/>
  <c r="H307" i="5"/>
  <c r="I307" i="5"/>
  <c r="J307" i="5"/>
  <c r="B308" i="5"/>
  <c r="C308" i="5"/>
  <c r="D308" i="5"/>
  <c r="E308" i="5"/>
  <c r="F308" i="5"/>
  <c r="G308" i="5"/>
  <c r="H308" i="5"/>
  <c r="I308" i="5"/>
  <c r="J308" i="5"/>
  <c r="B309" i="5"/>
  <c r="C309" i="5"/>
  <c r="D309" i="5"/>
  <c r="E309" i="5"/>
  <c r="F309" i="5"/>
  <c r="G309" i="5"/>
  <c r="H309" i="5"/>
  <c r="I309" i="5"/>
  <c r="J309" i="5"/>
  <c r="B310" i="5"/>
  <c r="C310" i="5"/>
  <c r="D310" i="5"/>
  <c r="E310" i="5"/>
  <c r="F310" i="5"/>
  <c r="G310" i="5"/>
  <c r="H310" i="5"/>
  <c r="I310" i="5"/>
  <c r="J310" i="5"/>
  <c r="B311" i="5"/>
  <c r="C311" i="5"/>
  <c r="D311" i="5"/>
  <c r="E311" i="5"/>
  <c r="F311" i="5"/>
  <c r="G311" i="5"/>
  <c r="H311" i="5"/>
  <c r="I311" i="5"/>
  <c r="J311" i="5"/>
  <c r="B312" i="5"/>
  <c r="C312" i="5"/>
  <c r="D312" i="5"/>
  <c r="E312" i="5"/>
  <c r="F312" i="5"/>
  <c r="G312" i="5"/>
  <c r="H312" i="5"/>
  <c r="I312" i="5"/>
  <c r="J312" i="5"/>
  <c r="B313" i="5"/>
  <c r="C313" i="5"/>
  <c r="D313" i="5"/>
  <c r="E313" i="5"/>
  <c r="F313" i="5"/>
  <c r="G313" i="5"/>
  <c r="H313" i="5"/>
  <c r="I313" i="5"/>
  <c r="J313" i="5"/>
  <c r="B314" i="5"/>
  <c r="C314" i="5"/>
  <c r="D314" i="5"/>
  <c r="E314" i="5"/>
  <c r="F314" i="5"/>
  <c r="G314" i="5"/>
  <c r="H314" i="5"/>
  <c r="I314" i="5"/>
  <c r="J314" i="5"/>
  <c r="B315" i="5"/>
  <c r="C315" i="5"/>
  <c r="D315" i="5"/>
  <c r="E315" i="5"/>
  <c r="F315" i="5"/>
  <c r="G315" i="5"/>
  <c r="H315" i="5"/>
  <c r="I315" i="5"/>
  <c r="J315" i="5"/>
  <c r="B316" i="5"/>
  <c r="C316" i="5"/>
  <c r="D316" i="5"/>
  <c r="E316" i="5"/>
  <c r="F316" i="5"/>
  <c r="G316" i="5"/>
  <c r="H316" i="5"/>
  <c r="I316" i="5"/>
  <c r="J316" i="5"/>
  <c r="B317" i="5"/>
  <c r="C317" i="5"/>
  <c r="D317" i="5"/>
  <c r="E317" i="5"/>
  <c r="F317" i="5"/>
  <c r="G317" i="5"/>
  <c r="H317" i="5"/>
  <c r="I317" i="5"/>
  <c r="J317" i="5"/>
  <c r="B318" i="5"/>
  <c r="C318" i="5"/>
  <c r="D318" i="5"/>
  <c r="E318" i="5"/>
  <c r="F318" i="5"/>
  <c r="G318" i="5"/>
  <c r="H318" i="5"/>
  <c r="I318" i="5"/>
  <c r="J318" i="5"/>
  <c r="B319" i="5"/>
  <c r="C319" i="5"/>
  <c r="D319" i="5"/>
  <c r="E319" i="5"/>
  <c r="F319" i="5"/>
  <c r="G319" i="5"/>
  <c r="H319" i="5"/>
  <c r="I319" i="5"/>
  <c r="J319" i="5"/>
  <c r="B320" i="5"/>
  <c r="C320" i="5"/>
  <c r="D320" i="5"/>
  <c r="E320" i="5"/>
  <c r="F320" i="5"/>
  <c r="G320" i="5"/>
  <c r="H320" i="5"/>
  <c r="I320" i="5"/>
  <c r="J320" i="5"/>
  <c r="B321" i="5"/>
  <c r="C321" i="5"/>
  <c r="D321" i="5"/>
  <c r="E321" i="5"/>
  <c r="F321" i="5"/>
  <c r="G321" i="5"/>
  <c r="H321" i="5"/>
  <c r="I321" i="5"/>
  <c r="J321" i="5"/>
  <c r="B322" i="5"/>
  <c r="C322" i="5"/>
  <c r="D322" i="5"/>
  <c r="E322" i="5"/>
  <c r="F322" i="5"/>
  <c r="G322" i="5"/>
  <c r="H322" i="5"/>
  <c r="I322" i="5"/>
  <c r="J322" i="5"/>
  <c r="B323" i="5"/>
  <c r="C323" i="5"/>
  <c r="D323" i="5"/>
  <c r="E323" i="5"/>
  <c r="F323" i="5"/>
  <c r="G323" i="5"/>
  <c r="H323" i="5"/>
  <c r="I323" i="5"/>
  <c r="J323" i="5"/>
  <c r="B324" i="5"/>
  <c r="C324" i="5"/>
  <c r="D324" i="5"/>
  <c r="E324" i="5"/>
  <c r="F324" i="5"/>
  <c r="G324" i="5"/>
  <c r="H324" i="5"/>
  <c r="I324" i="5"/>
  <c r="J324" i="5"/>
  <c r="B325" i="5"/>
  <c r="C325" i="5"/>
  <c r="D325" i="5"/>
  <c r="E325" i="5"/>
  <c r="F325" i="5"/>
  <c r="G325" i="5"/>
  <c r="H325" i="5"/>
  <c r="I325" i="5"/>
  <c r="J325" i="5"/>
  <c r="B326" i="5"/>
  <c r="C326" i="5"/>
  <c r="D326" i="5"/>
  <c r="E326" i="5"/>
  <c r="F326" i="5"/>
  <c r="G326" i="5"/>
  <c r="H326" i="5"/>
  <c r="I326" i="5"/>
  <c r="J326" i="5"/>
  <c r="B327" i="5"/>
  <c r="C327" i="5"/>
  <c r="D327" i="5"/>
  <c r="E327" i="5"/>
  <c r="F327" i="5"/>
  <c r="G327" i="5"/>
  <c r="H327" i="5"/>
  <c r="I327" i="5"/>
  <c r="J327" i="5"/>
  <c r="B328" i="5"/>
  <c r="C328" i="5"/>
  <c r="D328" i="5"/>
  <c r="E328" i="5"/>
  <c r="F328" i="5"/>
  <c r="G328" i="5"/>
  <c r="H328" i="5"/>
  <c r="I328" i="5"/>
  <c r="J328" i="5"/>
  <c r="B329" i="5"/>
  <c r="C329" i="5"/>
  <c r="D329" i="5"/>
  <c r="E329" i="5"/>
  <c r="F329" i="5"/>
  <c r="G329" i="5"/>
  <c r="H329" i="5"/>
  <c r="I329" i="5"/>
  <c r="J329" i="5"/>
  <c r="B330" i="5"/>
  <c r="C330" i="5"/>
  <c r="D330" i="5"/>
  <c r="E330" i="5"/>
  <c r="F330" i="5"/>
  <c r="G330" i="5"/>
  <c r="H330" i="5"/>
  <c r="I330" i="5"/>
  <c r="J330" i="5"/>
  <c r="B331" i="5"/>
  <c r="C331" i="5"/>
  <c r="D331" i="5"/>
  <c r="E331" i="5"/>
  <c r="F331" i="5"/>
  <c r="G331" i="5"/>
  <c r="H331" i="5"/>
  <c r="I331" i="5"/>
  <c r="J331" i="5"/>
  <c r="B332" i="5"/>
  <c r="C332" i="5"/>
  <c r="D332" i="5"/>
  <c r="E332" i="5"/>
  <c r="F332" i="5"/>
  <c r="G332" i="5"/>
  <c r="H332" i="5"/>
  <c r="I332" i="5"/>
  <c r="J332" i="5"/>
  <c r="B333" i="5"/>
  <c r="C333" i="5"/>
  <c r="D333" i="5"/>
  <c r="E333" i="5"/>
  <c r="F333" i="5"/>
  <c r="G333" i="5"/>
  <c r="H333" i="5"/>
  <c r="I333" i="5"/>
  <c r="J333" i="5"/>
  <c r="B334" i="5"/>
  <c r="C334" i="5"/>
  <c r="D334" i="5"/>
  <c r="E334" i="5"/>
  <c r="F334" i="5"/>
  <c r="G334" i="5"/>
  <c r="H334" i="5"/>
  <c r="I334" i="5"/>
  <c r="J334" i="5"/>
  <c r="B335" i="5"/>
  <c r="C335" i="5"/>
  <c r="D335" i="5"/>
  <c r="E335" i="5"/>
  <c r="F335" i="5"/>
  <c r="G335" i="5"/>
  <c r="H335" i="5"/>
  <c r="I335" i="5"/>
  <c r="J335" i="5"/>
  <c r="B336" i="5"/>
  <c r="C336" i="5"/>
  <c r="D336" i="5"/>
  <c r="E336" i="5"/>
  <c r="F336" i="5"/>
  <c r="G336" i="5"/>
  <c r="H336" i="5"/>
  <c r="I336" i="5"/>
  <c r="J336" i="5"/>
  <c r="B337" i="5"/>
  <c r="C337" i="5"/>
  <c r="D337" i="5"/>
  <c r="E337" i="5"/>
  <c r="F337" i="5"/>
  <c r="G337" i="5"/>
  <c r="H337" i="5"/>
  <c r="I337" i="5"/>
  <c r="J337" i="5"/>
  <c r="B338" i="5"/>
  <c r="C338" i="5"/>
  <c r="D338" i="5"/>
  <c r="E338" i="5"/>
  <c r="F338" i="5"/>
  <c r="G338" i="5"/>
  <c r="H338" i="5"/>
  <c r="I338" i="5"/>
  <c r="J338" i="5"/>
  <c r="B339" i="5"/>
  <c r="C339" i="5"/>
  <c r="D339" i="5"/>
  <c r="E339" i="5"/>
  <c r="F339" i="5"/>
  <c r="G339" i="5"/>
  <c r="H339" i="5"/>
  <c r="I339" i="5"/>
  <c r="J339" i="5"/>
  <c r="B340" i="5"/>
  <c r="C340" i="5"/>
  <c r="D340" i="5"/>
  <c r="E340" i="5"/>
  <c r="F340" i="5"/>
  <c r="G340" i="5"/>
  <c r="H340" i="5"/>
  <c r="I340" i="5"/>
  <c r="J340" i="5"/>
  <c r="B341" i="5"/>
  <c r="C341" i="5"/>
  <c r="D341" i="5"/>
  <c r="E341" i="5"/>
  <c r="F341" i="5"/>
  <c r="G341" i="5"/>
  <c r="H341" i="5"/>
  <c r="I341" i="5"/>
  <c r="J341" i="5"/>
  <c r="B342" i="5"/>
  <c r="C342" i="5"/>
  <c r="D342" i="5"/>
  <c r="E342" i="5"/>
  <c r="F342" i="5"/>
  <c r="G342" i="5"/>
  <c r="H342" i="5"/>
  <c r="I342" i="5"/>
  <c r="J342" i="5"/>
  <c r="B343" i="5"/>
  <c r="C343" i="5"/>
  <c r="D343" i="5"/>
  <c r="E343" i="5"/>
  <c r="F343" i="5"/>
  <c r="G343" i="5"/>
  <c r="H343" i="5"/>
  <c r="I343" i="5"/>
  <c r="J343" i="5"/>
  <c r="B344" i="5"/>
  <c r="C344" i="5"/>
  <c r="D344" i="5"/>
  <c r="E344" i="5"/>
  <c r="F344" i="5"/>
  <c r="G344" i="5"/>
  <c r="H344" i="5"/>
  <c r="I344" i="5"/>
  <c r="J344" i="5"/>
  <c r="B345" i="5"/>
  <c r="C345" i="5"/>
  <c r="D345" i="5"/>
  <c r="E345" i="5"/>
  <c r="F345" i="5"/>
  <c r="G345" i="5"/>
  <c r="H345" i="5"/>
  <c r="I345" i="5"/>
  <c r="J345" i="5"/>
  <c r="B346" i="5"/>
  <c r="C346" i="5"/>
  <c r="D346" i="5"/>
  <c r="E346" i="5"/>
  <c r="F346" i="5"/>
  <c r="G346" i="5"/>
  <c r="H346" i="5"/>
  <c r="I346" i="5"/>
  <c r="J346" i="5"/>
  <c r="B347" i="5"/>
  <c r="C347" i="5"/>
  <c r="D347" i="5"/>
  <c r="E347" i="5"/>
  <c r="F347" i="5"/>
  <c r="G347" i="5"/>
  <c r="H347" i="5"/>
  <c r="I347" i="5"/>
  <c r="J347" i="5"/>
  <c r="B348" i="5"/>
  <c r="C348" i="5"/>
  <c r="D348" i="5"/>
  <c r="E348" i="5"/>
  <c r="F348" i="5"/>
  <c r="G348" i="5"/>
  <c r="H348" i="5"/>
  <c r="I348" i="5"/>
  <c r="J348" i="5"/>
  <c r="B349" i="5"/>
  <c r="C349" i="5"/>
  <c r="D349" i="5"/>
  <c r="E349" i="5"/>
  <c r="F349" i="5"/>
  <c r="G349" i="5"/>
  <c r="H349" i="5"/>
  <c r="I349" i="5"/>
  <c r="J349" i="5"/>
  <c r="B350" i="5"/>
  <c r="C350" i="5"/>
  <c r="D350" i="5"/>
  <c r="E350" i="5"/>
  <c r="F350" i="5"/>
  <c r="G350" i="5"/>
  <c r="H350" i="5"/>
  <c r="I350" i="5"/>
  <c r="J350" i="5"/>
  <c r="B351" i="5"/>
  <c r="C351" i="5"/>
  <c r="D351" i="5"/>
  <c r="E351" i="5"/>
  <c r="F351" i="5"/>
  <c r="G351" i="5"/>
  <c r="H351" i="5"/>
  <c r="I351" i="5"/>
  <c r="J351" i="5"/>
  <c r="B352" i="5"/>
  <c r="C352" i="5"/>
  <c r="D352" i="5"/>
  <c r="E352" i="5"/>
  <c r="F352" i="5"/>
  <c r="G352" i="5"/>
  <c r="H352" i="5"/>
  <c r="I352" i="5"/>
  <c r="J352" i="5"/>
  <c r="B353" i="5"/>
  <c r="C353" i="5"/>
  <c r="D353" i="5"/>
  <c r="E353" i="5"/>
  <c r="F353" i="5"/>
  <c r="G353" i="5"/>
  <c r="H353" i="5"/>
  <c r="I353" i="5"/>
  <c r="J353" i="5"/>
  <c r="B354" i="5"/>
  <c r="C354" i="5"/>
  <c r="D354" i="5"/>
  <c r="E354" i="5"/>
  <c r="F354" i="5"/>
  <c r="G354" i="5"/>
  <c r="H354" i="5"/>
  <c r="I354" i="5"/>
  <c r="J354" i="5"/>
  <c r="B355" i="5"/>
  <c r="C355" i="5"/>
  <c r="D355" i="5"/>
  <c r="E355" i="5"/>
  <c r="F355" i="5"/>
  <c r="G355" i="5"/>
  <c r="H355" i="5"/>
  <c r="I355" i="5"/>
  <c r="J355" i="5"/>
  <c r="B356" i="5"/>
  <c r="C356" i="5"/>
  <c r="D356" i="5"/>
  <c r="E356" i="5"/>
  <c r="F356" i="5"/>
  <c r="G356" i="5"/>
  <c r="H356" i="5"/>
  <c r="I356" i="5"/>
  <c r="J356" i="5"/>
  <c r="B357" i="5"/>
  <c r="C357" i="5"/>
  <c r="D357" i="5"/>
  <c r="E357" i="5"/>
  <c r="F357" i="5"/>
  <c r="G357" i="5"/>
  <c r="H357" i="5"/>
  <c r="I357" i="5"/>
  <c r="J357" i="5"/>
  <c r="B358" i="5"/>
  <c r="C358" i="5"/>
  <c r="D358" i="5"/>
  <c r="E358" i="5"/>
  <c r="F358" i="5"/>
  <c r="G358" i="5"/>
  <c r="H358" i="5"/>
  <c r="I358" i="5"/>
  <c r="J358" i="5"/>
  <c r="B359" i="5"/>
  <c r="C359" i="5"/>
  <c r="D359" i="5"/>
  <c r="E359" i="5"/>
  <c r="F359" i="5"/>
  <c r="G359" i="5"/>
  <c r="H359" i="5"/>
  <c r="I359" i="5"/>
  <c r="J359" i="5"/>
  <c r="B360" i="5"/>
  <c r="C360" i="5"/>
  <c r="D360" i="5"/>
  <c r="E360" i="5"/>
  <c r="F360" i="5"/>
  <c r="G360" i="5"/>
  <c r="H360" i="5"/>
  <c r="I360" i="5"/>
  <c r="J360" i="5"/>
  <c r="B361" i="5"/>
  <c r="C361" i="5"/>
  <c r="D361" i="5"/>
  <c r="E361" i="5"/>
  <c r="F361" i="5"/>
  <c r="G361" i="5"/>
  <c r="H361" i="5"/>
  <c r="I361" i="5"/>
  <c r="J361" i="5"/>
  <c r="B362" i="5"/>
  <c r="C362" i="5"/>
  <c r="D362" i="5"/>
  <c r="E362" i="5"/>
  <c r="F362" i="5"/>
  <c r="G362" i="5"/>
  <c r="H362" i="5"/>
  <c r="I362" i="5"/>
  <c r="J362" i="5"/>
  <c r="B363" i="5"/>
  <c r="C363" i="5"/>
  <c r="D363" i="5"/>
  <c r="E363" i="5"/>
  <c r="F363" i="5"/>
  <c r="G363" i="5"/>
  <c r="H363" i="5"/>
  <c r="I363" i="5"/>
  <c r="J363" i="5"/>
  <c r="B364" i="5"/>
  <c r="C364" i="5"/>
  <c r="D364" i="5"/>
  <c r="E364" i="5"/>
  <c r="F364" i="5"/>
  <c r="G364" i="5"/>
  <c r="H364" i="5"/>
  <c r="I364" i="5"/>
  <c r="J364" i="5"/>
  <c r="B365" i="5"/>
  <c r="C365" i="5"/>
  <c r="D365" i="5"/>
  <c r="E365" i="5"/>
  <c r="F365" i="5"/>
  <c r="G365" i="5"/>
  <c r="H365" i="5"/>
  <c r="I365" i="5"/>
  <c r="J365" i="5"/>
  <c r="B366" i="5"/>
  <c r="C366" i="5"/>
  <c r="D366" i="5"/>
  <c r="E366" i="5"/>
  <c r="F366" i="5"/>
  <c r="G366" i="5"/>
  <c r="H366" i="5"/>
  <c r="I366" i="5"/>
  <c r="J366" i="5"/>
  <c r="B367" i="5"/>
  <c r="C367" i="5"/>
  <c r="D367" i="5"/>
  <c r="E367" i="5"/>
  <c r="F367" i="5"/>
  <c r="G367" i="5"/>
  <c r="H367" i="5"/>
  <c r="I367" i="5"/>
  <c r="J367" i="5"/>
  <c r="B368" i="5"/>
  <c r="C368" i="5"/>
  <c r="D368" i="5"/>
  <c r="E368" i="5"/>
  <c r="F368" i="5"/>
  <c r="G368" i="5"/>
  <c r="H368" i="5"/>
  <c r="I368" i="5"/>
  <c r="J368" i="5"/>
  <c r="B369" i="5"/>
  <c r="C369" i="5"/>
  <c r="D369" i="5"/>
  <c r="E369" i="5"/>
  <c r="F369" i="5"/>
  <c r="G369" i="5"/>
  <c r="H369" i="5"/>
  <c r="I369" i="5"/>
  <c r="J369" i="5"/>
  <c r="B370" i="5"/>
  <c r="C370" i="5"/>
  <c r="D370" i="5"/>
  <c r="E370" i="5"/>
  <c r="F370" i="5"/>
  <c r="G370" i="5"/>
  <c r="H370" i="5"/>
  <c r="I370" i="5"/>
  <c r="J370" i="5"/>
  <c r="B371" i="5"/>
  <c r="C371" i="5"/>
  <c r="D371" i="5"/>
  <c r="E371" i="5"/>
  <c r="F371" i="5"/>
  <c r="G371" i="5"/>
  <c r="H371" i="5"/>
  <c r="I371" i="5"/>
  <c r="J371" i="5"/>
  <c r="B372" i="5"/>
  <c r="C372" i="5"/>
  <c r="D372" i="5"/>
  <c r="E372" i="5"/>
  <c r="F372" i="5"/>
  <c r="G372" i="5"/>
  <c r="H372" i="5"/>
  <c r="I372" i="5"/>
  <c r="J372" i="5"/>
  <c r="B373" i="5"/>
  <c r="C373" i="5"/>
  <c r="D373" i="5"/>
  <c r="E373" i="5"/>
  <c r="F373" i="5"/>
  <c r="G373" i="5"/>
  <c r="H373" i="5"/>
  <c r="I373" i="5"/>
  <c r="J373" i="5"/>
  <c r="B374" i="5"/>
  <c r="C374" i="5"/>
  <c r="D374" i="5"/>
  <c r="E374" i="5"/>
  <c r="F374" i="5"/>
  <c r="G374" i="5"/>
  <c r="H374" i="5"/>
  <c r="I374" i="5"/>
  <c r="J374" i="5"/>
  <c r="B375" i="5"/>
  <c r="C375" i="5"/>
  <c r="D375" i="5"/>
  <c r="E375" i="5"/>
  <c r="F375" i="5"/>
  <c r="G375" i="5"/>
  <c r="H375" i="5"/>
  <c r="I375" i="5"/>
  <c r="J375" i="5"/>
  <c r="B376" i="5"/>
  <c r="C376" i="5"/>
  <c r="D376" i="5"/>
  <c r="E376" i="5"/>
  <c r="F376" i="5"/>
  <c r="G376" i="5"/>
  <c r="H376" i="5"/>
  <c r="I376" i="5"/>
  <c r="J376" i="5"/>
  <c r="B377" i="5"/>
  <c r="C377" i="5"/>
  <c r="D377" i="5"/>
  <c r="E377" i="5"/>
  <c r="F377" i="5"/>
  <c r="G377" i="5"/>
  <c r="H377" i="5"/>
  <c r="I377" i="5"/>
  <c r="J377" i="5"/>
  <c r="B378" i="5"/>
  <c r="C378" i="5"/>
  <c r="D378" i="5"/>
  <c r="E378" i="5"/>
  <c r="F378" i="5"/>
  <c r="G378" i="5"/>
  <c r="H378" i="5"/>
  <c r="I378" i="5"/>
  <c r="J378" i="5"/>
  <c r="B379" i="5"/>
  <c r="C379" i="5"/>
  <c r="D379" i="5"/>
  <c r="E379" i="5"/>
  <c r="F379" i="5"/>
  <c r="G379" i="5"/>
  <c r="H379" i="5"/>
  <c r="I379" i="5"/>
  <c r="J379" i="5"/>
  <c r="B380" i="5"/>
  <c r="C380" i="5"/>
  <c r="D380" i="5"/>
  <c r="E380" i="5"/>
  <c r="F380" i="5"/>
  <c r="G380" i="5"/>
  <c r="H380" i="5"/>
  <c r="I380" i="5"/>
  <c r="J380" i="5"/>
  <c r="B381" i="5"/>
  <c r="C381" i="5"/>
  <c r="D381" i="5"/>
  <c r="E381" i="5"/>
  <c r="F381" i="5"/>
  <c r="G381" i="5"/>
  <c r="H381" i="5"/>
  <c r="I381" i="5"/>
  <c r="J381" i="5"/>
  <c r="B382" i="5"/>
  <c r="C382" i="5"/>
  <c r="D382" i="5"/>
  <c r="E382" i="5"/>
  <c r="F382" i="5"/>
  <c r="G382" i="5"/>
  <c r="H382" i="5"/>
  <c r="I382" i="5"/>
  <c r="J382" i="5"/>
  <c r="B383" i="5"/>
  <c r="C383" i="5"/>
  <c r="D383" i="5"/>
  <c r="E383" i="5"/>
  <c r="F383" i="5"/>
  <c r="G383" i="5"/>
  <c r="H383" i="5"/>
  <c r="I383" i="5"/>
  <c r="J383" i="5"/>
  <c r="B384" i="5"/>
  <c r="C384" i="5"/>
  <c r="D384" i="5"/>
  <c r="E384" i="5"/>
  <c r="F384" i="5"/>
  <c r="G384" i="5"/>
  <c r="H384" i="5"/>
  <c r="I384" i="5"/>
  <c r="J384" i="5"/>
  <c r="B385" i="5"/>
  <c r="C385" i="5"/>
  <c r="D385" i="5"/>
  <c r="E385" i="5"/>
  <c r="F385" i="5"/>
  <c r="G385" i="5"/>
  <c r="H385" i="5"/>
  <c r="I385" i="5"/>
  <c r="J385" i="5"/>
  <c r="B386" i="5"/>
  <c r="C386" i="5"/>
  <c r="D386" i="5"/>
  <c r="E386" i="5"/>
  <c r="F386" i="5"/>
  <c r="G386" i="5"/>
  <c r="H386" i="5"/>
  <c r="I386" i="5"/>
  <c r="J386" i="5"/>
  <c r="B387" i="5"/>
  <c r="C387" i="5"/>
  <c r="D387" i="5"/>
  <c r="E387" i="5"/>
  <c r="F387" i="5"/>
  <c r="G387" i="5"/>
  <c r="H387" i="5"/>
  <c r="I387" i="5"/>
  <c r="J387" i="5"/>
  <c r="B388" i="5"/>
  <c r="C388" i="5"/>
  <c r="D388" i="5"/>
  <c r="E388" i="5"/>
  <c r="F388" i="5"/>
  <c r="G388" i="5"/>
  <c r="H388" i="5"/>
  <c r="I388" i="5"/>
  <c r="J388" i="5"/>
  <c r="B389" i="5"/>
  <c r="C389" i="5"/>
  <c r="D389" i="5"/>
  <c r="E389" i="5"/>
  <c r="F389" i="5"/>
  <c r="G389" i="5"/>
  <c r="H389" i="5"/>
  <c r="I389" i="5"/>
  <c r="J389" i="5"/>
  <c r="B390" i="5"/>
  <c r="C390" i="5"/>
  <c r="D390" i="5"/>
  <c r="E390" i="5"/>
  <c r="F390" i="5"/>
  <c r="G390" i="5"/>
  <c r="H390" i="5"/>
  <c r="I390" i="5"/>
  <c r="J390" i="5"/>
  <c r="B391" i="5"/>
  <c r="C391" i="5"/>
  <c r="D391" i="5"/>
  <c r="E391" i="5"/>
  <c r="F391" i="5"/>
  <c r="G391" i="5"/>
  <c r="H391" i="5"/>
  <c r="I391" i="5"/>
  <c r="J391" i="5"/>
  <c r="B392" i="5"/>
  <c r="C392" i="5"/>
  <c r="D392" i="5"/>
  <c r="E392" i="5"/>
  <c r="F392" i="5"/>
  <c r="G392" i="5"/>
  <c r="H392" i="5"/>
  <c r="I392" i="5"/>
  <c r="J392" i="5"/>
  <c r="B393" i="5"/>
  <c r="C393" i="5"/>
  <c r="D393" i="5"/>
  <c r="E393" i="5"/>
  <c r="F393" i="5"/>
  <c r="G393" i="5"/>
  <c r="H393" i="5"/>
  <c r="I393" i="5"/>
  <c r="J393" i="5"/>
  <c r="B394" i="5"/>
  <c r="C394" i="5"/>
  <c r="D394" i="5"/>
  <c r="E394" i="5"/>
  <c r="F394" i="5"/>
  <c r="G394" i="5"/>
  <c r="H394" i="5"/>
  <c r="I394" i="5"/>
  <c r="J394" i="5"/>
  <c r="B395" i="5"/>
  <c r="C395" i="5"/>
  <c r="D395" i="5"/>
  <c r="E395" i="5"/>
  <c r="F395" i="5"/>
  <c r="G395" i="5"/>
  <c r="H395" i="5"/>
  <c r="I395" i="5"/>
  <c r="J395" i="5"/>
  <c r="B396" i="5"/>
  <c r="C396" i="5"/>
  <c r="D396" i="5"/>
  <c r="E396" i="5"/>
  <c r="F396" i="5"/>
  <c r="G396" i="5"/>
  <c r="H396" i="5"/>
  <c r="I396" i="5"/>
  <c r="J396" i="5"/>
  <c r="B397" i="5"/>
  <c r="C397" i="5"/>
  <c r="D397" i="5"/>
  <c r="E397" i="5"/>
  <c r="F397" i="5"/>
  <c r="G397" i="5"/>
  <c r="H397" i="5"/>
  <c r="I397" i="5"/>
  <c r="J397" i="5"/>
  <c r="B398" i="5"/>
  <c r="C398" i="5"/>
  <c r="D398" i="5"/>
  <c r="E398" i="5"/>
  <c r="F398" i="5"/>
  <c r="G398" i="5"/>
  <c r="H398" i="5"/>
  <c r="I398" i="5"/>
  <c r="J398" i="5"/>
  <c r="B399" i="5"/>
  <c r="C399" i="5"/>
  <c r="D399" i="5"/>
  <c r="E399" i="5"/>
  <c r="F399" i="5"/>
  <c r="G399" i="5"/>
  <c r="H399" i="5"/>
  <c r="I399" i="5"/>
  <c r="J399" i="5"/>
  <c r="B400" i="5"/>
  <c r="C400" i="5"/>
  <c r="D400" i="5"/>
  <c r="E400" i="5"/>
  <c r="F400" i="5"/>
  <c r="G400" i="5"/>
  <c r="H400" i="5"/>
  <c r="I400" i="5"/>
  <c r="J400" i="5"/>
  <c r="B401" i="5"/>
  <c r="C401" i="5"/>
  <c r="D401" i="5"/>
  <c r="E401" i="5"/>
  <c r="F401" i="5"/>
  <c r="G401" i="5"/>
  <c r="H401" i="5"/>
  <c r="I401" i="5"/>
  <c r="J401" i="5"/>
  <c r="B402" i="5"/>
  <c r="C402" i="5"/>
  <c r="D402" i="5"/>
  <c r="E402" i="5"/>
  <c r="F402" i="5"/>
  <c r="G402" i="5"/>
  <c r="H402" i="5"/>
  <c r="I402" i="5"/>
  <c r="J402" i="5"/>
  <c r="B403" i="5"/>
  <c r="C403" i="5"/>
  <c r="D403" i="5"/>
  <c r="E403" i="5"/>
  <c r="F403" i="5"/>
  <c r="G403" i="5"/>
  <c r="H403" i="5"/>
  <c r="I403" i="5"/>
  <c r="J403" i="5"/>
  <c r="B404" i="5"/>
  <c r="C404" i="5"/>
  <c r="D404" i="5"/>
  <c r="E404" i="5"/>
  <c r="F404" i="5"/>
  <c r="G404" i="5"/>
  <c r="H404" i="5"/>
  <c r="I404" i="5"/>
  <c r="J404" i="5"/>
  <c r="B405" i="5"/>
  <c r="C405" i="5"/>
  <c r="D405" i="5"/>
  <c r="E405" i="5"/>
  <c r="F405" i="5"/>
  <c r="G405" i="5"/>
  <c r="H405" i="5"/>
  <c r="I405" i="5"/>
  <c r="J405" i="5"/>
  <c r="B406" i="5"/>
  <c r="C406" i="5"/>
  <c r="D406" i="5"/>
  <c r="E406" i="5"/>
  <c r="F406" i="5"/>
  <c r="G406" i="5"/>
  <c r="H406" i="5"/>
  <c r="I406" i="5"/>
  <c r="J406" i="5"/>
  <c r="B407" i="5"/>
  <c r="C407" i="5"/>
  <c r="D407" i="5"/>
  <c r="E407" i="5"/>
  <c r="F407" i="5"/>
  <c r="G407" i="5"/>
  <c r="H407" i="5"/>
  <c r="I407" i="5"/>
  <c r="J407" i="5"/>
  <c r="B408" i="5"/>
  <c r="C408" i="5"/>
  <c r="D408" i="5"/>
  <c r="E408" i="5"/>
  <c r="F408" i="5"/>
  <c r="G408" i="5"/>
  <c r="H408" i="5"/>
  <c r="I408" i="5"/>
  <c r="J408" i="5"/>
  <c r="B409" i="5"/>
  <c r="C409" i="5"/>
  <c r="D409" i="5"/>
  <c r="E409" i="5"/>
  <c r="F409" i="5"/>
  <c r="G409" i="5"/>
  <c r="H409" i="5"/>
  <c r="I409" i="5"/>
  <c r="J409" i="5"/>
  <c r="B410" i="5"/>
  <c r="C410" i="5"/>
  <c r="D410" i="5"/>
  <c r="E410" i="5"/>
  <c r="F410" i="5"/>
  <c r="G410" i="5"/>
  <c r="H410" i="5"/>
  <c r="I410" i="5"/>
  <c r="J410" i="5"/>
  <c r="B411" i="5"/>
  <c r="C411" i="5"/>
  <c r="D411" i="5"/>
  <c r="E411" i="5"/>
  <c r="F411" i="5"/>
  <c r="G411" i="5"/>
  <c r="H411" i="5"/>
  <c r="I411" i="5"/>
  <c r="J411" i="5"/>
  <c r="B412" i="5"/>
  <c r="C412" i="5"/>
  <c r="D412" i="5"/>
  <c r="E412" i="5"/>
  <c r="F412" i="5"/>
  <c r="G412" i="5"/>
  <c r="H412" i="5"/>
  <c r="I412" i="5"/>
  <c r="J412" i="5"/>
  <c r="B413" i="5"/>
  <c r="C413" i="5"/>
  <c r="D413" i="5"/>
  <c r="E413" i="5"/>
  <c r="F413" i="5"/>
  <c r="G413" i="5"/>
  <c r="H413" i="5"/>
  <c r="I413" i="5"/>
  <c r="J413" i="5"/>
  <c r="B414" i="5"/>
  <c r="C414" i="5"/>
  <c r="D414" i="5"/>
  <c r="E414" i="5"/>
  <c r="F414" i="5"/>
  <c r="G414" i="5"/>
  <c r="H414" i="5"/>
  <c r="I414" i="5"/>
  <c r="J414" i="5"/>
  <c r="B415" i="5"/>
  <c r="C415" i="5"/>
  <c r="D415" i="5"/>
  <c r="E415" i="5"/>
  <c r="F415" i="5"/>
  <c r="G415" i="5"/>
  <c r="H415" i="5"/>
  <c r="I415" i="5"/>
  <c r="J415" i="5"/>
  <c r="B416" i="5"/>
  <c r="C416" i="5"/>
  <c r="D416" i="5"/>
  <c r="E416" i="5"/>
  <c r="F416" i="5"/>
  <c r="G416" i="5"/>
  <c r="H416" i="5"/>
  <c r="I416" i="5"/>
  <c r="J416" i="5"/>
  <c r="B417" i="5"/>
  <c r="C417" i="5"/>
  <c r="D417" i="5"/>
  <c r="E417" i="5"/>
  <c r="F417" i="5"/>
  <c r="G417" i="5"/>
  <c r="H417" i="5"/>
  <c r="I417" i="5"/>
  <c r="J417" i="5"/>
  <c r="B418" i="5"/>
  <c r="C418" i="5"/>
  <c r="D418" i="5"/>
  <c r="E418" i="5"/>
  <c r="F418" i="5"/>
  <c r="G418" i="5"/>
  <c r="H418" i="5"/>
  <c r="I418" i="5"/>
  <c r="J418" i="5"/>
  <c r="B419" i="5"/>
  <c r="C419" i="5"/>
  <c r="D419" i="5"/>
  <c r="E419" i="5"/>
  <c r="F419" i="5"/>
  <c r="G419" i="5"/>
  <c r="H419" i="5"/>
  <c r="I419" i="5"/>
  <c r="J419" i="5"/>
  <c r="B420" i="5"/>
  <c r="C420" i="5"/>
  <c r="D420" i="5"/>
  <c r="E420" i="5"/>
  <c r="F420" i="5"/>
  <c r="G420" i="5"/>
  <c r="H420" i="5"/>
  <c r="I420" i="5"/>
  <c r="J420" i="5"/>
  <c r="B421" i="5"/>
  <c r="C421" i="5"/>
  <c r="D421" i="5"/>
  <c r="E421" i="5"/>
  <c r="F421" i="5"/>
  <c r="G421" i="5"/>
  <c r="H421" i="5"/>
  <c r="I421" i="5"/>
  <c r="J421" i="5"/>
  <c r="B422" i="5"/>
  <c r="C422" i="5"/>
  <c r="D422" i="5"/>
  <c r="E422" i="5"/>
  <c r="F422" i="5"/>
  <c r="G422" i="5"/>
  <c r="H422" i="5"/>
  <c r="I422" i="5"/>
  <c r="J422" i="5"/>
  <c r="B423" i="5"/>
  <c r="C423" i="5"/>
  <c r="D423" i="5"/>
  <c r="E423" i="5"/>
  <c r="F423" i="5"/>
  <c r="G423" i="5"/>
  <c r="H423" i="5"/>
  <c r="I423" i="5"/>
  <c r="J423" i="5"/>
  <c r="B424" i="5"/>
  <c r="C424" i="5"/>
  <c r="D424" i="5"/>
  <c r="E424" i="5"/>
  <c r="F424" i="5"/>
  <c r="G424" i="5"/>
  <c r="H424" i="5"/>
  <c r="I424" i="5"/>
  <c r="J424" i="5"/>
  <c r="B425" i="5"/>
  <c r="C425" i="5"/>
  <c r="D425" i="5"/>
  <c r="E425" i="5"/>
  <c r="F425" i="5"/>
  <c r="G425" i="5"/>
  <c r="H425" i="5"/>
  <c r="I425" i="5"/>
  <c r="J425" i="5"/>
  <c r="B426" i="5"/>
  <c r="C426" i="5"/>
  <c r="D426" i="5"/>
  <c r="E426" i="5"/>
  <c r="F426" i="5"/>
  <c r="G426" i="5"/>
  <c r="H426" i="5"/>
  <c r="I426" i="5"/>
  <c r="J426" i="5"/>
  <c r="B427" i="5"/>
  <c r="C427" i="5"/>
  <c r="D427" i="5"/>
  <c r="E427" i="5"/>
  <c r="F427" i="5"/>
  <c r="G427" i="5"/>
  <c r="H427" i="5"/>
  <c r="I427" i="5"/>
  <c r="J427" i="5"/>
  <c r="B428" i="5"/>
  <c r="C428" i="5"/>
  <c r="D428" i="5"/>
  <c r="E428" i="5"/>
  <c r="F428" i="5"/>
  <c r="G428" i="5"/>
  <c r="H428" i="5"/>
  <c r="I428" i="5"/>
  <c r="J428" i="5"/>
  <c r="B429" i="5"/>
  <c r="C429" i="5"/>
  <c r="D429" i="5"/>
  <c r="E429" i="5"/>
  <c r="F429" i="5"/>
  <c r="G429" i="5"/>
  <c r="H429" i="5"/>
  <c r="I429" i="5"/>
  <c r="J429" i="5"/>
  <c r="B430" i="5"/>
  <c r="C430" i="5"/>
  <c r="D430" i="5"/>
  <c r="E430" i="5"/>
  <c r="F430" i="5"/>
  <c r="G430" i="5"/>
  <c r="H430" i="5"/>
  <c r="I430" i="5"/>
  <c r="J430" i="5"/>
  <c r="B431" i="5"/>
  <c r="C431" i="5"/>
  <c r="D431" i="5"/>
  <c r="E431" i="5"/>
  <c r="F431" i="5"/>
  <c r="G431" i="5"/>
  <c r="H431" i="5"/>
  <c r="I431" i="5"/>
  <c r="J431" i="5"/>
  <c r="B432" i="5"/>
  <c r="C432" i="5"/>
  <c r="D432" i="5"/>
  <c r="E432" i="5"/>
  <c r="F432" i="5"/>
  <c r="G432" i="5"/>
  <c r="H432" i="5"/>
  <c r="I432" i="5"/>
  <c r="J432" i="5"/>
  <c r="B433" i="5"/>
  <c r="C433" i="5"/>
  <c r="D433" i="5"/>
  <c r="E433" i="5"/>
  <c r="F433" i="5"/>
  <c r="G433" i="5"/>
  <c r="H433" i="5"/>
  <c r="I433" i="5"/>
  <c r="J433" i="5"/>
  <c r="B434" i="5"/>
  <c r="C434" i="5"/>
  <c r="D434" i="5"/>
  <c r="E434" i="5"/>
  <c r="F434" i="5"/>
  <c r="G434" i="5"/>
  <c r="H434" i="5"/>
  <c r="I434" i="5"/>
  <c r="J434" i="5"/>
  <c r="B435" i="5"/>
  <c r="C435" i="5"/>
  <c r="D435" i="5"/>
  <c r="E435" i="5"/>
  <c r="F435" i="5"/>
  <c r="G435" i="5"/>
  <c r="H435" i="5"/>
  <c r="I435" i="5"/>
  <c r="J435" i="5"/>
  <c r="B436" i="5"/>
  <c r="C436" i="5"/>
  <c r="D436" i="5"/>
  <c r="E436" i="5"/>
  <c r="F436" i="5"/>
  <c r="G436" i="5"/>
  <c r="H436" i="5"/>
  <c r="I436" i="5"/>
  <c r="J436" i="5"/>
  <c r="B437" i="5"/>
  <c r="C437" i="5"/>
  <c r="D437" i="5"/>
  <c r="E437" i="5"/>
  <c r="F437" i="5"/>
  <c r="G437" i="5"/>
  <c r="H437" i="5"/>
  <c r="I437" i="5"/>
  <c r="J437" i="5"/>
  <c r="B438" i="5"/>
  <c r="C438" i="5"/>
  <c r="D438" i="5"/>
  <c r="E438" i="5"/>
  <c r="F438" i="5"/>
  <c r="G438" i="5"/>
  <c r="H438" i="5"/>
  <c r="I438" i="5"/>
  <c r="J438" i="5"/>
  <c r="B439" i="5"/>
  <c r="C439" i="5"/>
  <c r="D439" i="5"/>
  <c r="E439" i="5"/>
  <c r="F439" i="5"/>
  <c r="G439" i="5"/>
  <c r="H439" i="5"/>
  <c r="I439" i="5"/>
  <c r="J439" i="5"/>
  <c r="B440" i="5"/>
  <c r="C440" i="5"/>
  <c r="D440" i="5"/>
  <c r="E440" i="5"/>
  <c r="F440" i="5"/>
  <c r="G440" i="5"/>
  <c r="H440" i="5"/>
  <c r="I440" i="5"/>
  <c r="J440" i="5"/>
  <c r="B441" i="5"/>
  <c r="C441" i="5"/>
  <c r="D441" i="5"/>
  <c r="E441" i="5"/>
  <c r="F441" i="5"/>
  <c r="G441" i="5"/>
  <c r="H441" i="5"/>
  <c r="I441" i="5"/>
  <c r="J441" i="5"/>
  <c r="B442" i="5"/>
  <c r="C442" i="5"/>
  <c r="D442" i="5"/>
  <c r="E442" i="5"/>
  <c r="F442" i="5"/>
  <c r="G442" i="5"/>
  <c r="H442" i="5"/>
  <c r="I442" i="5"/>
  <c r="J442" i="5"/>
  <c r="B443" i="5"/>
  <c r="C443" i="5"/>
  <c r="D443" i="5"/>
  <c r="E443" i="5"/>
  <c r="F443" i="5"/>
  <c r="G443" i="5"/>
  <c r="H443" i="5"/>
  <c r="I443" i="5"/>
  <c r="J443" i="5"/>
  <c r="B444" i="5"/>
  <c r="C444" i="5"/>
  <c r="D444" i="5"/>
  <c r="E444" i="5"/>
  <c r="F444" i="5"/>
  <c r="G444" i="5"/>
  <c r="H444" i="5"/>
  <c r="I444" i="5"/>
  <c r="J444" i="5"/>
  <c r="B445" i="5"/>
  <c r="C445" i="5"/>
  <c r="D445" i="5"/>
  <c r="E445" i="5"/>
  <c r="F445" i="5"/>
  <c r="G445" i="5"/>
  <c r="H445" i="5"/>
  <c r="I445" i="5"/>
  <c r="J445" i="5"/>
  <c r="B446" i="5"/>
  <c r="C446" i="5"/>
  <c r="D446" i="5"/>
  <c r="E446" i="5"/>
  <c r="F446" i="5"/>
  <c r="G446" i="5"/>
  <c r="H446" i="5"/>
  <c r="I446" i="5"/>
  <c r="J446" i="5"/>
  <c r="B447" i="5"/>
  <c r="C447" i="5"/>
  <c r="D447" i="5"/>
  <c r="E447" i="5"/>
  <c r="F447" i="5"/>
  <c r="G447" i="5"/>
  <c r="H447" i="5"/>
  <c r="I447" i="5"/>
  <c r="J447" i="5"/>
  <c r="B448" i="5"/>
  <c r="C448" i="5"/>
  <c r="D448" i="5"/>
  <c r="E448" i="5"/>
  <c r="F448" i="5"/>
  <c r="G448" i="5"/>
  <c r="H448" i="5"/>
  <c r="I448" i="5"/>
  <c r="J448" i="5"/>
  <c r="B449" i="5"/>
  <c r="C449" i="5"/>
  <c r="D449" i="5"/>
  <c r="E449" i="5"/>
  <c r="F449" i="5"/>
  <c r="G449" i="5"/>
  <c r="H449" i="5"/>
  <c r="I449" i="5"/>
  <c r="J449" i="5"/>
  <c r="B450" i="5"/>
  <c r="C450" i="5"/>
  <c r="D450" i="5"/>
  <c r="E450" i="5"/>
  <c r="F450" i="5"/>
  <c r="G450" i="5"/>
  <c r="H450" i="5"/>
  <c r="I450" i="5"/>
  <c r="J450" i="5"/>
  <c r="B451" i="5"/>
  <c r="C451" i="5"/>
  <c r="D451" i="5"/>
  <c r="E451" i="5"/>
  <c r="F451" i="5"/>
  <c r="G451" i="5"/>
  <c r="H451" i="5"/>
  <c r="I451" i="5"/>
  <c r="J451" i="5"/>
  <c r="B452" i="5"/>
  <c r="C452" i="5"/>
  <c r="D452" i="5"/>
  <c r="E452" i="5"/>
  <c r="F452" i="5"/>
  <c r="G452" i="5"/>
  <c r="H452" i="5"/>
  <c r="I452" i="5"/>
  <c r="J452" i="5"/>
  <c r="B453" i="5"/>
  <c r="C453" i="5"/>
  <c r="D453" i="5"/>
  <c r="E453" i="5"/>
  <c r="F453" i="5"/>
  <c r="G453" i="5"/>
  <c r="H453" i="5"/>
  <c r="I453" i="5"/>
  <c r="J453" i="5"/>
  <c r="B454" i="5"/>
  <c r="C454" i="5"/>
  <c r="D454" i="5"/>
  <c r="E454" i="5"/>
  <c r="F454" i="5"/>
  <c r="G454" i="5"/>
  <c r="H454" i="5"/>
  <c r="I454" i="5"/>
  <c r="J454" i="5"/>
  <c r="B455" i="5"/>
  <c r="C455" i="5"/>
  <c r="D455" i="5"/>
  <c r="E455" i="5"/>
  <c r="F455" i="5"/>
  <c r="G455" i="5"/>
  <c r="H455" i="5"/>
  <c r="I455" i="5"/>
  <c r="J455" i="5"/>
  <c r="B456" i="5"/>
  <c r="C456" i="5"/>
  <c r="D456" i="5"/>
  <c r="E456" i="5"/>
  <c r="F456" i="5"/>
  <c r="G456" i="5"/>
  <c r="H456" i="5"/>
  <c r="I456" i="5"/>
  <c r="J456" i="5"/>
  <c r="B457" i="5"/>
  <c r="C457" i="5"/>
  <c r="D457" i="5"/>
  <c r="E457" i="5"/>
  <c r="F457" i="5"/>
  <c r="G457" i="5"/>
  <c r="H457" i="5"/>
  <c r="I457" i="5"/>
  <c r="J457" i="5"/>
  <c r="B458" i="5"/>
  <c r="C458" i="5"/>
  <c r="D458" i="5"/>
  <c r="E458" i="5"/>
  <c r="F458" i="5"/>
  <c r="G458" i="5"/>
  <c r="H458" i="5"/>
  <c r="I458" i="5"/>
  <c r="J458" i="5"/>
  <c r="B459" i="5"/>
  <c r="C459" i="5"/>
  <c r="D459" i="5"/>
  <c r="E459" i="5"/>
  <c r="F459" i="5"/>
  <c r="G459" i="5"/>
  <c r="H459" i="5"/>
  <c r="I459" i="5"/>
  <c r="J459" i="5"/>
  <c r="B460" i="5"/>
  <c r="C460" i="5"/>
  <c r="D460" i="5"/>
  <c r="E460" i="5"/>
  <c r="F460" i="5"/>
  <c r="G460" i="5"/>
  <c r="H460" i="5"/>
  <c r="I460" i="5"/>
  <c r="J460" i="5"/>
  <c r="B461" i="5"/>
  <c r="C461" i="5"/>
  <c r="D461" i="5"/>
  <c r="E461" i="5"/>
  <c r="F461" i="5"/>
  <c r="G461" i="5"/>
  <c r="H461" i="5"/>
  <c r="I461" i="5"/>
  <c r="J461" i="5"/>
  <c r="B462" i="5"/>
  <c r="C462" i="5"/>
  <c r="D462" i="5"/>
  <c r="E462" i="5"/>
  <c r="F462" i="5"/>
  <c r="G462" i="5"/>
  <c r="H462" i="5"/>
  <c r="I462" i="5"/>
  <c r="J462" i="5"/>
  <c r="B463" i="5"/>
  <c r="C463" i="5"/>
  <c r="D463" i="5"/>
  <c r="E463" i="5"/>
  <c r="F463" i="5"/>
  <c r="G463" i="5"/>
  <c r="H463" i="5"/>
  <c r="I463" i="5"/>
  <c r="J463" i="5"/>
  <c r="B464" i="5"/>
  <c r="C464" i="5"/>
  <c r="D464" i="5"/>
  <c r="E464" i="5"/>
  <c r="F464" i="5"/>
  <c r="G464" i="5"/>
  <c r="H464" i="5"/>
  <c r="I464" i="5"/>
  <c r="J464" i="5"/>
  <c r="B465" i="5"/>
  <c r="C465" i="5"/>
  <c r="D465" i="5"/>
  <c r="E465" i="5"/>
  <c r="F465" i="5"/>
  <c r="G465" i="5"/>
  <c r="H465" i="5"/>
  <c r="I465" i="5"/>
  <c r="J465" i="5"/>
  <c r="B466" i="5"/>
  <c r="C466" i="5"/>
  <c r="D466" i="5"/>
  <c r="E466" i="5"/>
  <c r="F466" i="5"/>
  <c r="G466" i="5"/>
  <c r="H466" i="5"/>
  <c r="I466" i="5"/>
  <c r="J466" i="5"/>
  <c r="B467" i="5"/>
  <c r="C467" i="5"/>
  <c r="D467" i="5"/>
  <c r="E467" i="5"/>
  <c r="F467" i="5"/>
  <c r="G467" i="5"/>
  <c r="H467" i="5"/>
  <c r="I467" i="5"/>
  <c r="J467" i="5"/>
  <c r="B468" i="5"/>
  <c r="C468" i="5"/>
  <c r="D468" i="5"/>
  <c r="E468" i="5"/>
  <c r="F468" i="5"/>
  <c r="G468" i="5"/>
  <c r="H468" i="5"/>
  <c r="I468" i="5"/>
  <c r="J468" i="5"/>
  <c r="B469" i="5"/>
  <c r="C469" i="5"/>
  <c r="D469" i="5"/>
  <c r="E469" i="5"/>
  <c r="F469" i="5"/>
  <c r="G469" i="5"/>
  <c r="H469" i="5"/>
  <c r="I469" i="5"/>
  <c r="J469" i="5"/>
  <c r="B470" i="5"/>
  <c r="C470" i="5"/>
  <c r="D470" i="5"/>
  <c r="E470" i="5"/>
  <c r="F470" i="5"/>
  <c r="G470" i="5"/>
  <c r="H470" i="5"/>
  <c r="I470" i="5"/>
  <c r="J470" i="5"/>
  <c r="B471" i="5"/>
  <c r="C471" i="5"/>
  <c r="D471" i="5"/>
  <c r="E471" i="5"/>
  <c r="F471" i="5"/>
  <c r="G471" i="5"/>
  <c r="H471" i="5"/>
  <c r="I471" i="5"/>
  <c r="J471" i="5"/>
  <c r="B472" i="5"/>
  <c r="C472" i="5"/>
  <c r="D472" i="5"/>
  <c r="E472" i="5"/>
  <c r="F472" i="5"/>
  <c r="G472" i="5"/>
  <c r="H472" i="5"/>
  <c r="I472" i="5"/>
  <c r="J472" i="5"/>
  <c r="B473" i="5"/>
  <c r="C473" i="5"/>
  <c r="D473" i="5"/>
  <c r="E473" i="5"/>
  <c r="F473" i="5"/>
  <c r="G473" i="5"/>
  <c r="H473" i="5"/>
  <c r="I473" i="5"/>
  <c r="J473" i="5"/>
  <c r="B474" i="5"/>
  <c r="C474" i="5"/>
  <c r="D474" i="5"/>
  <c r="E474" i="5"/>
  <c r="F474" i="5"/>
  <c r="G474" i="5"/>
  <c r="H474" i="5"/>
  <c r="I474" i="5"/>
  <c r="J474" i="5"/>
  <c r="B475" i="5"/>
  <c r="C475" i="5"/>
  <c r="D475" i="5"/>
  <c r="E475" i="5"/>
  <c r="F475" i="5"/>
  <c r="G475" i="5"/>
  <c r="H475" i="5"/>
  <c r="I475" i="5"/>
  <c r="J475" i="5"/>
  <c r="B476" i="5"/>
  <c r="C476" i="5"/>
  <c r="D476" i="5"/>
  <c r="E476" i="5"/>
  <c r="F476" i="5"/>
  <c r="G476" i="5"/>
  <c r="H476" i="5"/>
  <c r="I476" i="5"/>
  <c r="J476" i="5"/>
  <c r="B477" i="5"/>
  <c r="C477" i="5"/>
  <c r="D477" i="5"/>
  <c r="E477" i="5"/>
  <c r="F477" i="5"/>
  <c r="G477" i="5"/>
  <c r="H477" i="5"/>
  <c r="I477" i="5"/>
  <c r="J477" i="5"/>
  <c r="B478" i="5"/>
  <c r="C478" i="5"/>
  <c r="D478" i="5"/>
  <c r="E478" i="5"/>
  <c r="F478" i="5"/>
  <c r="G478" i="5"/>
  <c r="H478" i="5"/>
  <c r="I478" i="5"/>
  <c r="J478" i="5"/>
  <c r="B479" i="5"/>
  <c r="C479" i="5"/>
  <c r="D479" i="5"/>
  <c r="E479" i="5"/>
  <c r="F479" i="5"/>
  <c r="G479" i="5"/>
  <c r="H479" i="5"/>
  <c r="I479" i="5"/>
  <c r="J479" i="5"/>
  <c r="B480" i="5"/>
  <c r="C480" i="5"/>
  <c r="D480" i="5"/>
  <c r="E480" i="5"/>
  <c r="F480" i="5"/>
  <c r="G480" i="5"/>
  <c r="H480" i="5"/>
  <c r="I480" i="5"/>
  <c r="J480" i="5"/>
  <c r="B481" i="5"/>
  <c r="C481" i="5"/>
  <c r="D481" i="5"/>
  <c r="E481" i="5"/>
  <c r="F481" i="5"/>
  <c r="G481" i="5"/>
  <c r="H481" i="5"/>
  <c r="I481" i="5"/>
  <c r="J481" i="5"/>
  <c r="B482" i="5"/>
  <c r="C482" i="5"/>
  <c r="D482" i="5"/>
  <c r="E482" i="5"/>
  <c r="F482" i="5"/>
  <c r="G482" i="5"/>
  <c r="H482" i="5"/>
  <c r="I482" i="5"/>
  <c r="J482" i="5"/>
  <c r="B483" i="5"/>
  <c r="C483" i="5"/>
  <c r="D483" i="5"/>
  <c r="E483" i="5"/>
  <c r="F483" i="5"/>
  <c r="G483" i="5"/>
  <c r="H483" i="5"/>
  <c r="I483" i="5"/>
  <c r="J483" i="5"/>
  <c r="B484" i="5"/>
  <c r="C484" i="5"/>
  <c r="D484" i="5"/>
  <c r="E484" i="5"/>
  <c r="F484" i="5"/>
  <c r="G484" i="5"/>
  <c r="H484" i="5"/>
  <c r="I484" i="5"/>
  <c r="J484" i="5"/>
  <c r="B485" i="5"/>
  <c r="C485" i="5"/>
  <c r="D485" i="5"/>
  <c r="E485" i="5"/>
  <c r="F485" i="5"/>
  <c r="G485" i="5"/>
  <c r="H485" i="5"/>
  <c r="I485" i="5"/>
  <c r="J485" i="5"/>
  <c r="B486" i="5"/>
  <c r="C486" i="5"/>
  <c r="D486" i="5"/>
  <c r="E486" i="5"/>
  <c r="F486" i="5"/>
  <c r="G486" i="5"/>
  <c r="H486" i="5"/>
  <c r="I486" i="5"/>
  <c r="J486" i="5"/>
  <c r="B487" i="5"/>
  <c r="C487" i="5"/>
  <c r="D487" i="5"/>
  <c r="E487" i="5"/>
  <c r="F487" i="5"/>
  <c r="G487" i="5"/>
  <c r="H487" i="5"/>
  <c r="I487" i="5"/>
  <c r="J487" i="5"/>
  <c r="B488" i="5"/>
  <c r="C488" i="5"/>
  <c r="D488" i="5"/>
  <c r="E488" i="5"/>
  <c r="F488" i="5"/>
  <c r="G488" i="5"/>
  <c r="H488" i="5"/>
  <c r="I488" i="5"/>
  <c r="J488" i="5"/>
  <c r="B489" i="5"/>
  <c r="C489" i="5"/>
  <c r="D489" i="5"/>
  <c r="E489" i="5"/>
  <c r="F489" i="5"/>
  <c r="G489" i="5"/>
  <c r="H489" i="5"/>
  <c r="I489" i="5"/>
  <c r="J489" i="5"/>
  <c r="B490" i="5"/>
  <c r="C490" i="5"/>
  <c r="D490" i="5"/>
  <c r="E490" i="5"/>
  <c r="F490" i="5"/>
  <c r="G490" i="5"/>
  <c r="H490" i="5"/>
  <c r="I490" i="5"/>
  <c r="J490" i="5"/>
  <c r="B491" i="5"/>
  <c r="C491" i="5"/>
  <c r="D491" i="5"/>
  <c r="E491" i="5"/>
  <c r="F491" i="5"/>
  <c r="G491" i="5"/>
  <c r="H491" i="5"/>
  <c r="I491" i="5"/>
  <c r="J491" i="5"/>
  <c r="B492" i="5"/>
  <c r="C492" i="5"/>
  <c r="D492" i="5"/>
  <c r="E492" i="5"/>
  <c r="F492" i="5"/>
  <c r="G492" i="5"/>
  <c r="H492" i="5"/>
  <c r="I492" i="5"/>
  <c r="J492" i="5"/>
  <c r="B493" i="5"/>
  <c r="C493" i="5"/>
  <c r="D493" i="5"/>
  <c r="E493" i="5"/>
  <c r="F493" i="5"/>
  <c r="G493" i="5"/>
  <c r="H493" i="5"/>
  <c r="I493" i="5"/>
  <c r="J493" i="5"/>
  <c r="B494" i="5"/>
  <c r="C494" i="5"/>
  <c r="D494" i="5"/>
  <c r="E494" i="5"/>
  <c r="F494" i="5"/>
  <c r="G494" i="5"/>
  <c r="H494" i="5"/>
  <c r="I494" i="5"/>
  <c r="J494" i="5"/>
  <c r="B495" i="5"/>
  <c r="C495" i="5"/>
  <c r="D495" i="5"/>
  <c r="E495" i="5"/>
  <c r="F495" i="5"/>
  <c r="G495" i="5"/>
  <c r="H495" i="5"/>
  <c r="I495" i="5"/>
  <c r="J495" i="5"/>
  <c r="B496" i="5"/>
  <c r="C496" i="5"/>
  <c r="D496" i="5"/>
  <c r="E496" i="5"/>
  <c r="F496" i="5"/>
  <c r="G496" i="5"/>
  <c r="H496" i="5"/>
  <c r="I496" i="5"/>
  <c r="J496" i="5"/>
  <c r="B497" i="5"/>
  <c r="C497" i="5"/>
  <c r="D497" i="5"/>
  <c r="E497" i="5"/>
  <c r="F497" i="5"/>
  <c r="G497" i="5"/>
  <c r="H497" i="5"/>
  <c r="I497" i="5"/>
  <c r="J497" i="5"/>
  <c r="B498" i="5"/>
  <c r="C498" i="5"/>
  <c r="D498" i="5"/>
  <c r="E498" i="5"/>
  <c r="F498" i="5"/>
  <c r="G498" i="5"/>
  <c r="H498" i="5"/>
  <c r="I498" i="5"/>
  <c r="J498" i="5"/>
  <c r="B499" i="5"/>
  <c r="C499" i="5"/>
  <c r="D499" i="5"/>
  <c r="E499" i="5"/>
  <c r="F499" i="5"/>
  <c r="G499" i="5"/>
  <c r="H499" i="5"/>
  <c r="I499" i="5"/>
  <c r="J499" i="5"/>
  <c r="B500" i="5"/>
  <c r="C500" i="5"/>
  <c r="D500" i="5"/>
  <c r="E500" i="5"/>
  <c r="F500" i="5"/>
  <c r="G500" i="5"/>
  <c r="H500" i="5"/>
  <c r="I500" i="5"/>
  <c r="J500" i="5"/>
  <c r="B501" i="5"/>
  <c r="C501" i="5"/>
  <c r="D501" i="5"/>
  <c r="E501" i="5"/>
  <c r="F501" i="5"/>
  <c r="G501" i="5"/>
  <c r="H501" i="5"/>
  <c r="I501" i="5"/>
  <c r="J501" i="5"/>
  <c r="B502" i="5"/>
  <c r="C502" i="5"/>
  <c r="D502" i="5"/>
  <c r="E502" i="5"/>
  <c r="F502" i="5"/>
  <c r="G502" i="5"/>
  <c r="H502" i="5"/>
  <c r="I502" i="5"/>
  <c r="J502" i="5"/>
  <c r="B503" i="5"/>
  <c r="C503" i="5"/>
  <c r="D503" i="5"/>
  <c r="E503" i="5"/>
  <c r="F503" i="5"/>
  <c r="G503" i="5"/>
  <c r="H503" i="5"/>
  <c r="I503" i="5"/>
  <c r="J503" i="5"/>
  <c r="B504" i="5"/>
  <c r="C504" i="5"/>
  <c r="D504" i="5"/>
  <c r="E504" i="5"/>
  <c r="F504" i="5"/>
  <c r="G504" i="5"/>
  <c r="H504" i="5"/>
  <c r="I504" i="5"/>
  <c r="J504" i="5"/>
  <c r="B505" i="5"/>
  <c r="C505" i="5"/>
  <c r="D505" i="5"/>
  <c r="E505" i="5"/>
  <c r="F505" i="5"/>
  <c r="G505" i="5"/>
  <c r="H505" i="5"/>
  <c r="I505" i="5"/>
  <c r="J505" i="5"/>
  <c r="B506" i="5"/>
  <c r="C506" i="5"/>
  <c r="D506" i="5"/>
  <c r="E506" i="5"/>
  <c r="F506" i="5"/>
  <c r="G506" i="5"/>
  <c r="H506" i="5"/>
  <c r="I506" i="5"/>
  <c r="J506" i="5"/>
  <c r="B507" i="5"/>
  <c r="C507" i="5"/>
  <c r="D507" i="5"/>
  <c r="E507" i="5"/>
  <c r="F507" i="5"/>
  <c r="G507" i="5"/>
  <c r="H507" i="5"/>
  <c r="I507" i="5"/>
  <c r="J507" i="5"/>
  <c r="B508" i="5"/>
  <c r="C508" i="5"/>
  <c r="D508" i="5"/>
  <c r="E508" i="5"/>
  <c r="F508" i="5"/>
  <c r="G508" i="5"/>
  <c r="H508" i="5"/>
  <c r="I508" i="5"/>
  <c r="J508" i="5"/>
  <c r="B509" i="5"/>
  <c r="C509" i="5"/>
  <c r="D509" i="5"/>
  <c r="E509" i="5"/>
  <c r="F509" i="5"/>
  <c r="G509" i="5"/>
  <c r="H509" i="5"/>
  <c r="I509" i="5"/>
  <c r="J509" i="5"/>
  <c r="B510" i="5"/>
  <c r="C510" i="5"/>
  <c r="D510" i="5"/>
  <c r="E510" i="5"/>
  <c r="F510" i="5"/>
  <c r="G510" i="5"/>
  <c r="H510" i="5"/>
  <c r="I510" i="5"/>
  <c r="J510" i="5"/>
  <c r="B511" i="5"/>
  <c r="C511" i="5"/>
  <c r="D511" i="5"/>
  <c r="E511" i="5"/>
  <c r="F511" i="5"/>
  <c r="G511" i="5"/>
  <c r="H511" i="5"/>
  <c r="I511" i="5"/>
  <c r="J511" i="5"/>
  <c r="B512" i="5"/>
  <c r="C512" i="5"/>
  <c r="D512" i="5"/>
  <c r="E512" i="5"/>
  <c r="F512" i="5"/>
  <c r="G512" i="5"/>
  <c r="H512" i="5"/>
  <c r="I512" i="5"/>
  <c r="J512" i="5"/>
  <c r="B513" i="5"/>
  <c r="C513" i="5"/>
  <c r="D513" i="5"/>
  <c r="E513" i="5"/>
  <c r="F513" i="5"/>
  <c r="G513" i="5"/>
  <c r="H513" i="5"/>
  <c r="I513" i="5"/>
  <c r="J513" i="5"/>
  <c r="B514" i="5"/>
  <c r="C514" i="5"/>
  <c r="D514" i="5"/>
  <c r="E514" i="5"/>
  <c r="F514" i="5"/>
  <c r="G514" i="5"/>
  <c r="H514" i="5"/>
  <c r="I514" i="5"/>
  <c r="J514" i="5"/>
  <c r="B515" i="5"/>
  <c r="C515" i="5"/>
  <c r="D515" i="5"/>
  <c r="E515" i="5"/>
  <c r="F515" i="5"/>
  <c r="G515" i="5"/>
  <c r="H515" i="5"/>
  <c r="I515" i="5"/>
  <c r="J515" i="5"/>
  <c r="B516" i="5"/>
  <c r="C516" i="5"/>
  <c r="D516" i="5"/>
  <c r="E516" i="5"/>
  <c r="F516" i="5"/>
  <c r="G516" i="5"/>
  <c r="H516" i="5"/>
  <c r="I516" i="5"/>
  <c r="J516" i="5"/>
  <c r="B517" i="5"/>
  <c r="C517" i="5"/>
  <c r="D517" i="5"/>
  <c r="E517" i="5"/>
  <c r="F517" i="5"/>
  <c r="G517" i="5"/>
  <c r="H517" i="5"/>
  <c r="I517" i="5"/>
  <c r="J517" i="5"/>
  <c r="B518" i="5"/>
  <c r="C518" i="5"/>
  <c r="D518" i="5"/>
  <c r="E518" i="5"/>
  <c r="F518" i="5"/>
  <c r="G518" i="5"/>
  <c r="H518" i="5"/>
  <c r="I518" i="5"/>
  <c r="J518" i="5"/>
  <c r="B519" i="5"/>
  <c r="C519" i="5"/>
  <c r="D519" i="5"/>
  <c r="E519" i="5"/>
  <c r="F519" i="5"/>
  <c r="G519" i="5"/>
  <c r="H519" i="5"/>
  <c r="I519" i="5"/>
  <c r="J519" i="5"/>
  <c r="B520" i="5"/>
  <c r="C520" i="5"/>
  <c r="D520" i="5"/>
  <c r="E520" i="5"/>
  <c r="F520" i="5"/>
  <c r="G520" i="5"/>
  <c r="H520" i="5"/>
  <c r="I520" i="5"/>
  <c r="J520" i="5"/>
  <c r="B521" i="5"/>
  <c r="C521" i="5"/>
  <c r="D521" i="5"/>
  <c r="E521" i="5"/>
  <c r="F521" i="5"/>
  <c r="G521" i="5"/>
  <c r="H521" i="5"/>
  <c r="I521" i="5"/>
  <c r="J521" i="5"/>
  <c r="B522" i="5"/>
  <c r="C522" i="5"/>
  <c r="D522" i="5"/>
  <c r="E522" i="5"/>
  <c r="F522" i="5"/>
  <c r="G522" i="5"/>
  <c r="H522" i="5"/>
  <c r="I522" i="5"/>
  <c r="J522" i="5"/>
  <c r="B523" i="5"/>
  <c r="C523" i="5"/>
  <c r="D523" i="5"/>
  <c r="E523" i="5"/>
  <c r="F523" i="5"/>
  <c r="G523" i="5"/>
  <c r="H523" i="5"/>
  <c r="I523" i="5"/>
  <c r="J523" i="5"/>
  <c r="B524" i="5"/>
  <c r="C524" i="5"/>
  <c r="D524" i="5"/>
  <c r="E524" i="5"/>
  <c r="F524" i="5"/>
  <c r="G524" i="5"/>
  <c r="H524" i="5"/>
  <c r="I524" i="5"/>
  <c r="J524" i="5"/>
  <c r="B525" i="5"/>
  <c r="C525" i="5"/>
  <c r="D525" i="5"/>
  <c r="E525" i="5"/>
  <c r="F525" i="5"/>
  <c r="G525" i="5"/>
  <c r="H525" i="5"/>
  <c r="I525" i="5"/>
  <c r="J525" i="5"/>
  <c r="B526" i="5"/>
  <c r="C526" i="5"/>
  <c r="D526" i="5"/>
  <c r="E526" i="5"/>
  <c r="F526" i="5"/>
  <c r="G526" i="5"/>
  <c r="H526" i="5"/>
  <c r="I526" i="5"/>
  <c r="J526" i="5"/>
  <c r="B527" i="5"/>
  <c r="C527" i="5"/>
  <c r="D527" i="5"/>
  <c r="E527" i="5"/>
  <c r="F527" i="5"/>
  <c r="G527" i="5"/>
  <c r="H527" i="5"/>
  <c r="I527" i="5"/>
  <c r="J527" i="5"/>
  <c r="B528" i="5"/>
  <c r="C528" i="5"/>
  <c r="D528" i="5"/>
  <c r="E528" i="5"/>
  <c r="F528" i="5"/>
  <c r="G528" i="5"/>
  <c r="H528" i="5"/>
  <c r="I528" i="5"/>
  <c r="J528" i="5"/>
  <c r="B529" i="5"/>
  <c r="C529" i="5"/>
  <c r="D529" i="5"/>
  <c r="E529" i="5"/>
  <c r="F529" i="5"/>
  <c r="G529" i="5"/>
  <c r="H529" i="5"/>
  <c r="I529" i="5"/>
  <c r="J529" i="5"/>
  <c r="B530" i="5"/>
  <c r="C530" i="5"/>
  <c r="D530" i="5"/>
  <c r="E530" i="5"/>
  <c r="F530" i="5"/>
  <c r="G530" i="5"/>
  <c r="H530" i="5"/>
  <c r="I530" i="5"/>
  <c r="J530" i="5"/>
  <c r="B531" i="5"/>
  <c r="C531" i="5"/>
  <c r="D531" i="5"/>
  <c r="E531" i="5"/>
  <c r="F531" i="5"/>
  <c r="G531" i="5"/>
  <c r="H531" i="5"/>
  <c r="I531" i="5"/>
  <c r="J531" i="5"/>
  <c r="B532" i="5"/>
  <c r="C532" i="5"/>
  <c r="D532" i="5"/>
  <c r="E532" i="5"/>
  <c r="F532" i="5"/>
  <c r="G532" i="5"/>
  <c r="H532" i="5"/>
  <c r="I532" i="5"/>
  <c r="J532" i="5"/>
  <c r="B533" i="5"/>
  <c r="C533" i="5"/>
  <c r="D533" i="5"/>
  <c r="E533" i="5"/>
  <c r="F533" i="5"/>
  <c r="G533" i="5"/>
  <c r="H533" i="5"/>
  <c r="I533" i="5"/>
  <c r="J533" i="5"/>
  <c r="B534" i="5"/>
  <c r="C534" i="5"/>
  <c r="D534" i="5"/>
  <c r="E534" i="5"/>
  <c r="F534" i="5"/>
  <c r="G534" i="5"/>
  <c r="H534" i="5"/>
  <c r="I534" i="5"/>
  <c r="J534" i="5"/>
  <c r="B535" i="5"/>
  <c r="C535" i="5"/>
  <c r="D535" i="5"/>
  <c r="E535" i="5"/>
  <c r="F535" i="5"/>
  <c r="G535" i="5"/>
  <c r="H535" i="5"/>
  <c r="I535" i="5"/>
  <c r="J535" i="5"/>
  <c r="B536" i="5"/>
  <c r="C536" i="5"/>
  <c r="D536" i="5"/>
  <c r="E536" i="5"/>
  <c r="F536" i="5"/>
  <c r="G536" i="5"/>
  <c r="H536" i="5"/>
  <c r="I536" i="5"/>
  <c r="J536" i="5"/>
  <c r="B537" i="5"/>
  <c r="C537" i="5"/>
  <c r="D537" i="5"/>
  <c r="E537" i="5"/>
  <c r="F537" i="5"/>
  <c r="G537" i="5"/>
  <c r="H537" i="5"/>
  <c r="I537" i="5"/>
  <c r="J537" i="5"/>
  <c r="B538" i="5"/>
  <c r="C538" i="5"/>
  <c r="D538" i="5"/>
  <c r="E538" i="5"/>
  <c r="F538" i="5"/>
  <c r="G538" i="5"/>
  <c r="H538" i="5"/>
  <c r="I538" i="5"/>
  <c r="J538" i="5"/>
  <c r="B539" i="5"/>
  <c r="C539" i="5"/>
  <c r="D539" i="5"/>
  <c r="E539" i="5"/>
  <c r="F539" i="5"/>
  <c r="G539" i="5"/>
  <c r="H539" i="5"/>
  <c r="I539" i="5"/>
  <c r="J539" i="5"/>
  <c r="B540" i="5"/>
  <c r="C540" i="5"/>
  <c r="D540" i="5"/>
  <c r="E540" i="5"/>
  <c r="F540" i="5"/>
  <c r="G540" i="5"/>
  <c r="H540" i="5"/>
  <c r="I540" i="5"/>
  <c r="J540" i="5"/>
  <c r="B541" i="5"/>
  <c r="C541" i="5"/>
  <c r="D541" i="5"/>
  <c r="E541" i="5"/>
  <c r="F541" i="5"/>
  <c r="G541" i="5"/>
  <c r="H541" i="5"/>
  <c r="I541" i="5"/>
  <c r="J541" i="5"/>
  <c r="B542" i="5"/>
  <c r="C542" i="5"/>
  <c r="D542" i="5"/>
  <c r="E542" i="5"/>
  <c r="F542" i="5"/>
  <c r="G542" i="5"/>
  <c r="H542" i="5"/>
  <c r="I542" i="5"/>
  <c r="J542" i="5"/>
  <c r="B543" i="5"/>
  <c r="C543" i="5"/>
  <c r="D543" i="5"/>
  <c r="E543" i="5"/>
  <c r="F543" i="5"/>
  <c r="G543" i="5"/>
  <c r="H543" i="5"/>
  <c r="I543" i="5"/>
  <c r="J543" i="5"/>
  <c r="B544" i="5"/>
  <c r="C544" i="5"/>
  <c r="D544" i="5"/>
  <c r="E544" i="5"/>
  <c r="F544" i="5"/>
  <c r="G544" i="5"/>
  <c r="H544" i="5"/>
  <c r="I544" i="5"/>
  <c r="J544" i="5"/>
  <c r="B545" i="5"/>
  <c r="C545" i="5"/>
  <c r="D545" i="5"/>
  <c r="E545" i="5"/>
  <c r="F545" i="5"/>
  <c r="G545" i="5"/>
  <c r="H545" i="5"/>
  <c r="I545" i="5"/>
  <c r="J545" i="5"/>
  <c r="B546" i="5"/>
  <c r="C546" i="5"/>
  <c r="D546" i="5"/>
  <c r="E546" i="5"/>
  <c r="F546" i="5"/>
  <c r="G546" i="5"/>
  <c r="H546" i="5"/>
  <c r="I546" i="5"/>
  <c r="J546" i="5"/>
  <c r="B547" i="5"/>
  <c r="C547" i="5"/>
  <c r="D547" i="5"/>
  <c r="E547" i="5"/>
  <c r="F547" i="5"/>
  <c r="G547" i="5"/>
  <c r="H547" i="5"/>
  <c r="I547" i="5"/>
  <c r="J547" i="5"/>
  <c r="B548" i="5"/>
  <c r="C548" i="5"/>
  <c r="D548" i="5"/>
  <c r="E548" i="5"/>
  <c r="F548" i="5"/>
  <c r="G548" i="5"/>
  <c r="H548" i="5"/>
  <c r="I548" i="5"/>
  <c r="J548" i="5"/>
  <c r="B549" i="5"/>
  <c r="C549" i="5"/>
  <c r="D549" i="5"/>
  <c r="E549" i="5"/>
  <c r="F549" i="5"/>
  <c r="G549" i="5"/>
  <c r="H549" i="5"/>
  <c r="I549" i="5"/>
  <c r="J549" i="5"/>
  <c r="B550" i="5"/>
  <c r="C550" i="5"/>
  <c r="D550" i="5"/>
  <c r="E550" i="5"/>
  <c r="F550" i="5"/>
  <c r="G550" i="5"/>
  <c r="H550" i="5"/>
  <c r="I550" i="5"/>
  <c r="J550" i="5"/>
  <c r="B551" i="5"/>
  <c r="C551" i="5"/>
  <c r="D551" i="5"/>
  <c r="E551" i="5"/>
  <c r="F551" i="5"/>
  <c r="G551" i="5"/>
  <c r="H551" i="5"/>
  <c r="I551" i="5"/>
  <c r="J551" i="5"/>
  <c r="B552" i="5"/>
  <c r="C552" i="5"/>
  <c r="D552" i="5"/>
  <c r="E552" i="5"/>
  <c r="F552" i="5"/>
  <c r="G552" i="5"/>
  <c r="H552" i="5"/>
  <c r="I552" i="5"/>
  <c r="J552" i="5"/>
  <c r="B553" i="5"/>
  <c r="C553" i="5"/>
  <c r="D553" i="5"/>
  <c r="E553" i="5"/>
  <c r="F553" i="5"/>
  <c r="G553" i="5"/>
  <c r="H553" i="5"/>
  <c r="I553" i="5"/>
  <c r="J553" i="5"/>
  <c r="B554" i="5"/>
  <c r="C554" i="5"/>
  <c r="D554" i="5"/>
  <c r="E554" i="5"/>
  <c r="F554" i="5"/>
  <c r="G554" i="5"/>
  <c r="H554" i="5"/>
  <c r="I554" i="5"/>
  <c r="J554" i="5"/>
  <c r="B555" i="5"/>
  <c r="C555" i="5"/>
  <c r="D555" i="5"/>
  <c r="E555" i="5"/>
  <c r="F555" i="5"/>
  <c r="G555" i="5"/>
  <c r="H555" i="5"/>
  <c r="I555" i="5"/>
  <c r="J555" i="5"/>
  <c r="B556" i="5"/>
  <c r="C556" i="5"/>
  <c r="D556" i="5"/>
  <c r="E556" i="5"/>
  <c r="F556" i="5"/>
  <c r="G556" i="5"/>
  <c r="H556" i="5"/>
  <c r="I556" i="5"/>
  <c r="J556" i="5"/>
  <c r="B557" i="5"/>
  <c r="C557" i="5"/>
  <c r="D557" i="5"/>
  <c r="E557" i="5"/>
  <c r="F557" i="5"/>
  <c r="G557" i="5"/>
  <c r="H557" i="5"/>
  <c r="I557" i="5"/>
  <c r="J557" i="5"/>
  <c r="B558" i="5"/>
  <c r="C558" i="5"/>
  <c r="D558" i="5"/>
  <c r="E558" i="5"/>
  <c r="F558" i="5"/>
  <c r="G558" i="5"/>
  <c r="H558" i="5"/>
  <c r="I558" i="5"/>
  <c r="J558" i="5"/>
  <c r="B559" i="5"/>
  <c r="C559" i="5"/>
  <c r="D559" i="5"/>
  <c r="E559" i="5"/>
  <c r="F559" i="5"/>
  <c r="G559" i="5"/>
  <c r="H559" i="5"/>
  <c r="I559" i="5"/>
  <c r="J559" i="5"/>
  <c r="B560" i="5"/>
  <c r="C560" i="5"/>
  <c r="D560" i="5"/>
  <c r="E560" i="5"/>
  <c r="F560" i="5"/>
  <c r="G560" i="5"/>
  <c r="H560" i="5"/>
  <c r="I560" i="5"/>
  <c r="J560" i="5"/>
  <c r="B561" i="5"/>
  <c r="C561" i="5"/>
  <c r="D561" i="5"/>
  <c r="E561" i="5"/>
  <c r="F561" i="5"/>
  <c r="G561" i="5"/>
  <c r="H561" i="5"/>
  <c r="I561" i="5"/>
  <c r="J561" i="5"/>
  <c r="B562" i="5"/>
  <c r="C562" i="5"/>
  <c r="D562" i="5"/>
  <c r="E562" i="5"/>
  <c r="F562" i="5"/>
  <c r="G562" i="5"/>
  <c r="H562" i="5"/>
  <c r="I562" i="5"/>
  <c r="J562" i="5"/>
  <c r="B563" i="5"/>
  <c r="C563" i="5"/>
  <c r="D563" i="5"/>
  <c r="E563" i="5"/>
  <c r="F563" i="5"/>
  <c r="G563" i="5"/>
  <c r="H563" i="5"/>
  <c r="I563" i="5"/>
  <c r="J563" i="5"/>
  <c r="B564" i="5"/>
  <c r="C564" i="5"/>
  <c r="D564" i="5"/>
  <c r="E564" i="5"/>
  <c r="F564" i="5"/>
  <c r="G564" i="5"/>
  <c r="H564" i="5"/>
  <c r="I564" i="5"/>
  <c r="J564" i="5"/>
  <c r="B565" i="5"/>
  <c r="C565" i="5"/>
  <c r="D565" i="5"/>
  <c r="E565" i="5"/>
  <c r="F565" i="5"/>
  <c r="G565" i="5"/>
  <c r="H565" i="5"/>
  <c r="I565" i="5"/>
  <c r="J565" i="5"/>
  <c r="B566" i="5"/>
  <c r="C566" i="5"/>
  <c r="D566" i="5"/>
  <c r="E566" i="5"/>
  <c r="F566" i="5"/>
  <c r="G566" i="5"/>
  <c r="H566" i="5"/>
  <c r="I566" i="5"/>
  <c r="J566" i="5"/>
  <c r="B567" i="5"/>
  <c r="C567" i="5"/>
  <c r="D567" i="5"/>
  <c r="E567" i="5"/>
  <c r="F567" i="5"/>
  <c r="G567" i="5"/>
  <c r="H567" i="5"/>
  <c r="I567" i="5"/>
  <c r="J567" i="5"/>
  <c r="B568" i="5"/>
  <c r="C568" i="5"/>
  <c r="D568" i="5"/>
  <c r="E568" i="5"/>
  <c r="F568" i="5"/>
  <c r="G568" i="5"/>
  <c r="H568" i="5"/>
  <c r="I568" i="5"/>
  <c r="J568" i="5"/>
  <c r="B569" i="5"/>
  <c r="C569" i="5"/>
  <c r="D569" i="5"/>
  <c r="E569" i="5"/>
  <c r="F569" i="5"/>
  <c r="G569" i="5"/>
  <c r="H569" i="5"/>
  <c r="I569" i="5"/>
  <c r="J569" i="5"/>
  <c r="B570" i="5"/>
  <c r="C570" i="5"/>
  <c r="D570" i="5"/>
  <c r="E570" i="5"/>
  <c r="F570" i="5"/>
  <c r="G570" i="5"/>
  <c r="H570" i="5"/>
  <c r="I570" i="5"/>
  <c r="J570" i="5"/>
  <c r="B571" i="5"/>
  <c r="C571" i="5"/>
  <c r="D571" i="5"/>
  <c r="E571" i="5"/>
  <c r="F571" i="5"/>
  <c r="G571" i="5"/>
  <c r="H571" i="5"/>
  <c r="I571" i="5"/>
  <c r="J571" i="5"/>
  <c r="B572" i="5"/>
  <c r="C572" i="5"/>
  <c r="D572" i="5"/>
  <c r="E572" i="5"/>
  <c r="F572" i="5"/>
  <c r="G572" i="5"/>
  <c r="H572" i="5"/>
  <c r="I572" i="5"/>
  <c r="J572" i="5"/>
  <c r="B573" i="5"/>
  <c r="C573" i="5"/>
  <c r="D573" i="5"/>
  <c r="E573" i="5"/>
  <c r="F573" i="5"/>
  <c r="G573" i="5"/>
  <c r="H573" i="5"/>
  <c r="I573" i="5"/>
  <c r="J573" i="5"/>
  <c r="B574" i="5"/>
  <c r="C574" i="5"/>
  <c r="D574" i="5"/>
  <c r="E574" i="5"/>
  <c r="F574" i="5"/>
  <c r="G574" i="5"/>
  <c r="H574" i="5"/>
  <c r="I574" i="5"/>
  <c r="J574" i="5"/>
  <c r="B575" i="5"/>
  <c r="C575" i="5"/>
  <c r="D575" i="5"/>
  <c r="E575" i="5"/>
  <c r="F575" i="5"/>
  <c r="G575" i="5"/>
  <c r="H575" i="5"/>
  <c r="I575" i="5"/>
  <c r="J575" i="5"/>
  <c r="B576" i="5"/>
  <c r="C576" i="5"/>
  <c r="D576" i="5"/>
  <c r="E576" i="5"/>
  <c r="F576" i="5"/>
  <c r="G576" i="5"/>
  <c r="H576" i="5"/>
  <c r="I576" i="5"/>
  <c r="J576" i="5"/>
  <c r="B577" i="5"/>
  <c r="C577" i="5"/>
  <c r="D577" i="5"/>
  <c r="E577" i="5"/>
  <c r="F577" i="5"/>
  <c r="G577" i="5"/>
  <c r="H577" i="5"/>
  <c r="I577" i="5"/>
  <c r="J577" i="5"/>
  <c r="B578" i="5"/>
  <c r="C578" i="5"/>
  <c r="D578" i="5"/>
  <c r="E578" i="5"/>
  <c r="F578" i="5"/>
  <c r="G578" i="5"/>
  <c r="H578" i="5"/>
  <c r="I578" i="5"/>
  <c r="J578" i="5"/>
  <c r="B579" i="5"/>
  <c r="C579" i="5"/>
  <c r="D579" i="5"/>
  <c r="E579" i="5"/>
  <c r="F579" i="5"/>
  <c r="G579" i="5"/>
  <c r="H579" i="5"/>
  <c r="I579" i="5"/>
  <c r="J579" i="5"/>
  <c r="B580" i="5"/>
  <c r="C580" i="5"/>
  <c r="D580" i="5"/>
  <c r="E580" i="5"/>
  <c r="F580" i="5"/>
  <c r="G580" i="5"/>
  <c r="H580" i="5"/>
  <c r="I580" i="5"/>
  <c r="J580" i="5"/>
  <c r="B581" i="5"/>
  <c r="C581" i="5"/>
  <c r="D581" i="5"/>
  <c r="E581" i="5"/>
  <c r="F581" i="5"/>
  <c r="G581" i="5"/>
  <c r="H581" i="5"/>
  <c r="I581" i="5"/>
  <c r="J581" i="5"/>
  <c r="B582" i="5"/>
  <c r="C582" i="5"/>
  <c r="D582" i="5"/>
  <c r="E582" i="5"/>
  <c r="F582" i="5"/>
  <c r="G582" i="5"/>
  <c r="H582" i="5"/>
  <c r="I582" i="5"/>
  <c r="J582" i="5"/>
  <c r="B583" i="5"/>
  <c r="C583" i="5"/>
  <c r="D583" i="5"/>
  <c r="E583" i="5"/>
  <c r="F583" i="5"/>
  <c r="G583" i="5"/>
  <c r="H583" i="5"/>
  <c r="I583" i="5"/>
  <c r="J583" i="5"/>
  <c r="B584" i="5"/>
  <c r="C584" i="5"/>
  <c r="D584" i="5"/>
  <c r="E584" i="5"/>
  <c r="F584" i="5"/>
  <c r="G584" i="5"/>
  <c r="H584" i="5"/>
  <c r="I584" i="5"/>
  <c r="J584" i="5"/>
  <c r="B585" i="5"/>
  <c r="C585" i="5"/>
  <c r="D585" i="5"/>
  <c r="E585" i="5"/>
  <c r="F585" i="5"/>
  <c r="G585" i="5"/>
  <c r="H585" i="5"/>
  <c r="I585" i="5"/>
  <c r="J585" i="5"/>
  <c r="B586" i="5"/>
  <c r="C586" i="5"/>
  <c r="D586" i="5"/>
  <c r="E586" i="5"/>
  <c r="F586" i="5"/>
  <c r="G586" i="5"/>
  <c r="H586" i="5"/>
  <c r="I586" i="5"/>
  <c r="J586" i="5"/>
  <c r="B587" i="5"/>
  <c r="C587" i="5"/>
  <c r="D587" i="5"/>
  <c r="E587" i="5"/>
  <c r="F587" i="5"/>
  <c r="G587" i="5"/>
  <c r="H587" i="5"/>
  <c r="I587" i="5"/>
  <c r="J587" i="5"/>
  <c r="B588" i="5"/>
  <c r="C588" i="5"/>
  <c r="D588" i="5"/>
  <c r="E588" i="5"/>
  <c r="F588" i="5"/>
  <c r="G588" i="5"/>
  <c r="H588" i="5"/>
  <c r="I588" i="5"/>
  <c r="J588" i="5"/>
  <c r="B589" i="5"/>
  <c r="C589" i="5"/>
  <c r="D589" i="5"/>
  <c r="E589" i="5"/>
  <c r="F589" i="5"/>
  <c r="G589" i="5"/>
  <c r="H589" i="5"/>
  <c r="I589" i="5"/>
  <c r="J589" i="5"/>
  <c r="B590" i="5"/>
  <c r="C590" i="5"/>
  <c r="D590" i="5"/>
  <c r="E590" i="5"/>
  <c r="F590" i="5"/>
  <c r="G590" i="5"/>
  <c r="H590" i="5"/>
  <c r="I590" i="5"/>
  <c r="J590" i="5"/>
  <c r="B591" i="5"/>
  <c r="C591" i="5"/>
  <c r="D591" i="5"/>
  <c r="E591" i="5"/>
  <c r="F591" i="5"/>
  <c r="G591" i="5"/>
  <c r="H591" i="5"/>
  <c r="I591" i="5"/>
  <c r="J591" i="5"/>
  <c r="B592" i="5"/>
  <c r="C592" i="5"/>
  <c r="D592" i="5"/>
  <c r="E592" i="5"/>
  <c r="F592" i="5"/>
  <c r="G592" i="5"/>
  <c r="H592" i="5"/>
  <c r="I592" i="5"/>
  <c r="J592" i="5"/>
  <c r="B593" i="5"/>
  <c r="C593" i="5"/>
  <c r="D593" i="5"/>
  <c r="E593" i="5"/>
  <c r="F593" i="5"/>
  <c r="G593" i="5"/>
  <c r="H593" i="5"/>
  <c r="I593" i="5"/>
  <c r="J593" i="5"/>
  <c r="B594" i="5"/>
  <c r="C594" i="5"/>
  <c r="D594" i="5"/>
  <c r="E594" i="5"/>
  <c r="F594" i="5"/>
  <c r="G594" i="5"/>
  <c r="H594" i="5"/>
  <c r="I594" i="5"/>
  <c r="J594" i="5"/>
  <c r="B595" i="5"/>
  <c r="C595" i="5"/>
  <c r="D595" i="5"/>
  <c r="E595" i="5"/>
  <c r="F595" i="5"/>
  <c r="G595" i="5"/>
  <c r="H595" i="5"/>
  <c r="I595" i="5"/>
  <c r="J595" i="5"/>
  <c r="B596" i="5"/>
  <c r="C596" i="5"/>
  <c r="D596" i="5"/>
  <c r="E596" i="5"/>
  <c r="F596" i="5"/>
  <c r="G596" i="5"/>
  <c r="H596" i="5"/>
  <c r="I596" i="5"/>
  <c r="J596" i="5"/>
  <c r="B597" i="5"/>
  <c r="C597" i="5"/>
  <c r="D597" i="5"/>
  <c r="E597" i="5"/>
  <c r="F597" i="5"/>
  <c r="G597" i="5"/>
  <c r="H597" i="5"/>
  <c r="I597" i="5"/>
  <c r="J597" i="5"/>
  <c r="B598" i="5"/>
  <c r="C598" i="5"/>
  <c r="D598" i="5"/>
  <c r="E598" i="5"/>
  <c r="F598" i="5"/>
  <c r="G598" i="5"/>
  <c r="H598" i="5"/>
  <c r="I598" i="5"/>
  <c r="J598" i="5"/>
  <c r="B599" i="5"/>
  <c r="C599" i="5"/>
  <c r="D599" i="5"/>
  <c r="E599" i="5"/>
  <c r="F599" i="5"/>
  <c r="G599" i="5"/>
  <c r="H599" i="5"/>
  <c r="I599" i="5"/>
  <c r="J599" i="5"/>
  <c r="B600" i="5"/>
  <c r="C600" i="5"/>
  <c r="D600" i="5"/>
  <c r="E600" i="5"/>
  <c r="F600" i="5"/>
  <c r="G600" i="5"/>
  <c r="H600" i="5"/>
  <c r="I600" i="5"/>
  <c r="J600" i="5"/>
  <c r="B601" i="5"/>
  <c r="C601" i="5"/>
  <c r="D601" i="5"/>
  <c r="E601" i="5"/>
  <c r="F601" i="5"/>
  <c r="G601" i="5"/>
  <c r="H601" i="5"/>
  <c r="I601" i="5"/>
  <c r="J601" i="5"/>
  <c r="B602" i="5"/>
  <c r="C602" i="5"/>
  <c r="D602" i="5"/>
  <c r="E602" i="5"/>
  <c r="F602" i="5"/>
  <c r="G602" i="5"/>
  <c r="H602" i="5"/>
  <c r="I602" i="5"/>
  <c r="J602" i="5"/>
  <c r="B603" i="5"/>
  <c r="C603" i="5"/>
  <c r="D603" i="5"/>
  <c r="E603" i="5"/>
  <c r="F603" i="5"/>
  <c r="G603" i="5"/>
  <c r="H603" i="5"/>
  <c r="I603" i="5"/>
  <c r="J603" i="5"/>
  <c r="B604" i="5"/>
  <c r="C604" i="5"/>
  <c r="D604" i="5"/>
  <c r="E604" i="5"/>
  <c r="F604" i="5"/>
  <c r="G604" i="5"/>
  <c r="H604" i="5"/>
  <c r="I604" i="5"/>
  <c r="J604" i="5"/>
  <c r="B605" i="5"/>
  <c r="C605" i="5"/>
  <c r="D605" i="5"/>
  <c r="E605" i="5"/>
  <c r="F605" i="5"/>
  <c r="G605" i="5"/>
  <c r="H605" i="5"/>
  <c r="I605" i="5"/>
  <c r="J605" i="5"/>
  <c r="B606" i="5"/>
  <c r="C606" i="5"/>
  <c r="D606" i="5"/>
  <c r="E606" i="5"/>
  <c r="F606" i="5"/>
  <c r="G606" i="5"/>
  <c r="H606" i="5"/>
  <c r="I606" i="5"/>
  <c r="J606" i="5"/>
  <c r="B607" i="5"/>
  <c r="C607" i="5"/>
  <c r="D607" i="5"/>
  <c r="E607" i="5"/>
  <c r="F607" i="5"/>
  <c r="G607" i="5"/>
  <c r="H607" i="5"/>
  <c r="I607" i="5"/>
  <c r="J607" i="5"/>
  <c r="B608" i="5"/>
  <c r="C608" i="5"/>
  <c r="D608" i="5"/>
  <c r="E608" i="5"/>
  <c r="F608" i="5"/>
  <c r="G608" i="5"/>
  <c r="H608" i="5"/>
  <c r="I608" i="5"/>
  <c r="J608" i="5"/>
  <c r="B609" i="5"/>
  <c r="C609" i="5"/>
  <c r="D609" i="5"/>
  <c r="E609" i="5"/>
  <c r="F609" i="5"/>
  <c r="G609" i="5"/>
  <c r="H609" i="5"/>
  <c r="I609" i="5"/>
  <c r="J609" i="5"/>
  <c r="B610" i="5"/>
  <c r="C610" i="5"/>
  <c r="D610" i="5"/>
  <c r="E610" i="5"/>
  <c r="F610" i="5"/>
  <c r="G610" i="5"/>
  <c r="H610" i="5"/>
  <c r="I610" i="5"/>
  <c r="J610" i="5"/>
  <c r="B611" i="5"/>
  <c r="C611" i="5"/>
  <c r="D611" i="5"/>
  <c r="E611" i="5"/>
  <c r="F611" i="5"/>
  <c r="G611" i="5"/>
  <c r="H611" i="5"/>
  <c r="I611" i="5"/>
  <c r="J611" i="5"/>
  <c r="B612" i="5"/>
  <c r="C612" i="5"/>
  <c r="D612" i="5"/>
  <c r="E612" i="5"/>
  <c r="F612" i="5"/>
  <c r="G612" i="5"/>
  <c r="H612" i="5"/>
  <c r="I612" i="5"/>
  <c r="J612" i="5"/>
  <c r="B613" i="5"/>
  <c r="C613" i="5"/>
  <c r="D613" i="5"/>
  <c r="E613" i="5"/>
  <c r="F613" i="5"/>
  <c r="G613" i="5"/>
  <c r="H613" i="5"/>
  <c r="I613" i="5"/>
  <c r="J613" i="5"/>
  <c r="B614" i="5"/>
  <c r="C614" i="5"/>
  <c r="D614" i="5"/>
  <c r="E614" i="5"/>
  <c r="F614" i="5"/>
  <c r="G614" i="5"/>
  <c r="H614" i="5"/>
  <c r="I614" i="5"/>
  <c r="J614" i="5"/>
  <c r="B615" i="5"/>
  <c r="C615" i="5"/>
  <c r="D615" i="5"/>
  <c r="E615" i="5"/>
  <c r="F615" i="5"/>
  <c r="G615" i="5"/>
  <c r="H615" i="5"/>
  <c r="I615" i="5"/>
  <c r="J615" i="5"/>
  <c r="B616" i="5"/>
  <c r="C616" i="5"/>
  <c r="D616" i="5"/>
  <c r="E616" i="5"/>
  <c r="F616" i="5"/>
  <c r="G616" i="5"/>
  <c r="H616" i="5"/>
  <c r="I616" i="5"/>
  <c r="J616" i="5"/>
  <c r="B617" i="5"/>
  <c r="C617" i="5"/>
  <c r="D617" i="5"/>
  <c r="E617" i="5"/>
  <c r="F617" i="5"/>
  <c r="G617" i="5"/>
  <c r="H617" i="5"/>
  <c r="I617" i="5"/>
  <c r="J617" i="5"/>
  <c r="B618" i="5"/>
  <c r="C618" i="5"/>
  <c r="D618" i="5"/>
  <c r="E618" i="5"/>
  <c r="F618" i="5"/>
  <c r="G618" i="5"/>
  <c r="H618" i="5"/>
  <c r="I618" i="5"/>
  <c r="J618" i="5"/>
  <c r="B619" i="5"/>
  <c r="C619" i="5"/>
  <c r="D619" i="5"/>
  <c r="E619" i="5"/>
  <c r="F619" i="5"/>
  <c r="G619" i="5"/>
  <c r="H619" i="5"/>
  <c r="I619" i="5"/>
  <c r="J619" i="5"/>
  <c r="B620" i="5"/>
  <c r="C620" i="5"/>
  <c r="D620" i="5"/>
  <c r="E620" i="5"/>
  <c r="F620" i="5"/>
  <c r="G620" i="5"/>
  <c r="H620" i="5"/>
  <c r="I620" i="5"/>
  <c r="J620" i="5"/>
  <c r="B621" i="5"/>
  <c r="C621" i="5"/>
  <c r="D621" i="5"/>
  <c r="E621" i="5"/>
  <c r="F621" i="5"/>
  <c r="G621" i="5"/>
  <c r="H621" i="5"/>
  <c r="I621" i="5"/>
  <c r="J621" i="5"/>
  <c r="B622" i="5"/>
  <c r="C622" i="5"/>
  <c r="D622" i="5"/>
  <c r="E622" i="5"/>
  <c r="F622" i="5"/>
  <c r="G622" i="5"/>
  <c r="H622" i="5"/>
  <c r="I622" i="5"/>
  <c r="J622" i="5"/>
  <c r="B623" i="5"/>
  <c r="C623" i="5"/>
  <c r="D623" i="5"/>
  <c r="E623" i="5"/>
  <c r="F623" i="5"/>
  <c r="G623" i="5"/>
  <c r="H623" i="5"/>
  <c r="I623" i="5"/>
  <c r="J623" i="5"/>
  <c r="B624" i="5"/>
  <c r="C624" i="5"/>
  <c r="D624" i="5"/>
  <c r="E624" i="5"/>
  <c r="F624" i="5"/>
  <c r="G624" i="5"/>
  <c r="H624" i="5"/>
  <c r="I624" i="5"/>
  <c r="J624" i="5"/>
  <c r="B625" i="5"/>
  <c r="C625" i="5"/>
  <c r="D625" i="5"/>
  <c r="E625" i="5"/>
  <c r="F625" i="5"/>
  <c r="G625" i="5"/>
  <c r="H625" i="5"/>
  <c r="I625" i="5"/>
  <c r="J625" i="5"/>
  <c r="B626" i="5"/>
  <c r="C626" i="5"/>
  <c r="D626" i="5"/>
  <c r="E626" i="5"/>
  <c r="F626" i="5"/>
  <c r="G626" i="5"/>
  <c r="H626" i="5"/>
  <c r="I626" i="5"/>
  <c r="J626" i="5"/>
  <c r="B627" i="5"/>
  <c r="C627" i="5"/>
  <c r="D627" i="5"/>
  <c r="E627" i="5"/>
  <c r="F627" i="5"/>
  <c r="G627" i="5"/>
  <c r="H627" i="5"/>
  <c r="I627" i="5"/>
  <c r="J627" i="5"/>
  <c r="B628" i="5"/>
  <c r="C628" i="5"/>
  <c r="D628" i="5"/>
  <c r="E628" i="5"/>
  <c r="F628" i="5"/>
  <c r="G628" i="5"/>
  <c r="H628" i="5"/>
  <c r="I628" i="5"/>
  <c r="J628" i="5"/>
  <c r="B629" i="5"/>
  <c r="C629" i="5"/>
  <c r="D629" i="5"/>
  <c r="E629" i="5"/>
  <c r="F629" i="5"/>
  <c r="G629" i="5"/>
  <c r="H629" i="5"/>
  <c r="I629" i="5"/>
  <c r="J629" i="5"/>
  <c r="B630" i="5"/>
  <c r="C630" i="5"/>
  <c r="D630" i="5"/>
  <c r="E630" i="5"/>
  <c r="F630" i="5"/>
  <c r="G630" i="5"/>
  <c r="H630" i="5"/>
  <c r="I630" i="5"/>
  <c r="J630" i="5"/>
  <c r="B631" i="5"/>
  <c r="C631" i="5"/>
  <c r="D631" i="5"/>
  <c r="E631" i="5"/>
  <c r="F631" i="5"/>
  <c r="G631" i="5"/>
  <c r="H631" i="5"/>
  <c r="I631" i="5"/>
  <c r="J631" i="5"/>
  <c r="B632" i="5"/>
  <c r="C632" i="5"/>
  <c r="D632" i="5"/>
  <c r="E632" i="5"/>
  <c r="F632" i="5"/>
  <c r="G632" i="5"/>
  <c r="H632" i="5"/>
  <c r="I632" i="5"/>
  <c r="J632" i="5"/>
  <c r="B633" i="5"/>
  <c r="C633" i="5"/>
  <c r="D633" i="5"/>
  <c r="E633" i="5"/>
  <c r="F633" i="5"/>
  <c r="G633" i="5"/>
  <c r="H633" i="5"/>
  <c r="I633" i="5"/>
  <c r="J633" i="5"/>
  <c r="B634" i="5"/>
  <c r="C634" i="5"/>
  <c r="D634" i="5"/>
  <c r="E634" i="5"/>
  <c r="F634" i="5"/>
  <c r="G634" i="5"/>
  <c r="H634" i="5"/>
  <c r="I634" i="5"/>
  <c r="J634" i="5"/>
  <c r="B635" i="5"/>
  <c r="C635" i="5"/>
  <c r="D635" i="5"/>
  <c r="E635" i="5"/>
  <c r="F635" i="5"/>
  <c r="G635" i="5"/>
  <c r="H635" i="5"/>
  <c r="I635" i="5"/>
  <c r="J635" i="5"/>
  <c r="B636" i="5"/>
  <c r="C636" i="5"/>
  <c r="D636" i="5"/>
  <c r="E636" i="5"/>
  <c r="F636" i="5"/>
  <c r="G636" i="5"/>
  <c r="H636" i="5"/>
  <c r="I636" i="5"/>
  <c r="J636" i="5"/>
  <c r="B637" i="5"/>
  <c r="C637" i="5"/>
  <c r="D637" i="5"/>
  <c r="E637" i="5"/>
  <c r="F637" i="5"/>
  <c r="G637" i="5"/>
  <c r="H637" i="5"/>
  <c r="I637" i="5"/>
  <c r="J637" i="5"/>
  <c r="B638" i="5"/>
  <c r="C638" i="5"/>
  <c r="D638" i="5"/>
  <c r="E638" i="5"/>
  <c r="F638" i="5"/>
  <c r="G638" i="5"/>
  <c r="H638" i="5"/>
  <c r="I638" i="5"/>
  <c r="J638" i="5"/>
  <c r="B639" i="5"/>
  <c r="C639" i="5"/>
  <c r="D639" i="5"/>
  <c r="E639" i="5"/>
  <c r="F639" i="5"/>
  <c r="G639" i="5"/>
  <c r="H639" i="5"/>
  <c r="I639" i="5"/>
  <c r="J639" i="5"/>
  <c r="B640" i="5"/>
  <c r="C640" i="5"/>
  <c r="D640" i="5"/>
  <c r="E640" i="5"/>
  <c r="F640" i="5"/>
  <c r="G640" i="5"/>
  <c r="H640" i="5"/>
  <c r="I640" i="5"/>
  <c r="J640" i="5"/>
  <c r="B641" i="5"/>
  <c r="C641" i="5"/>
  <c r="D641" i="5"/>
  <c r="E641" i="5"/>
  <c r="F641" i="5"/>
  <c r="G641" i="5"/>
  <c r="H641" i="5"/>
  <c r="I641" i="5"/>
  <c r="J641" i="5"/>
  <c r="B642" i="5"/>
  <c r="C642" i="5"/>
  <c r="D642" i="5"/>
  <c r="E642" i="5"/>
  <c r="F642" i="5"/>
  <c r="G642" i="5"/>
  <c r="H642" i="5"/>
  <c r="I642" i="5"/>
  <c r="J642" i="5"/>
  <c r="B643" i="5"/>
  <c r="C643" i="5"/>
  <c r="D643" i="5"/>
  <c r="E643" i="5"/>
  <c r="F643" i="5"/>
  <c r="G643" i="5"/>
  <c r="H643" i="5"/>
  <c r="I643" i="5"/>
  <c r="J643" i="5"/>
  <c r="B644" i="5"/>
  <c r="C644" i="5"/>
  <c r="D644" i="5"/>
  <c r="E644" i="5"/>
  <c r="F644" i="5"/>
  <c r="G644" i="5"/>
  <c r="H644" i="5"/>
  <c r="I644" i="5"/>
  <c r="J644" i="5"/>
  <c r="B645" i="5"/>
  <c r="C645" i="5"/>
  <c r="D645" i="5"/>
  <c r="E645" i="5"/>
  <c r="F645" i="5"/>
  <c r="G645" i="5"/>
  <c r="H645" i="5"/>
  <c r="I645" i="5"/>
  <c r="J645" i="5"/>
  <c r="B646" i="5"/>
  <c r="C646" i="5"/>
  <c r="D646" i="5"/>
  <c r="E646" i="5"/>
  <c r="F646" i="5"/>
  <c r="G646" i="5"/>
  <c r="H646" i="5"/>
  <c r="I646" i="5"/>
  <c r="J646" i="5"/>
  <c r="B647" i="5"/>
  <c r="C647" i="5"/>
  <c r="D647" i="5"/>
  <c r="E647" i="5"/>
  <c r="F647" i="5"/>
  <c r="G647" i="5"/>
  <c r="H647" i="5"/>
  <c r="I647" i="5"/>
  <c r="J647" i="5"/>
  <c r="B648" i="5"/>
  <c r="C648" i="5"/>
  <c r="D648" i="5"/>
  <c r="E648" i="5"/>
  <c r="F648" i="5"/>
  <c r="G648" i="5"/>
  <c r="H648" i="5"/>
  <c r="I648" i="5"/>
  <c r="J648" i="5"/>
  <c r="B649" i="5"/>
  <c r="C649" i="5"/>
  <c r="D649" i="5"/>
  <c r="E649" i="5"/>
  <c r="F649" i="5"/>
  <c r="G649" i="5"/>
  <c r="H649" i="5"/>
  <c r="I649" i="5"/>
  <c r="J649" i="5"/>
  <c r="B650" i="5"/>
  <c r="C650" i="5"/>
  <c r="D650" i="5"/>
  <c r="E650" i="5"/>
  <c r="F650" i="5"/>
  <c r="G650" i="5"/>
  <c r="H650" i="5"/>
  <c r="I650" i="5"/>
  <c r="J650" i="5"/>
  <c r="B651" i="5"/>
  <c r="C651" i="5"/>
  <c r="D651" i="5"/>
  <c r="E651" i="5"/>
  <c r="F651" i="5"/>
  <c r="G651" i="5"/>
  <c r="H651" i="5"/>
  <c r="I651" i="5"/>
  <c r="J651" i="5"/>
  <c r="B652" i="5"/>
  <c r="C652" i="5"/>
  <c r="D652" i="5"/>
  <c r="E652" i="5"/>
  <c r="F652" i="5"/>
  <c r="G652" i="5"/>
  <c r="H652" i="5"/>
  <c r="I652" i="5"/>
  <c r="J652" i="5"/>
  <c r="B653" i="5"/>
  <c r="C653" i="5"/>
  <c r="D653" i="5"/>
  <c r="E653" i="5"/>
  <c r="F653" i="5"/>
  <c r="G653" i="5"/>
  <c r="H653" i="5"/>
  <c r="I653" i="5"/>
  <c r="J653" i="5"/>
  <c r="B654" i="5"/>
  <c r="C654" i="5"/>
  <c r="D654" i="5"/>
  <c r="E654" i="5"/>
  <c r="F654" i="5"/>
  <c r="G654" i="5"/>
  <c r="H654" i="5"/>
  <c r="I654" i="5"/>
  <c r="J654" i="5"/>
  <c r="B655" i="5"/>
  <c r="C655" i="5"/>
  <c r="D655" i="5"/>
  <c r="E655" i="5"/>
  <c r="F655" i="5"/>
  <c r="G655" i="5"/>
  <c r="H655" i="5"/>
  <c r="I655" i="5"/>
  <c r="J655" i="5"/>
  <c r="B656" i="5"/>
  <c r="C656" i="5"/>
  <c r="D656" i="5"/>
  <c r="E656" i="5"/>
  <c r="F656" i="5"/>
  <c r="G656" i="5"/>
  <c r="H656" i="5"/>
  <c r="I656" i="5"/>
  <c r="J656" i="5"/>
  <c r="B657" i="5"/>
  <c r="C657" i="5"/>
  <c r="D657" i="5"/>
  <c r="E657" i="5"/>
  <c r="F657" i="5"/>
  <c r="G657" i="5"/>
  <c r="H657" i="5"/>
  <c r="I657" i="5"/>
  <c r="J657" i="5"/>
  <c r="B658" i="5"/>
  <c r="C658" i="5"/>
  <c r="D658" i="5"/>
  <c r="E658" i="5"/>
  <c r="F658" i="5"/>
  <c r="G658" i="5"/>
  <c r="H658" i="5"/>
  <c r="I658" i="5"/>
  <c r="J658" i="5"/>
  <c r="B659" i="5"/>
  <c r="C659" i="5"/>
  <c r="D659" i="5"/>
  <c r="E659" i="5"/>
  <c r="F659" i="5"/>
  <c r="G659" i="5"/>
  <c r="H659" i="5"/>
  <c r="I659" i="5"/>
  <c r="J659" i="5"/>
  <c r="B660" i="5"/>
  <c r="C660" i="5"/>
  <c r="D660" i="5"/>
  <c r="E660" i="5"/>
  <c r="F660" i="5"/>
  <c r="G660" i="5"/>
  <c r="H660" i="5"/>
  <c r="I660" i="5"/>
  <c r="J660" i="5"/>
  <c r="B661" i="5"/>
  <c r="C661" i="5"/>
  <c r="D661" i="5"/>
  <c r="E661" i="5"/>
  <c r="F661" i="5"/>
  <c r="G661" i="5"/>
  <c r="H661" i="5"/>
  <c r="I661" i="5"/>
  <c r="J661" i="5"/>
  <c r="B662" i="5"/>
  <c r="C662" i="5"/>
  <c r="D662" i="5"/>
  <c r="E662" i="5"/>
  <c r="F662" i="5"/>
  <c r="G662" i="5"/>
  <c r="H662" i="5"/>
  <c r="I662" i="5"/>
  <c r="J662" i="5"/>
  <c r="B663" i="5"/>
  <c r="C663" i="5"/>
  <c r="D663" i="5"/>
  <c r="E663" i="5"/>
  <c r="F663" i="5"/>
  <c r="G663" i="5"/>
  <c r="H663" i="5"/>
  <c r="I663" i="5"/>
  <c r="J663" i="5"/>
  <c r="B664" i="5"/>
  <c r="C664" i="5"/>
  <c r="D664" i="5"/>
  <c r="E664" i="5"/>
  <c r="F664" i="5"/>
  <c r="G664" i="5"/>
  <c r="H664" i="5"/>
  <c r="I664" i="5"/>
  <c r="J664" i="5"/>
  <c r="B665" i="5"/>
  <c r="C665" i="5"/>
  <c r="D665" i="5"/>
  <c r="E665" i="5"/>
  <c r="F665" i="5"/>
  <c r="G665" i="5"/>
  <c r="H665" i="5"/>
  <c r="I665" i="5"/>
  <c r="J665" i="5"/>
  <c r="B666" i="5"/>
  <c r="C666" i="5"/>
  <c r="D666" i="5"/>
  <c r="E666" i="5"/>
  <c r="F666" i="5"/>
  <c r="G666" i="5"/>
  <c r="H666" i="5"/>
  <c r="I666" i="5"/>
  <c r="J666" i="5"/>
  <c r="B667" i="5"/>
  <c r="C667" i="5"/>
  <c r="D667" i="5"/>
  <c r="E667" i="5"/>
  <c r="F667" i="5"/>
  <c r="G667" i="5"/>
  <c r="H667" i="5"/>
  <c r="I667" i="5"/>
  <c r="J667" i="5"/>
  <c r="B668" i="5"/>
  <c r="C668" i="5"/>
  <c r="D668" i="5"/>
  <c r="E668" i="5"/>
  <c r="F668" i="5"/>
  <c r="G668" i="5"/>
  <c r="H668" i="5"/>
  <c r="I668" i="5"/>
  <c r="J668" i="5"/>
  <c r="B669" i="5"/>
  <c r="C669" i="5"/>
  <c r="D669" i="5"/>
  <c r="E669" i="5"/>
  <c r="F669" i="5"/>
  <c r="G669" i="5"/>
  <c r="H669" i="5"/>
  <c r="I669" i="5"/>
  <c r="J669" i="5"/>
  <c r="B670" i="5"/>
  <c r="C670" i="5"/>
  <c r="D670" i="5"/>
  <c r="E670" i="5"/>
  <c r="F670" i="5"/>
  <c r="G670" i="5"/>
  <c r="H670" i="5"/>
  <c r="I670" i="5"/>
  <c r="J670" i="5"/>
  <c r="B671" i="5"/>
  <c r="C671" i="5"/>
  <c r="D671" i="5"/>
  <c r="E671" i="5"/>
  <c r="F671" i="5"/>
  <c r="G671" i="5"/>
  <c r="H671" i="5"/>
  <c r="I671" i="5"/>
  <c r="J671" i="5"/>
  <c r="B672" i="5"/>
  <c r="C672" i="5"/>
  <c r="D672" i="5"/>
  <c r="E672" i="5"/>
  <c r="F672" i="5"/>
  <c r="G672" i="5"/>
  <c r="H672" i="5"/>
  <c r="I672" i="5"/>
  <c r="J672" i="5"/>
  <c r="B673" i="5"/>
  <c r="C673" i="5"/>
  <c r="D673" i="5"/>
  <c r="E673" i="5"/>
  <c r="F673" i="5"/>
  <c r="G673" i="5"/>
  <c r="H673" i="5"/>
  <c r="I673" i="5"/>
  <c r="J673" i="5"/>
  <c r="B674" i="5"/>
  <c r="C674" i="5"/>
  <c r="D674" i="5"/>
  <c r="E674" i="5"/>
  <c r="F674" i="5"/>
  <c r="G674" i="5"/>
  <c r="H674" i="5"/>
  <c r="I674" i="5"/>
  <c r="J674" i="5"/>
  <c r="B675" i="5"/>
  <c r="C675" i="5"/>
  <c r="D675" i="5"/>
  <c r="E675" i="5"/>
  <c r="F675" i="5"/>
  <c r="G675" i="5"/>
  <c r="H675" i="5"/>
  <c r="I675" i="5"/>
  <c r="J675" i="5"/>
  <c r="B676" i="5"/>
  <c r="C676" i="5"/>
  <c r="D676" i="5"/>
  <c r="E676" i="5"/>
  <c r="F676" i="5"/>
  <c r="G676" i="5"/>
  <c r="H676" i="5"/>
  <c r="I676" i="5"/>
  <c r="J676" i="5"/>
  <c r="B677" i="5"/>
  <c r="C677" i="5"/>
  <c r="D677" i="5"/>
  <c r="E677" i="5"/>
  <c r="F677" i="5"/>
  <c r="G677" i="5"/>
  <c r="H677" i="5"/>
  <c r="I677" i="5"/>
  <c r="J677" i="5"/>
  <c r="B678" i="5"/>
  <c r="C678" i="5"/>
  <c r="D678" i="5"/>
  <c r="E678" i="5"/>
  <c r="F678" i="5"/>
  <c r="G678" i="5"/>
  <c r="H678" i="5"/>
  <c r="I678" i="5"/>
  <c r="J678" i="5"/>
  <c r="B679" i="5"/>
  <c r="C679" i="5"/>
  <c r="D679" i="5"/>
  <c r="E679" i="5"/>
  <c r="F679" i="5"/>
  <c r="G679" i="5"/>
  <c r="H679" i="5"/>
  <c r="I679" i="5"/>
  <c r="J679" i="5"/>
  <c r="B680" i="5"/>
  <c r="C680" i="5"/>
  <c r="D680" i="5"/>
  <c r="E680" i="5"/>
  <c r="F680" i="5"/>
  <c r="G680" i="5"/>
  <c r="H680" i="5"/>
  <c r="I680" i="5"/>
  <c r="J680" i="5"/>
  <c r="B681" i="5"/>
  <c r="C681" i="5"/>
  <c r="D681" i="5"/>
  <c r="E681" i="5"/>
  <c r="F681" i="5"/>
  <c r="G681" i="5"/>
  <c r="H681" i="5"/>
  <c r="I681" i="5"/>
  <c r="J681" i="5"/>
  <c r="B682" i="5"/>
  <c r="C682" i="5"/>
  <c r="D682" i="5"/>
  <c r="E682" i="5"/>
  <c r="F682" i="5"/>
  <c r="G682" i="5"/>
  <c r="H682" i="5"/>
  <c r="I682" i="5"/>
  <c r="J682" i="5"/>
  <c r="B683" i="5"/>
  <c r="C683" i="5"/>
  <c r="D683" i="5"/>
  <c r="E683" i="5"/>
  <c r="F683" i="5"/>
  <c r="G683" i="5"/>
  <c r="H683" i="5"/>
  <c r="I683" i="5"/>
  <c r="J683" i="5"/>
  <c r="B684" i="5"/>
  <c r="C684" i="5"/>
  <c r="D684" i="5"/>
  <c r="E684" i="5"/>
  <c r="F684" i="5"/>
  <c r="G684" i="5"/>
  <c r="H684" i="5"/>
  <c r="I684" i="5"/>
  <c r="J684" i="5"/>
  <c r="B685" i="5"/>
  <c r="C685" i="5"/>
  <c r="D685" i="5"/>
  <c r="E685" i="5"/>
  <c r="F685" i="5"/>
  <c r="G685" i="5"/>
  <c r="H685" i="5"/>
  <c r="I685" i="5"/>
  <c r="J685" i="5"/>
  <c r="B686" i="5"/>
  <c r="C686" i="5"/>
  <c r="D686" i="5"/>
  <c r="E686" i="5"/>
  <c r="F686" i="5"/>
  <c r="G686" i="5"/>
  <c r="H686" i="5"/>
  <c r="I686" i="5"/>
  <c r="J686" i="5"/>
  <c r="B687" i="5"/>
  <c r="C687" i="5"/>
  <c r="D687" i="5"/>
  <c r="E687" i="5"/>
  <c r="F687" i="5"/>
  <c r="G687" i="5"/>
  <c r="H687" i="5"/>
  <c r="I687" i="5"/>
  <c r="J687" i="5"/>
  <c r="B688" i="5"/>
  <c r="C688" i="5"/>
  <c r="D688" i="5"/>
  <c r="E688" i="5"/>
  <c r="F688" i="5"/>
  <c r="G688" i="5"/>
  <c r="H688" i="5"/>
  <c r="I688" i="5"/>
  <c r="J688" i="5"/>
  <c r="B689" i="5"/>
  <c r="C689" i="5"/>
  <c r="D689" i="5"/>
  <c r="E689" i="5"/>
  <c r="F689" i="5"/>
  <c r="G689" i="5"/>
  <c r="H689" i="5"/>
  <c r="I689" i="5"/>
  <c r="J689" i="5"/>
  <c r="B690" i="5"/>
  <c r="C690" i="5"/>
  <c r="D690" i="5"/>
  <c r="E690" i="5"/>
  <c r="F690" i="5"/>
  <c r="G690" i="5"/>
  <c r="H690" i="5"/>
  <c r="I690" i="5"/>
  <c r="J690" i="5"/>
  <c r="B691" i="5"/>
  <c r="C691" i="5"/>
  <c r="D691" i="5"/>
  <c r="E691" i="5"/>
  <c r="F691" i="5"/>
  <c r="G691" i="5"/>
  <c r="H691" i="5"/>
  <c r="I691" i="5"/>
  <c r="J691" i="5"/>
  <c r="B692" i="5"/>
  <c r="C692" i="5"/>
  <c r="D692" i="5"/>
  <c r="E692" i="5"/>
  <c r="F692" i="5"/>
  <c r="G692" i="5"/>
  <c r="H692" i="5"/>
  <c r="I692" i="5"/>
  <c r="J692" i="5"/>
  <c r="B693" i="5"/>
  <c r="C693" i="5"/>
  <c r="D693" i="5"/>
  <c r="E693" i="5"/>
  <c r="F693" i="5"/>
  <c r="G693" i="5"/>
  <c r="H693" i="5"/>
  <c r="I693" i="5"/>
  <c r="J693" i="5"/>
  <c r="B694" i="5"/>
  <c r="C694" i="5"/>
  <c r="D694" i="5"/>
  <c r="E694" i="5"/>
  <c r="F694" i="5"/>
  <c r="G694" i="5"/>
  <c r="H694" i="5"/>
  <c r="I694" i="5"/>
  <c r="J694" i="5"/>
  <c r="B695" i="5"/>
  <c r="C695" i="5"/>
  <c r="D695" i="5"/>
  <c r="E695" i="5"/>
  <c r="F695" i="5"/>
  <c r="G695" i="5"/>
  <c r="H695" i="5"/>
  <c r="I695" i="5"/>
  <c r="J695" i="5"/>
  <c r="B696" i="5"/>
  <c r="C696" i="5"/>
  <c r="D696" i="5"/>
  <c r="E696" i="5"/>
  <c r="F696" i="5"/>
  <c r="G696" i="5"/>
  <c r="H696" i="5"/>
  <c r="I696" i="5"/>
  <c r="J696" i="5"/>
  <c r="B697" i="5"/>
  <c r="C697" i="5"/>
  <c r="D697" i="5"/>
  <c r="E697" i="5"/>
  <c r="F697" i="5"/>
  <c r="G697" i="5"/>
  <c r="H697" i="5"/>
  <c r="I697" i="5"/>
  <c r="J697" i="5"/>
  <c r="B698" i="5"/>
  <c r="C698" i="5"/>
  <c r="D698" i="5"/>
  <c r="E698" i="5"/>
  <c r="F698" i="5"/>
  <c r="G698" i="5"/>
  <c r="H698" i="5"/>
  <c r="I698" i="5"/>
  <c r="J698" i="5"/>
  <c r="B699" i="5"/>
  <c r="C699" i="5"/>
  <c r="D699" i="5"/>
  <c r="E699" i="5"/>
  <c r="F699" i="5"/>
  <c r="G699" i="5"/>
  <c r="H699" i="5"/>
  <c r="I699" i="5"/>
  <c r="J699" i="5"/>
  <c r="B700" i="5"/>
  <c r="C700" i="5"/>
  <c r="D700" i="5"/>
  <c r="E700" i="5"/>
  <c r="F700" i="5"/>
  <c r="G700" i="5"/>
  <c r="H700" i="5"/>
  <c r="I700" i="5"/>
  <c r="J700" i="5"/>
  <c r="B701" i="5"/>
  <c r="C701" i="5"/>
  <c r="D701" i="5"/>
  <c r="E701" i="5"/>
  <c r="F701" i="5"/>
  <c r="G701" i="5"/>
  <c r="H701" i="5"/>
  <c r="I701" i="5"/>
  <c r="J701" i="5"/>
  <c r="B702" i="5"/>
  <c r="C702" i="5"/>
  <c r="D702" i="5"/>
  <c r="E702" i="5"/>
  <c r="F702" i="5"/>
  <c r="G702" i="5"/>
  <c r="H702" i="5"/>
  <c r="I702" i="5"/>
  <c r="J702" i="5"/>
  <c r="B703" i="5"/>
  <c r="C703" i="5"/>
  <c r="D703" i="5"/>
  <c r="E703" i="5"/>
  <c r="F703" i="5"/>
  <c r="G703" i="5"/>
  <c r="H703" i="5"/>
  <c r="I703" i="5"/>
  <c r="J703" i="5"/>
  <c r="B704" i="5"/>
  <c r="C704" i="5"/>
  <c r="D704" i="5"/>
  <c r="E704" i="5"/>
  <c r="F704" i="5"/>
  <c r="G704" i="5"/>
  <c r="H704" i="5"/>
  <c r="I704" i="5"/>
  <c r="J704" i="5"/>
  <c r="B705" i="5"/>
  <c r="C705" i="5"/>
  <c r="D705" i="5"/>
  <c r="E705" i="5"/>
  <c r="F705" i="5"/>
  <c r="G705" i="5"/>
  <c r="H705" i="5"/>
  <c r="I705" i="5"/>
  <c r="J705" i="5"/>
  <c r="B706" i="5"/>
  <c r="C706" i="5"/>
  <c r="D706" i="5"/>
  <c r="E706" i="5"/>
  <c r="F706" i="5"/>
  <c r="G706" i="5"/>
  <c r="H706" i="5"/>
  <c r="I706" i="5"/>
  <c r="J706" i="5"/>
  <c r="B707" i="5"/>
  <c r="C707" i="5"/>
  <c r="D707" i="5"/>
  <c r="E707" i="5"/>
  <c r="F707" i="5"/>
  <c r="G707" i="5"/>
  <c r="H707" i="5"/>
  <c r="I707" i="5"/>
  <c r="J707" i="5"/>
  <c r="B708" i="5"/>
  <c r="C708" i="5"/>
  <c r="D708" i="5"/>
  <c r="E708" i="5"/>
  <c r="F708" i="5"/>
  <c r="G708" i="5"/>
  <c r="H708" i="5"/>
  <c r="I708" i="5"/>
  <c r="J708" i="5"/>
  <c r="B709" i="5"/>
  <c r="C709" i="5"/>
  <c r="D709" i="5"/>
  <c r="E709" i="5"/>
  <c r="F709" i="5"/>
  <c r="G709" i="5"/>
  <c r="H709" i="5"/>
  <c r="I709" i="5"/>
  <c r="J709" i="5"/>
  <c r="B710" i="5"/>
  <c r="C710" i="5"/>
  <c r="D710" i="5"/>
  <c r="E710" i="5"/>
  <c r="F710" i="5"/>
  <c r="G710" i="5"/>
  <c r="H710" i="5"/>
  <c r="I710" i="5"/>
  <c r="J710" i="5"/>
  <c r="B711" i="5"/>
  <c r="C711" i="5"/>
  <c r="D711" i="5"/>
  <c r="E711" i="5"/>
  <c r="F711" i="5"/>
  <c r="G711" i="5"/>
  <c r="H711" i="5"/>
  <c r="I711" i="5"/>
  <c r="J711" i="5"/>
  <c r="B712" i="5"/>
  <c r="C712" i="5"/>
  <c r="D712" i="5"/>
  <c r="E712" i="5"/>
  <c r="F712" i="5"/>
  <c r="G712" i="5"/>
  <c r="H712" i="5"/>
  <c r="I712" i="5"/>
  <c r="J712" i="5"/>
  <c r="B713" i="5"/>
  <c r="C713" i="5"/>
  <c r="D713" i="5"/>
  <c r="E713" i="5"/>
  <c r="F713" i="5"/>
  <c r="G713" i="5"/>
  <c r="H713" i="5"/>
  <c r="I713" i="5"/>
  <c r="J713" i="5"/>
  <c r="B714" i="5"/>
  <c r="C714" i="5"/>
  <c r="D714" i="5"/>
  <c r="E714" i="5"/>
  <c r="F714" i="5"/>
  <c r="G714" i="5"/>
  <c r="H714" i="5"/>
  <c r="I714" i="5"/>
  <c r="J714" i="5"/>
  <c r="B715" i="5"/>
  <c r="C715" i="5"/>
  <c r="D715" i="5"/>
  <c r="E715" i="5"/>
  <c r="F715" i="5"/>
  <c r="G715" i="5"/>
  <c r="H715" i="5"/>
  <c r="I715" i="5"/>
  <c r="J715" i="5"/>
  <c r="B716" i="5"/>
  <c r="C716" i="5"/>
  <c r="D716" i="5"/>
  <c r="E716" i="5"/>
  <c r="F716" i="5"/>
  <c r="G716" i="5"/>
  <c r="H716" i="5"/>
  <c r="I716" i="5"/>
  <c r="J716" i="5"/>
  <c r="B717" i="5"/>
  <c r="C717" i="5"/>
  <c r="D717" i="5"/>
  <c r="E717" i="5"/>
  <c r="F717" i="5"/>
  <c r="G717" i="5"/>
  <c r="H717" i="5"/>
  <c r="I717" i="5"/>
  <c r="J717" i="5"/>
  <c r="B718" i="5"/>
  <c r="C718" i="5"/>
  <c r="D718" i="5"/>
  <c r="E718" i="5"/>
  <c r="F718" i="5"/>
  <c r="G718" i="5"/>
  <c r="H718" i="5"/>
  <c r="I718" i="5"/>
  <c r="J718" i="5"/>
  <c r="B719" i="5"/>
  <c r="C719" i="5"/>
  <c r="D719" i="5"/>
  <c r="E719" i="5"/>
  <c r="F719" i="5"/>
  <c r="G719" i="5"/>
  <c r="H719" i="5"/>
  <c r="I719" i="5"/>
  <c r="J719" i="5"/>
  <c r="B720" i="5"/>
  <c r="C720" i="5"/>
  <c r="D720" i="5"/>
  <c r="E720" i="5"/>
  <c r="F720" i="5"/>
  <c r="G720" i="5"/>
  <c r="H720" i="5"/>
  <c r="I720" i="5"/>
  <c r="J720" i="5"/>
  <c r="B721" i="5"/>
  <c r="C721" i="5"/>
  <c r="D721" i="5"/>
  <c r="E721" i="5"/>
  <c r="F721" i="5"/>
  <c r="G721" i="5"/>
  <c r="H721" i="5"/>
  <c r="I721" i="5"/>
  <c r="J721" i="5"/>
  <c r="B722" i="5"/>
  <c r="C722" i="5"/>
  <c r="D722" i="5"/>
  <c r="E722" i="5"/>
  <c r="F722" i="5"/>
  <c r="G722" i="5"/>
  <c r="H722" i="5"/>
  <c r="I722" i="5"/>
  <c r="J722" i="5"/>
  <c r="B723" i="5"/>
  <c r="C723" i="5"/>
  <c r="D723" i="5"/>
  <c r="E723" i="5"/>
  <c r="F723" i="5"/>
  <c r="G723" i="5"/>
  <c r="H723" i="5"/>
  <c r="I723" i="5"/>
  <c r="J723" i="5"/>
  <c r="B724" i="5"/>
  <c r="C724" i="5"/>
  <c r="D724" i="5"/>
  <c r="E724" i="5"/>
  <c r="F724" i="5"/>
  <c r="G724" i="5"/>
  <c r="H724" i="5"/>
  <c r="I724" i="5"/>
  <c r="J724" i="5"/>
  <c r="B725" i="5"/>
  <c r="C725" i="5"/>
  <c r="D725" i="5"/>
  <c r="E725" i="5"/>
  <c r="F725" i="5"/>
  <c r="G725" i="5"/>
  <c r="H725" i="5"/>
  <c r="I725" i="5"/>
  <c r="J725" i="5"/>
  <c r="B726" i="5"/>
  <c r="C726" i="5"/>
  <c r="D726" i="5"/>
  <c r="E726" i="5"/>
  <c r="F726" i="5"/>
  <c r="G726" i="5"/>
  <c r="H726" i="5"/>
  <c r="I726" i="5"/>
  <c r="J726" i="5"/>
  <c r="B727" i="5"/>
  <c r="C727" i="5"/>
  <c r="D727" i="5"/>
  <c r="E727" i="5"/>
  <c r="F727" i="5"/>
  <c r="G727" i="5"/>
  <c r="H727" i="5"/>
  <c r="I727" i="5"/>
  <c r="J727" i="5"/>
  <c r="B728" i="5"/>
  <c r="C728" i="5"/>
  <c r="D728" i="5"/>
  <c r="E728" i="5"/>
  <c r="F728" i="5"/>
  <c r="G728" i="5"/>
  <c r="H728" i="5"/>
  <c r="I728" i="5"/>
  <c r="J728" i="5"/>
  <c r="B729" i="5"/>
  <c r="C729" i="5"/>
  <c r="D729" i="5"/>
  <c r="E729" i="5"/>
  <c r="F729" i="5"/>
  <c r="G729" i="5"/>
  <c r="H729" i="5"/>
  <c r="I729" i="5"/>
  <c r="J729" i="5"/>
  <c r="B730" i="5"/>
  <c r="C730" i="5"/>
  <c r="D730" i="5"/>
  <c r="E730" i="5"/>
  <c r="F730" i="5"/>
  <c r="G730" i="5"/>
  <c r="H730" i="5"/>
  <c r="I730" i="5"/>
  <c r="J730" i="5"/>
  <c r="B731" i="5"/>
  <c r="C731" i="5"/>
  <c r="D731" i="5"/>
  <c r="E731" i="5"/>
  <c r="F731" i="5"/>
  <c r="G731" i="5"/>
  <c r="H731" i="5"/>
  <c r="I731" i="5"/>
  <c r="J731" i="5"/>
  <c r="B732" i="5"/>
  <c r="C732" i="5"/>
  <c r="D732" i="5"/>
  <c r="E732" i="5"/>
  <c r="F732" i="5"/>
  <c r="G732" i="5"/>
  <c r="H732" i="5"/>
  <c r="I732" i="5"/>
  <c r="J732" i="5"/>
  <c r="B733" i="5"/>
  <c r="C733" i="5"/>
  <c r="D733" i="5"/>
  <c r="E733" i="5"/>
  <c r="F733" i="5"/>
  <c r="G733" i="5"/>
  <c r="H733" i="5"/>
  <c r="I733" i="5"/>
  <c r="J733" i="5"/>
  <c r="B734" i="5"/>
  <c r="C734" i="5"/>
  <c r="D734" i="5"/>
  <c r="E734" i="5"/>
  <c r="F734" i="5"/>
  <c r="G734" i="5"/>
  <c r="H734" i="5"/>
  <c r="I734" i="5"/>
  <c r="J734" i="5"/>
  <c r="B735" i="5"/>
  <c r="C735" i="5"/>
  <c r="D735" i="5"/>
  <c r="E735" i="5"/>
  <c r="F735" i="5"/>
  <c r="G735" i="5"/>
  <c r="H735" i="5"/>
  <c r="I735" i="5"/>
  <c r="J735" i="5"/>
  <c r="B736" i="5"/>
  <c r="C736" i="5"/>
  <c r="D736" i="5"/>
  <c r="E736" i="5"/>
  <c r="F736" i="5"/>
  <c r="G736" i="5"/>
  <c r="H736" i="5"/>
  <c r="I736" i="5"/>
  <c r="J736" i="5"/>
  <c r="B737" i="5"/>
  <c r="C737" i="5"/>
  <c r="D737" i="5"/>
  <c r="E737" i="5"/>
  <c r="F737" i="5"/>
  <c r="G737" i="5"/>
  <c r="H737" i="5"/>
  <c r="I737" i="5"/>
  <c r="J737" i="5"/>
  <c r="B738" i="5"/>
  <c r="C738" i="5"/>
  <c r="D738" i="5"/>
  <c r="E738" i="5"/>
  <c r="F738" i="5"/>
  <c r="G738" i="5"/>
  <c r="H738" i="5"/>
  <c r="I738" i="5"/>
  <c r="J738" i="5"/>
  <c r="B739" i="5"/>
  <c r="C739" i="5"/>
  <c r="D739" i="5"/>
  <c r="E739" i="5"/>
  <c r="F739" i="5"/>
  <c r="G739" i="5"/>
  <c r="H739" i="5"/>
  <c r="I739" i="5"/>
  <c r="J739" i="5"/>
  <c r="B740" i="5"/>
  <c r="C740" i="5"/>
  <c r="D740" i="5"/>
  <c r="E740" i="5"/>
  <c r="F740" i="5"/>
  <c r="G740" i="5"/>
  <c r="H740" i="5"/>
  <c r="I740" i="5"/>
  <c r="J740" i="5"/>
  <c r="B741" i="5"/>
  <c r="C741" i="5"/>
  <c r="D741" i="5"/>
  <c r="E741" i="5"/>
  <c r="F741" i="5"/>
  <c r="G741" i="5"/>
  <c r="H741" i="5"/>
  <c r="I741" i="5"/>
  <c r="J741" i="5"/>
  <c r="B742" i="5"/>
  <c r="C742" i="5"/>
  <c r="D742" i="5"/>
  <c r="E742" i="5"/>
  <c r="F742" i="5"/>
  <c r="G742" i="5"/>
  <c r="H742" i="5"/>
  <c r="I742" i="5"/>
  <c r="J742" i="5"/>
  <c r="B743" i="5"/>
  <c r="C743" i="5"/>
  <c r="D743" i="5"/>
  <c r="E743" i="5"/>
  <c r="F743" i="5"/>
  <c r="G743" i="5"/>
  <c r="H743" i="5"/>
  <c r="I743" i="5"/>
  <c r="J743" i="5"/>
  <c r="B744" i="5"/>
  <c r="C744" i="5"/>
  <c r="D744" i="5"/>
  <c r="E744" i="5"/>
  <c r="F744" i="5"/>
  <c r="G744" i="5"/>
  <c r="H744" i="5"/>
  <c r="I744" i="5"/>
  <c r="J744" i="5"/>
  <c r="B745" i="5"/>
  <c r="C745" i="5"/>
  <c r="D745" i="5"/>
  <c r="E745" i="5"/>
  <c r="F745" i="5"/>
  <c r="G745" i="5"/>
  <c r="H745" i="5"/>
  <c r="I745" i="5"/>
  <c r="J745" i="5"/>
  <c r="B746" i="5"/>
  <c r="C746" i="5"/>
  <c r="D746" i="5"/>
  <c r="E746" i="5"/>
  <c r="F746" i="5"/>
  <c r="G746" i="5"/>
  <c r="H746" i="5"/>
  <c r="I746" i="5"/>
  <c r="J746" i="5"/>
  <c r="B747" i="5"/>
  <c r="C747" i="5"/>
  <c r="D747" i="5"/>
  <c r="E747" i="5"/>
  <c r="F747" i="5"/>
  <c r="G747" i="5"/>
  <c r="H747" i="5"/>
  <c r="I747" i="5"/>
  <c r="J747" i="5"/>
  <c r="B748" i="5"/>
  <c r="C748" i="5"/>
  <c r="D748" i="5"/>
  <c r="E748" i="5"/>
  <c r="F748" i="5"/>
  <c r="G748" i="5"/>
  <c r="H748" i="5"/>
  <c r="I748" i="5"/>
  <c r="J748" i="5"/>
  <c r="B749" i="5"/>
  <c r="C749" i="5"/>
  <c r="D749" i="5"/>
  <c r="E749" i="5"/>
  <c r="F749" i="5"/>
  <c r="G749" i="5"/>
  <c r="H749" i="5"/>
  <c r="I749" i="5"/>
  <c r="J749" i="5"/>
  <c r="B750" i="5"/>
  <c r="C750" i="5"/>
  <c r="D750" i="5"/>
  <c r="E750" i="5"/>
  <c r="F750" i="5"/>
  <c r="G750" i="5"/>
  <c r="H750" i="5"/>
  <c r="I750" i="5"/>
  <c r="J750" i="5"/>
  <c r="B751" i="5"/>
  <c r="C751" i="5"/>
  <c r="D751" i="5"/>
  <c r="E751" i="5"/>
  <c r="F751" i="5"/>
  <c r="G751" i="5"/>
  <c r="H751" i="5"/>
  <c r="I751" i="5"/>
  <c r="J751" i="5"/>
  <c r="B752" i="5"/>
  <c r="C752" i="5"/>
  <c r="D752" i="5"/>
  <c r="E752" i="5"/>
  <c r="F752" i="5"/>
  <c r="G752" i="5"/>
  <c r="H752" i="5"/>
  <c r="I752" i="5"/>
  <c r="J752" i="5"/>
  <c r="B753" i="5"/>
  <c r="C753" i="5"/>
  <c r="D753" i="5"/>
  <c r="E753" i="5"/>
  <c r="F753" i="5"/>
  <c r="G753" i="5"/>
  <c r="H753" i="5"/>
  <c r="I753" i="5"/>
  <c r="J753" i="5"/>
  <c r="B754" i="5"/>
  <c r="C754" i="5"/>
  <c r="D754" i="5"/>
  <c r="E754" i="5"/>
  <c r="F754" i="5"/>
  <c r="G754" i="5"/>
  <c r="H754" i="5"/>
  <c r="I754" i="5"/>
  <c r="J754" i="5"/>
  <c r="B755" i="5"/>
  <c r="C755" i="5"/>
  <c r="D755" i="5"/>
  <c r="E755" i="5"/>
  <c r="F755" i="5"/>
  <c r="G755" i="5"/>
  <c r="H755" i="5"/>
  <c r="I755" i="5"/>
  <c r="J755" i="5"/>
  <c r="B756" i="5"/>
  <c r="C756" i="5"/>
  <c r="D756" i="5"/>
  <c r="E756" i="5"/>
  <c r="F756" i="5"/>
  <c r="G756" i="5"/>
  <c r="H756" i="5"/>
  <c r="I756" i="5"/>
  <c r="J756" i="5"/>
  <c r="B757" i="5"/>
  <c r="C757" i="5"/>
  <c r="D757" i="5"/>
  <c r="E757" i="5"/>
  <c r="F757" i="5"/>
  <c r="G757" i="5"/>
  <c r="H757" i="5"/>
  <c r="I757" i="5"/>
  <c r="J757" i="5"/>
  <c r="B758" i="5"/>
  <c r="C758" i="5"/>
  <c r="D758" i="5"/>
  <c r="E758" i="5"/>
  <c r="F758" i="5"/>
  <c r="G758" i="5"/>
  <c r="H758" i="5"/>
  <c r="I758" i="5"/>
  <c r="J758" i="5"/>
  <c r="B759" i="5"/>
  <c r="C759" i="5"/>
  <c r="D759" i="5"/>
  <c r="E759" i="5"/>
  <c r="F759" i="5"/>
  <c r="G759" i="5"/>
  <c r="H759" i="5"/>
  <c r="I759" i="5"/>
  <c r="J759" i="5"/>
  <c r="B760" i="5"/>
  <c r="C760" i="5"/>
  <c r="D760" i="5"/>
  <c r="E760" i="5"/>
  <c r="F760" i="5"/>
  <c r="G760" i="5"/>
  <c r="H760" i="5"/>
  <c r="I760" i="5"/>
  <c r="J760" i="5"/>
  <c r="B761" i="5"/>
  <c r="C761" i="5"/>
  <c r="D761" i="5"/>
  <c r="E761" i="5"/>
  <c r="F761" i="5"/>
  <c r="G761" i="5"/>
  <c r="H761" i="5"/>
  <c r="I761" i="5"/>
  <c r="J761" i="5"/>
  <c r="B762" i="5"/>
  <c r="C762" i="5"/>
  <c r="D762" i="5"/>
  <c r="E762" i="5"/>
  <c r="F762" i="5"/>
  <c r="G762" i="5"/>
  <c r="H762" i="5"/>
  <c r="I762" i="5"/>
  <c r="J762" i="5"/>
  <c r="B763" i="5"/>
  <c r="C763" i="5"/>
  <c r="D763" i="5"/>
  <c r="E763" i="5"/>
  <c r="F763" i="5"/>
  <c r="G763" i="5"/>
  <c r="H763" i="5"/>
  <c r="I763" i="5"/>
  <c r="J763" i="5"/>
  <c r="B764" i="5"/>
  <c r="C764" i="5"/>
  <c r="D764" i="5"/>
  <c r="E764" i="5"/>
  <c r="F764" i="5"/>
  <c r="G764" i="5"/>
  <c r="H764" i="5"/>
  <c r="I764" i="5"/>
  <c r="J764" i="5"/>
  <c r="B765" i="5"/>
  <c r="C765" i="5"/>
  <c r="D765" i="5"/>
  <c r="E765" i="5"/>
  <c r="F765" i="5"/>
  <c r="G765" i="5"/>
  <c r="H765" i="5"/>
  <c r="I765" i="5"/>
  <c r="J765" i="5"/>
  <c r="B766" i="5"/>
  <c r="C766" i="5"/>
  <c r="D766" i="5"/>
  <c r="E766" i="5"/>
  <c r="F766" i="5"/>
  <c r="G766" i="5"/>
  <c r="H766" i="5"/>
  <c r="I766" i="5"/>
  <c r="J766" i="5"/>
  <c r="B767" i="5"/>
  <c r="C767" i="5"/>
  <c r="D767" i="5"/>
  <c r="E767" i="5"/>
  <c r="F767" i="5"/>
  <c r="G767" i="5"/>
  <c r="H767" i="5"/>
  <c r="I767" i="5"/>
  <c r="J767" i="5"/>
  <c r="B768" i="5"/>
  <c r="C768" i="5"/>
  <c r="D768" i="5"/>
  <c r="E768" i="5"/>
  <c r="F768" i="5"/>
  <c r="G768" i="5"/>
  <c r="H768" i="5"/>
  <c r="I768" i="5"/>
  <c r="J768" i="5"/>
  <c r="B769" i="5"/>
  <c r="C769" i="5"/>
  <c r="D769" i="5"/>
  <c r="E769" i="5"/>
  <c r="F769" i="5"/>
  <c r="G769" i="5"/>
  <c r="H769" i="5"/>
  <c r="I769" i="5"/>
  <c r="J769" i="5"/>
  <c r="B770" i="5"/>
  <c r="C770" i="5"/>
  <c r="D770" i="5"/>
  <c r="E770" i="5"/>
  <c r="F770" i="5"/>
  <c r="G770" i="5"/>
  <c r="H770" i="5"/>
  <c r="I770" i="5"/>
  <c r="J770" i="5"/>
  <c r="B771" i="5"/>
  <c r="C771" i="5"/>
  <c r="D771" i="5"/>
  <c r="E771" i="5"/>
  <c r="F771" i="5"/>
  <c r="G771" i="5"/>
  <c r="H771" i="5"/>
  <c r="I771" i="5"/>
  <c r="J771" i="5"/>
  <c r="B772" i="5"/>
  <c r="C772" i="5"/>
  <c r="D772" i="5"/>
  <c r="E772" i="5"/>
  <c r="F772" i="5"/>
  <c r="G772" i="5"/>
  <c r="H772" i="5"/>
  <c r="I772" i="5"/>
  <c r="J772" i="5"/>
  <c r="B773" i="5"/>
  <c r="C773" i="5"/>
  <c r="D773" i="5"/>
  <c r="E773" i="5"/>
  <c r="F773" i="5"/>
  <c r="G773" i="5"/>
  <c r="H773" i="5"/>
  <c r="I773" i="5"/>
  <c r="J773" i="5"/>
  <c r="B774" i="5"/>
  <c r="C774" i="5"/>
  <c r="D774" i="5"/>
  <c r="E774" i="5"/>
  <c r="F774" i="5"/>
  <c r="G774" i="5"/>
  <c r="H774" i="5"/>
  <c r="I774" i="5"/>
  <c r="J774" i="5"/>
  <c r="B775" i="5"/>
  <c r="C775" i="5"/>
  <c r="D775" i="5"/>
  <c r="E775" i="5"/>
  <c r="F775" i="5"/>
  <c r="G775" i="5"/>
  <c r="H775" i="5"/>
  <c r="I775" i="5"/>
  <c r="J775" i="5"/>
  <c r="B776" i="5"/>
  <c r="C776" i="5"/>
  <c r="D776" i="5"/>
  <c r="E776" i="5"/>
  <c r="F776" i="5"/>
  <c r="G776" i="5"/>
  <c r="H776" i="5"/>
  <c r="I776" i="5"/>
  <c r="J776" i="5"/>
  <c r="B777" i="5"/>
  <c r="C777" i="5"/>
  <c r="D777" i="5"/>
  <c r="E777" i="5"/>
  <c r="F777" i="5"/>
  <c r="G777" i="5"/>
  <c r="H777" i="5"/>
  <c r="I777" i="5"/>
  <c r="J777" i="5"/>
  <c r="B778" i="5"/>
  <c r="C778" i="5"/>
  <c r="D778" i="5"/>
  <c r="E778" i="5"/>
  <c r="F778" i="5"/>
  <c r="G778" i="5"/>
  <c r="H778" i="5"/>
  <c r="I778" i="5"/>
  <c r="J778" i="5"/>
  <c r="B779" i="5"/>
  <c r="C779" i="5"/>
  <c r="D779" i="5"/>
  <c r="E779" i="5"/>
  <c r="F779" i="5"/>
  <c r="G779" i="5"/>
  <c r="H779" i="5"/>
  <c r="I779" i="5"/>
  <c r="J779" i="5"/>
  <c r="B780" i="5"/>
  <c r="C780" i="5"/>
  <c r="D780" i="5"/>
  <c r="E780" i="5"/>
  <c r="F780" i="5"/>
  <c r="G780" i="5"/>
  <c r="H780" i="5"/>
  <c r="I780" i="5"/>
  <c r="J780" i="5"/>
  <c r="B781" i="5"/>
  <c r="C781" i="5"/>
  <c r="D781" i="5"/>
  <c r="E781" i="5"/>
  <c r="F781" i="5"/>
  <c r="G781" i="5"/>
  <c r="H781" i="5"/>
  <c r="I781" i="5"/>
  <c r="J781" i="5"/>
  <c r="B782" i="5"/>
  <c r="C782" i="5"/>
  <c r="D782" i="5"/>
  <c r="E782" i="5"/>
  <c r="F782" i="5"/>
  <c r="G782" i="5"/>
  <c r="H782" i="5"/>
  <c r="I782" i="5"/>
  <c r="J782" i="5"/>
  <c r="B783" i="5"/>
  <c r="C783" i="5"/>
  <c r="D783" i="5"/>
  <c r="E783" i="5"/>
  <c r="F783" i="5"/>
  <c r="G783" i="5"/>
  <c r="H783" i="5"/>
  <c r="I783" i="5"/>
  <c r="J783" i="5"/>
  <c r="B784" i="5"/>
  <c r="C784" i="5"/>
  <c r="D784" i="5"/>
  <c r="E784" i="5"/>
  <c r="F784" i="5"/>
  <c r="G784" i="5"/>
  <c r="H784" i="5"/>
  <c r="I784" i="5"/>
  <c r="J784" i="5"/>
  <c r="B785" i="5"/>
  <c r="C785" i="5"/>
  <c r="D785" i="5"/>
  <c r="E785" i="5"/>
  <c r="F785" i="5"/>
  <c r="G785" i="5"/>
  <c r="H785" i="5"/>
  <c r="I785" i="5"/>
  <c r="J785" i="5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C31" i="4"/>
  <c r="D31" i="4"/>
  <c r="E31" i="4"/>
  <c r="F31" i="4"/>
  <c r="G31" i="4"/>
  <c r="H31" i="4"/>
  <c r="C32" i="4"/>
  <c r="D32" i="4"/>
  <c r="E32" i="4"/>
  <c r="F32" i="4"/>
  <c r="G32" i="4"/>
  <c r="H32" i="4"/>
  <c r="C33" i="4"/>
  <c r="D33" i="4"/>
  <c r="E33" i="4"/>
  <c r="F33" i="4"/>
  <c r="G33" i="4"/>
  <c r="H33" i="4"/>
  <c r="C34" i="4"/>
  <c r="D34" i="4"/>
  <c r="E34" i="4"/>
  <c r="F34" i="4"/>
  <c r="G34" i="4"/>
  <c r="H34" i="4"/>
  <c r="C35" i="4"/>
  <c r="D35" i="4"/>
  <c r="E35" i="4"/>
  <c r="F35" i="4"/>
  <c r="G35" i="4"/>
  <c r="H35" i="4"/>
  <c r="C36" i="4"/>
  <c r="D36" i="4"/>
  <c r="E36" i="4"/>
  <c r="F36" i="4"/>
  <c r="G36" i="4"/>
  <c r="H36" i="4"/>
  <c r="C37" i="4"/>
  <c r="D37" i="4"/>
  <c r="E37" i="4"/>
  <c r="F37" i="4"/>
  <c r="G37" i="4"/>
  <c r="H37" i="4"/>
  <c r="C38" i="4"/>
  <c r="D38" i="4"/>
  <c r="E38" i="4"/>
  <c r="F38" i="4"/>
  <c r="G38" i="4"/>
  <c r="H38" i="4"/>
  <c r="C39" i="4"/>
  <c r="D39" i="4"/>
  <c r="E39" i="4"/>
  <c r="F39" i="4"/>
  <c r="G39" i="4"/>
  <c r="H39" i="4"/>
  <c r="C40" i="4"/>
  <c r="D40" i="4"/>
  <c r="E40" i="4"/>
  <c r="F40" i="4"/>
  <c r="G40" i="4"/>
  <c r="H40" i="4"/>
  <c r="C41" i="4"/>
  <c r="D41" i="4"/>
  <c r="E41" i="4"/>
  <c r="F41" i="4"/>
  <c r="G41" i="4"/>
  <c r="H41" i="4"/>
  <c r="C42" i="4"/>
  <c r="D42" i="4"/>
  <c r="E42" i="4"/>
  <c r="F42" i="4"/>
  <c r="G42" i="4"/>
  <c r="H42" i="4"/>
  <c r="C43" i="4"/>
  <c r="D43" i="4"/>
  <c r="E43" i="4"/>
  <c r="F43" i="4"/>
  <c r="G43" i="4"/>
  <c r="H43" i="4"/>
  <c r="C44" i="4"/>
  <c r="D44" i="4"/>
  <c r="E44" i="4"/>
  <c r="F44" i="4"/>
  <c r="G44" i="4"/>
  <c r="H44" i="4"/>
  <c r="C45" i="4"/>
  <c r="D45" i="4"/>
  <c r="E45" i="4"/>
  <c r="F45" i="4"/>
  <c r="G45" i="4"/>
  <c r="H45" i="4"/>
  <c r="C46" i="4"/>
  <c r="D46" i="4"/>
  <c r="E46" i="4"/>
  <c r="F46" i="4"/>
  <c r="G46" i="4"/>
  <c r="H46" i="4"/>
  <c r="C47" i="4"/>
  <c r="D47" i="4"/>
  <c r="E47" i="4"/>
  <c r="F47" i="4"/>
  <c r="G47" i="4"/>
  <c r="H47" i="4"/>
  <c r="C48" i="4"/>
  <c r="D48" i="4"/>
  <c r="E48" i="4"/>
  <c r="F48" i="4"/>
  <c r="G48" i="4"/>
  <c r="H48" i="4"/>
  <c r="C49" i="4"/>
  <c r="D49" i="4"/>
  <c r="E49" i="4"/>
  <c r="F49" i="4"/>
  <c r="G49" i="4"/>
  <c r="H49" i="4"/>
  <c r="C50" i="4"/>
  <c r="D50" i="4"/>
  <c r="E50" i="4"/>
  <c r="F50" i="4"/>
  <c r="G50" i="4"/>
  <c r="H50" i="4"/>
  <c r="C51" i="4"/>
  <c r="D51" i="4"/>
  <c r="E51" i="4"/>
  <c r="F51" i="4"/>
  <c r="G51" i="4"/>
  <c r="H51" i="4"/>
  <c r="C52" i="4"/>
  <c r="D52" i="4"/>
  <c r="E52" i="4"/>
  <c r="F52" i="4"/>
  <c r="G52" i="4"/>
  <c r="H52" i="4"/>
  <c r="C53" i="4"/>
  <c r="D53" i="4"/>
  <c r="E53" i="4"/>
  <c r="F53" i="4"/>
  <c r="G53" i="4"/>
  <c r="H53" i="4"/>
  <c r="C54" i="4"/>
  <c r="D54" i="4"/>
  <c r="E54" i="4"/>
  <c r="F54" i="4"/>
  <c r="G54" i="4"/>
  <c r="H54" i="4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C59" i="4"/>
  <c r="D59" i="4"/>
  <c r="E59" i="4"/>
  <c r="F59" i="4"/>
  <c r="G59" i="4"/>
  <c r="H59" i="4"/>
  <c r="C60" i="4"/>
  <c r="D60" i="4"/>
  <c r="E60" i="4"/>
  <c r="F60" i="4"/>
  <c r="G60" i="4"/>
  <c r="H60" i="4"/>
  <c r="C61" i="4"/>
  <c r="D61" i="4"/>
  <c r="E61" i="4"/>
  <c r="F61" i="4"/>
  <c r="G61" i="4"/>
  <c r="H61" i="4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H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C74" i="4"/>
  <c r="D74" i="4"/>
  <c r="E74" i="4"/>
  <c r="F74" i="4"/>
  <c r="G74" i="4"/>
  <c r="H74" i="4"/>
  <c r="C75" i="4"/>
  <c r="D75" i="4"/>
  <c r="E75" i="4"/>
  <c r="F75" i="4"/>
  <c r="G75" i="4"/>
  <c r="H75" i="4"/>
  <c r="C76" i="4"/>
  <c r="D76" i="4"/>
  <c r="E76" i="4"/>
  <c r="F76" i="4"/>
  <c r="G76" i="4"/>
  <c r="H76" i="4"/>
  <c r="C77" i="4"/>
  <c r="D77" i="4"/>
  <c r="E77" i="4"/>
  <c r="F77" i="4"/>
  <c r="G77" i="4"/>
  <c r="H77" i="4"/>
  <c r="C78" i="4"/>
  <c r="D78" i="4"/>
  <c r="E78" i="4"/>
  <c r="F78" i="4"/>
  <c r="G78" i="4"/>
  <c r="H78" i="4"/>
  <c r="C79" i="4"/>
  <c r="D79" i="4"/>
  <c r="E79" i="4"/>
  <c r="F79" i="4"/>
  <c r="G79" i="4"/>
  <c r="H79" i="4"/>
  <c r="C80" i="4"/>
  <c r="D80" i="4"/>
  <c r="E80" i="4"/>
  <c r="F80" i="4"/>
  <c r="G80" i="4"/>
  <c r="H80" i="4"/>
  <c r="C81" i="4"/>
  <c r="D81" i="4"/>
  <c r="E81" i="4"/>
  <c r="F81" i="4"/>
  <c r="G81" i="4"/>
  <c r="H81" i="4"/>
  <c r="C82" i="4"/>
  <c r="D82" i="4"/>
  <c r="E82" i="4"/>
  <c r="F82" i="4"/>
  <c r="G82" i="4"/>
  <c r="H82" i="4"/>
  <c r="C83" i="4"/>
  <c r="D83" i="4"/>
  <c r="E83" i="4"/>
  <c r="F83" i="4"/>
  <c r="G83" i="4"/>
  <c r="H83" i="4"/>
  <c r="C84" i="4"/>
  <c r="D84" i="4"/>
  <c r="E84" i="4"/>
  <c r="F84" i="4"/>
  <c r="G84" i="4"/>
  <c r="H84" i="4"/>
  <c r="C85" i="4"/>
  <c r="D85" i="4"/>
  <c r="E85" i="4"/>
  <c r="F85" i="4"/>
  <c r="G85" i="4"/>
  <c r="H85" i="4"/>
  <c r="C86" i="4"/>
  <c r="D86" i="4"/>
  <c r="E86" i="4"/>
  <c r="F86" i="4"/>
  <c r="G86" i="4"/>
  <c r="H86" i="4"/>
  <c r="C87" i="4"/>
  <c r="D87" i="4"/>
  <c r="E87" i="4"/>
  <c r="F87" i="4"/>
  <c r="G87" i="4"/>
  <c r="H87" i="4"/>
  <c r="C88" i="4"/>
  <c r="D88" i="4"/>
  <c r="E88" i="4"/>
  <c r="F88" i="4"/>
  <c r="G88" i="4"/>
  <c r="H88" i="4"/>
  <c r="C89" i="4"/>
  <c r="D89" i="4"/>
  <c r="E89" i="4"/>
  <c r="F89" i="4"/>
  <c r="G89" i="4"/>
  <c r="H89" i="4"/>
  <c r="C90" i="4"/>
  <c r="D90" i="4"/>
  <c r="E90" i="4"/>
  <c r="F90" i="4"/>
  <c r="G90" i="4"/>
  <c r="H90" i="4"/>
  <c r="C91" i="4"/>
  <c r="D91" i="4"/>
  <c r="E91" i="4"/>
  <c r="F91" i="4"/>
  <c r="G91" i="4"/>
  <c r="H91" i="4"/>
  <c r="C92" i="4"/>
  <c r="D92" i="4"/>
  <c r="E92" i="4"/>
  <c r="F92" i="4"/>
  <c r="G92" i="4"/>
  <c r="H92" i="4"/>
  <c r="C93" i="4"/>
  <c r="D93" i="4"/>
  <c r="E93" i="4"/>
  <c r="F93" i="4"/>
  <c r="G93" i="4"/>
  <c r="H93" i="4"/>
  <c r="C94" i="4"/>
  <c r="D94" i="4"/>
  <c r="E94" i="4"/>
  <c r="F94" i="4"/>
  <c r="G94" i="4"/>
  <c r="H94" i="4"/>
  <c r="C95" i="4"/>
  <c r="D95" i="4"/>
  <c r="E95" i="4"/>
  <c r="F95" i="4"/>
  <c r="G95" i="4"/>
  <c r="H95" i="4"/>
  <c r="C96" i="4"/>
  <c r="D96" i="4"/>
  <c r="E96" i="4"/>
  <c r="F96" i="4"/>
  <c r="G96" i="4"/>
  <c r="H96" i="4"/>
  <c r="C97" i="4"/>
  <c r="D97" i="4"/>
  <c r="E97" i="4"/>
  <c r="F97" i="4"/>
  <c r="G97" i="4"/>
  <c r="H97" i="4"/>
  <c r="C98" i="4"/>
  <c r="D98" i="4"/>
  <c r="E98" i="4"/>
  <c r="F98" i="4"/>
  <c r="G98" i="4"/>
  <c r="H98" i="4"/>
  <c r="C99" i="4"/>
  <c r="D99" i="4"/>
  <c r="E99" i="4"/>
  <c r="F99" i="4"/>
  <c r="G99" i="4"/>
  <c r="H99" i="4"/>
  <c r="C100" i="4"/>
  <c r="D100" i="4"/>
  <c r="E100" i="4"/>
  <c r="F100" i="4"/>
  <c r="G100" i="4"/>
  <c r="H100" i="4"/>
  <c r="C101" i="4"/>
  <c r="D101" i="4"/>
  <c r="E101" i="4"/>
  <c r="F101" i="4"/>
  <c r="G101" i="4"/>
  <c r="H101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04" i="4"/>
  <c r="D104" i="4"/>
  <c r="E104" i="4"/>
  <c r="F104" i="4"/>
  <c r="G104" i="4"/>
  <c r="H104" i="4"/>
  <c r="C105" i="4"/>
  <c r="D105" i="4"/>
  <c r="E105" i="4"/>
  <c r="F105" i="4"/>
  <c r="G105" i="4"/>
  <c r="H105" i="4"/>
  <c r="C106" i="4"/>
  <c r="D106" i="4"/>
  <c r="E106" i="4"/>
  <c r="F106" i="4"/>
  <c r="G106" i="4"/>
  <c r="H106" i="4"/>
  <c r="C107" i="4"/>
  <c r="D107" i="4"/>
  <c r="E107" i="4"/>
  <c r="F107" i="4"/>
  <c r="G107" i="4"/>
  <c r="H107" i="4"/>
  <c r="C108" i="4"/>
  <c r="D108" i="4"/>
  <c r="E108" i="4"/>
  <c r="F108" i="4"/>
  <c r="G108" i="4"/>
  <c r="H108" i="4"/>
  <c r="C109" i="4"/>
  <c r="D109" i="4"/>
  <c r="E109" i="4"/>
  <c r="F109" i="4"/>
  <c r="G109" i="4"/>
  <c r="H109" i="4"/>
  <c r="C110" i="4"/>
  <c r="D110" i="4"/>
  <c r="E110" i="4"/>
  <c r="F110" i="4"/>
  <c r="G110" i="4"/>
  <c r="H110" i="4"/>
  <c r="C111" i="4"/>
  <c r="D111" i="4"/>
  <c r="E111" i="4"/>
  <c r="F111" i="4"/>
  <c r="G111" i="4"/>
  <c r="H111" i="4"/>
  <c r="C112" i="4"/>
  <c r="D112" i="4"/>
  <c r="E112" i="4"/>
  <c r="F112" i="4"/>
  <c r="G112" i="4"/>
  <c r="H112" i="4"/>
  <c r="C113" i="4"/>
  <c r="D113" i="4"/>
  <c r="E113" i="4"/>
  <c r="F113" i="4"/>
  <c r="G113" i="4"/>
  <c r="H113" i="4"/>
  <c r="C114" i="4"/>
  <c r="D114" i="4"/>
  <c r="E114" i="4"/>
  <c r="F114" i="4"/>
  <c r="G114" i="4"/>
  <c r="H114" i="4"/>
  <c r="C115" i="4"/>
  <c r="D115" i="4"/>
  <c r="E115" i="4"/>
  <c r="F115" i="4"/>
  <c r="G115" i="4"/>
  <c r="H115" i="4"/>
  <c r="C116" i="4"/>
  <c r="D116" i="4"/>
  <c r="E116" i="4"/>
  <c r="F116" i="4"/>
  <c r="G116" i="4"/>
  <c r="H116" i="4"/>
  <c r="C117" i="4"/>
  <c r="D117" i="4"/>
  <c r="E117" i="4"/>
  <c r="F117" i="4"/>
  <c r="G117" i="4"/>
  <c r="H117" i="4"/>
  <c r="C118" i="4"/>
  <c r="D118" i="4"/>
  <c r="E118" i="4"/>
  <c r="F118" i="4"/>
  <c r="G118" i="4"/>
  <c r="H118" i="4"/>
  <c r="C119" i="4"/>
  <c r="D119" i="4"/>
  <c r="E119" i="4"/>
  <c r="F119" i="4"/>
  <c r="G119" i="4"/>
  <c r="H119" i="4"/>
  <c r="C120" i="4"/>
  <c r="D120" i="4"/>
  <c r="E120" i="4"/>
  <c r="F120" i="4"/>
  <c r="G120" i="4"/>
  <c r="H120" i="4"/>
  <c r="C121" i="4"/>
  <c r="D121" i="4"/>
  <c r="E121" i="4"/>
  <c r="F121" i="4"/>
  <c r="G121" i="4"/>
  <c r="H121" i="4"/>
  <c r="C122" i="4"/>
  <c r="D122" i="4"/>
  <c r="E122" i="4"/>
  <c r="F122" i="4"/>
  <c r="G122" i="4"/>
  <c r="H122" i="4"/>
  <c r="C123" i="4"/>
  <c r="D123" i="4"/>
  <c r="E123" i="4"/>
  <c r="F123" i="4"/>
  <c r="G123" i="4"/>
  <c r="H123" i="4"/>
  <c r="C124" i="4"/>
  <c r="D124" i="4"/>
  <c r="E124" i="4"/>
  <c r="F124" i="4"/>
  <c r="G124" i="4"/>
  <c r="H124" i="4"/>
  <c r="C125" i="4"/>
  <c r="D125" i="4"/>
  <c r="E125" i="4"/>
  <c r="F125" i="4"/>
  <c r="G125" i="4"/>
  <c r="H125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128" i="4"/>
  <c r="D128" i="4"/>
  <c r="E128" i="4"/>
  <c r="F128" i="4"/>
  <c r="G128" i="4"/>
  <c r="H128" i="4"/>
  <c r="C129" i="4"/>
  <c r="D129" i="4"/>
  <c r="E129" i="4"/>
  <c r="F129" i="4"/>
  <c r="G129" i="4"/>
  <c r="H129" i="4"/>
  <c r="C130" i="4"/>
  <c r="D130" i="4"/>
  <c r="E130" i="4"/>
  <c r="F130" i="4"/>
  <c r="G130" i="4"/>
  <c r="H130" i="4"/>
  <c r="C131" i="4"/>
  <c r="D131" i="4"/>
  <c r="E131" i="4"/>
  <c r="F131" i="4"/>
  <c r="G131" i="4"/>
  <c r="H131" i="4"/>
  <c r="C132" i="4"/>
  <c r="D132" i="4"/>
  <c r="E132" i="4"/>
  <c r="F132" i="4"/>
  <c r="G132" i="4"/>
  <c r="H132" i="4"/>
  <c r="C133" i="4"/>
  <c r="D133" i="4"/>
  <c r="E133" i="4"/>
  <c r="F133" i="4"/>
  <c r="G133" i="4"/>
  <c r="H133" i="4"/>
  <c r="C134" i="4"/>
  <c r="D134" i="4"/>
  <c r="E134" i="4"/>
  <c r="F134" i="4"/>
  <c r="G134" i="4"/>
  <c r="H134" i="4"/>
  <c r="C135" i="4"/>
  <c r="D135" i="4"/>
  <c r="E135" i="4"/>
  <c r="F135" i="4"/>
  <c r="G135" i="4"/>
  <c r="H135" i="4"/>
  <c r="C136" i="4"/>
  <c r="D136" i="4"/>
  <c r="E136" i="4"/>
  <c r="F136" i="4"/>
  <c r="G136" i="4"/>
  <c r="H136" i="4"/>
  <c r="C137" i="4"/>
  <c r="D137" i="4"/>
  <c r="E137" i="4"/>
  <c r="F137" i="4"/>
  <c r="G137" i="4"/>
  <c r="H137" i="4"/>
  <c r="C138" i="4"/>
  <c r="D138" i="4"/>
  <c r="E138" i="4"/>
  <c r="F138" i="4"/>
  <c r="G138" i="4"/>
  <c r="H138" i="4"/>
  <c r="C139" i="4"/>
  <c r="D139" i="4"/>
  <c r="E139" i="4"/>
  <c r="F139" i="4"/>
  <c r="G139" i="4"/>
  <c r="H139" i="4"/>
  <c r="C140" i="4"/>
  <c r="D140" i="4"/>
  <c r="E140" i="4"/>
  <c r="F140" i="4"/>
  <c r="G140" i="4"/>
  <c r="H140" i="4"/>
  <c r="C141" i="4"/>
  <c r="D141" i="4"/>
  <c r="E141" i="4"/>
  <c r="F141" i="4"/>
  <c r="G141" i="4"/>
  <c r="H141" i="4"/>
  <c r="C142" i="4"/>
  <c r="D142" i="4"/>
  <c r="E142" i="4"/>
  <c r="F142" i="4"/>
  <c r="G142" i="4"/>
  <c r="H142" i="4"/>
  <c r="C143" i="4"/>
  <c r="D143" i="4"/>
  <c r="E143" i="4"/>
  <c r="F143" i="4"/>
  <c r="G143" i="4"/>
  <c r="H143" i="4"/>
  <c r="C144" i="4"/>
  <c r="D144" i="4"/>
  <c r="E144" i="4"/>
  <c r="F144" i="4"/>
  <c r="G144" i="4"/>
  <c r="H144" i="4"/>
  <c r="C145" i="4"/>
  <c r="D145" i="4"/>
  <c r="E145" i="4"/>
  <c r="F145" i="4"/>
  <c r="G145" i="4"/>
  <c r="H145" i="4"/>
  <c r="C146" i="4"/>
  <c r="D146" i="4"/>
  <c r="E146" i="4"/>
  <c r="F146" i="4"/>
  <c r="G146" i="4"/>
  <c r="H146" i="4"/>
  <c r="C147" i="4"/>
  <c r="D147" i="4"/>
  <c r="E147" i="4"/>
  <c r="F147" i="4"/>
  <c r="G147" i="4"/>
  <c r="H147" i="4"/>
  <c r="C148" i="4"/>
  <c r="D148" i="4"/>
  <c r="E148" i="4"/>
  <c r="F148" i="4"/>
  <c r="G148" i="4"/>
  <c r="H148" i="4"/>
  <c r="C149" i="4"/>
  <c r="D149" i="4"/>
  <c r="E149" i="4"/>
  <c r="F149" i="4"/>
  <c r="G149" i="4"/>
  <c r="H149" i="4"/>
  <c r="C150" i="4"/>
  <c r="D150" i="4"/>
  <c r="E150" i="4"/>
  <c r="F150" i="4"/>
  <c r="G150" i="4"/>
  <c r="H150" i="4"/>
  <c r="C151" i="4"/>
  <c r="D151" i="4"/>
  <c r="E151" i="4"/>
  <c r="F151" i="4"/>
  <c r="G151" i="4"/>
  <c r="H151" i="4"/>
  <c r="C152" i="4"/>
  <c r="D152" i="4"/>
  <c r="E152" i="4"/>
  <c r="F152" i="4"/>
  <c r="G152" i="4"/>
  <c r="H152" i="4"/>
  <c r="C153" i="4"/>
  <c r="D153" i="4"/>
  <c r="E153" i="4"/>
  <c r="F153" i="4"/>
  <c r="G153" i="4"/>
  <c r="H153" i="4"/>
  <c r="C154" i="4"/>
  <c r="D154" i="4"/>
  <c r="E154" i="4"/>
  <c r="F154" i="4"/>
  <c r="G154" i="4"/>
  <c r="H154" i="4"/>
  <c r="C155" i="4"/>
  <c r="D155" i="4"/>
  <c r="E155" i="4"/>
  <c r="F155" i="4"/>
  <c r="G155" i="4"/>
  <c r="H155" i="4"/>
  <c r="C156" i="4"/>
  <c r="D156" i="4"/>
  <c r="E156" i="4"/>
  <c r="F156" i="4"/>
  <c r="G156" i="4"/>
  <c r="H156" i="4"/>
  <c r="C157" i="4"/>
  <c r="D157" i="4"/>
  <c r="E157" i="4"/>
  <c r="F157" i="4"/>
  <c r="G157" i="4"/>
  <c r="H157" i="4"/>
  <c r="C158" i="4"/>
  <c r="D158" i="4"/>
  <c r="E158" i="4"/>
  <c r="F158" i="4"/>
  <c r="G158" i="4"/>
  <c r="H158" i="4"/>
  <c r="C159" i="4"/>
  <c r="D159" i="4"/>
  <c r="E159" i="4"/>
  <c r="F159" i="4"/>
  <c r="G159" i="4"/>
  <c r="H159" i="4"/>
  <c r="C160" i="4"/>
  <c r="D160" i="4"/>
  <c r="E160" i="4"/>
  <c r="F160" i="4"/>
  <c r="G160" i="4"/>
  <c r="H160" i="4"/>
  <c r="C161" i="4"/>
  <c r="D161" i="4"/>
  <c r="E161" i="4"/>
  <c r="F161" i="4"/>
  <c r="G161" i="4"/>
  <c r="H161" i="4"/>
  <c r="C162" i="4"/>
  <c r="D162" i="4"/>
  <c r="E162" i="4"/>
  <c r="F162" i="4"/>
  <c r="G162" i="4"/>
  <c r="H162" i="4"/>
  <c r="C163" i="4"/>
  <c r="D163" i="4"/>
  <c r="E163" i="4"/>
  <c r="F163" i="4"/>
  <c r="G163" i="4"/>
  <c r="H163" i="4"/>
  <c r="C164" i="4"/>
  <c r="D164" i="4"/>
  <c r="E164" i="4"/>
  <c r="F164" i="4"/>
  <c r="G164" i="4"/>
  <c r="H164" i="4"/>
  <c r="C165" i="4"/>
  <c r="D165" i="4"/>
  <c r="E165" i="4"/>
  <c r="F165" i="4"/>
  <c r="G165" i="4"/>
  <c r="H165" i="4"/>
  <c r="C166" i="4"/>
  <c r="D166" i="4"/>
  <c r="E166" i="4"/>
  <c r="F166" i="4"/>
  <c r="G166" i="4"/>
  <c r="H166" i="4"/>
  <c r="C167" i="4"/>
  <c r="D167" i="4"/>
  <c r="E167" i="4"/>
  <c r="F167" i="4"/>
  <c r="G167" i="4"/>
  <c r="H167" i="4"/>
  <c r="C168" i="4"/>
  <c r="D168" i="4"/>
  <c r="E168" i="4"/>
  <c r="F168" i="4"/>
  <c r="G168" i="4"/>
  <c r="H168" i="4"/>
  <c r="C169" i="4"/>
  <c r="D169" i="4"/>
  <c r="E169" i="4"/>
  <c r="F169" i="4"/>
  <c r="G169" i="4"/>
  <c r="H169" i="4"/>
  <c r="C170" i="4"/>
  <c r="D170" i="4"/>
  <c r="E170" i="4"/>
  <c r="F170" i="4"/>
  <c r="G170" i="4"/>
  <c r="H170" i="4"/>
  <c r="C171" i="4"/>
  <c r="D171" i="4"/>
  <c r="E171" i="4"/>
  <c r="F171" i="4"/>
  <c r="G171" i="4"/>
  <c r="H171" i="4"/>
  <c r="C172" i="4"/>
  <c r="D172" i="4"/>
  <c r="E172" i="4"/>
  <c r="F172" i="4"/>
  <c r="G172" i="4"/>
  <c r="H172" i="4"/>
  <c r="C173" i="4"/>
  <c r="D173" i="4"/>
  <c r="E173" i="4"/>
  <c r="F173" i="4"/>
  <c r="G173" i="4"/>
  <c r="H173" i="4"/>
  <c r="C174" i="4"/>
  <c r="D174" i="4"/>
  <c r="E174" i="4"/>
  <c r="F174" i="4"/>
  <c r="G174" i="4"/>
  <c r="H174" i="4"/>
  <c r="C175" i="4"/>
  <c r="D175" i="4"/>
  <c r="E175" i="4"/>
  <c r="F175" i="4"/>
  <c r="G175" i="4"/>
  <c r="H175" i="4"/>
  <c r="C176" i="4"/>
  <c r="D176" i="4"/>
  <c r="E176" i="4"/>
  <c r="F176" i="4"/>
  <c r="G176" i="4"/>
  <c r="H176" i="4"/>
  <c r="C177" i="4"/>
  <c r="D177" i="4"/>
  <c r="E177" i="4"/>
  <c r="F177" i="4"/>
  <c r="G177" i="4"/>
  <c r="H177" i="4"/>
  <c r="C178" i="4"/>
  <c r="D178" i="4"/>
  <c r="E178" i="4"/>
  <c r="F178" i="4"/>
  <c r="G178" i="4"/>
  <c r="H178" i="4"/>
  <c r="C179" i="4"/>
  <c r="D179" i="4"/>
  <c r="E179" i="4"/>
  <c r="F179" i="4"/>
  <c r="G179" i="4"/>
  <c r="H179" i="4"/>
  <c r="C180" i="4"/>
  <c r="D180" i="4"/>
  <c r="E180" i="4"/>
  <c r="F180" i="4"/>
  <c r="G180" i="4"/>
  <c r="H180" i="4"/>
  <c r="C181" i="4"/>
  <c r="D181" i="4"/>
  <c r="E181" i="4"/>
  <c r="F181" i="4"/>
  <c r="G181" i="4"/>
  <c r="H181" i="4"/>
  <c r="C182" i="4"/>
  <c r="D182" i="4"/>
  <c r="E182" i="4"/>
  <c r="F182" i="4"/>
  <c r="G182" i="4"/>
  <c r="H182" i="4"/>
  <c r="C183" i="4"/>
  <c r="D183" i="4"/>
  <c r="E183" i="4"/>
  <c r="F183" i="4"/>
  <c r="G183" i="4"/>
  <c r="H183" i="4"/>
  <c r="C184" i="4"/>
  <c r="D184" i="4"/>
  <c r="E184" i="4"/>
  <c r="F184" i="4"/>
  <c r="G184" i="4"/>
  <c r="H184" i="4"/>
  <c r="C185" i="4"/>
  <c r="D185" i="4"/>
  <c r="E185" i="4"/>
  <c r="F185" i="4"/>
  <c r="G185" i="4"/>
  <c r="H185" i="4"/>
  <c r="C186" i="4"/>
  <c r="D186" i="4"/>
  <c r="E186" i="4"/>
  <c r="F186" i="4"/>
  <c r="G186" i="4"/>
  <c r="H186" i="4"/>
  <c r="C187" i="4"/>
  <c r="D187" i="4"/>
  <c r="E187" i="4"/>
  <c r="F187" i="4"/>
  <c r="G187" i="4"/>
  <c r="H187" i="4"/>
  <c r="C188" i="4"/>
  <c r="D188" i="4"/>
  <c r="E188" i="4"/>
  <c r="F188" i="4"/>
  <c r="G188" i="4"/>
  <c r="H188" i="4"/>
  <c r="C189" i="4"/>
  <c r="D189" i="4"/>
  <c r="E189" i="4"/>
  <c r="F189" i="4"/>
  <c r="G189" i="4"/>
  <c r="H189" i="4"/>
  <c r="C190" i="4"/>
  <c r="D190" i="4"/>
  <c r="E190" i="4"/>
  <c r="F190" i="4"/>
  <c r="G190" i="4"/>
  <c r="H190" i="4"/>
  <c r="C191" i="4"/>
  <c r="D191" i="4"/>
  <c r="E191" i="4"/>
  <c r="F191" i="4"/>
  <c r="G191" i="4"/>
  <c r="H191" i="4"/>
  <c r="C192" i="4"/>
  <c r="D192" i="4"/>
  <c r="E192" i="4"/>
  <c r="F192" i="4"/>
  <c r="G192" i="4"/>
  <c r="H192" i="4"/>
  <c r="C193" i="4"/>
  <c r="D193" i="4"/>
  <c r="E193" i="4"/>
  <c r="F193" i="4"/>
  <c r="G193" i="4"/>
  <c r="H193" i="4"/>
  <c r="C194" i="4"/>
  <c r="D194" i="4"/>
  <c r="E194" i="4"/>
  <c r="F194" i="4"/>
  <c r="G194" i="4"/>
  <c r="H194" i="4"/>
  <c r="C195" i="4"/>
  <c r="D195" i="4"/>
  <c r="E195" i="4"/>
  <c r="F195" i="4"/>
  <c r="G195" i="4"/>
  <c r="H195" i="4"/>
  <c r="C196" i="4"/>
  <c r="D196" i="4"/>
  <c r="E196" i="4"/>
  <c r="F196" i="4"/>
  <c r="G196" i="4"/>
  <c r="H196" i="4"/>
  <c r="C197" i="4"/>
  <c r="D197" i="4"/>
  <c r="E197" i="4"/>
  <c r="F197" i="4"/>
  <c r="G197" i="4"/>
  <c r="H197" i="4"/>
  <c r="C198" i="4"/>
  <c r="D198" i="4"/>
  <c r="E198" i="4"/>
  <c r="F198" i="4"/>
  <c r="G198" i="4"/>
  <c r="H198" i="4"/>
  <c r="C199" i="4"/>
  <c r="D199" i="4"/>
  <c r="E199" i="4"/>
  <c r="F199" i="4"/>
  <c r="G199" i="4"/>
  <c r="H199" i="4"/>
  <c r="C200" i="4"/>
  <c r="D200" i="4"/>
  <c r="E200" i="4"/>
  <c r="F200" i="4"/>
  <c r="G200" i="4"/>
  <c r="H200" i="4"/>
  <c r="C201" i="4"/>
  <c r="D201" i="4"/>
  <c r="E201" i="4"/>
  <c r="F201" i="4"/>
  <c r="G201" i="4"/>
  <c r="H201" i="4"/>
  <c r="C202" i="4"/>
  <c r="D202" i="4"/>
  <c r="E202" i="4"/>
  <c r="F202" i="4"/>
  <c r="G202" i="4"/>
  <c r="H202" i="4"/>
  <c r="C203" i="4"/>
  <c r="D203" i="4"/>
  <c r="E203" i="4"/>
  <c r="F203" i="4"/>
  <c r="G203" i="4"/>
  <c r="H203" i="4"/>
  <c r="C204" i="4"/>
  <c r="D204" i="4"/>
  <c r="E204" i="4"/>
  <c r="F204" i="4"/>
  <c r="G204" i="4"/>
  <c r="H204" i="4"/>
  <c r="C205" i="4"/>
  <c r="D205" i="4"/>
  <c r="E205" i="4"/>
  <c r="F205" i="4"/>
  <c r="G205" i="4"/>
  <c r="H205" i="4"/>
  <c r="C206" i="4"/>
  <c r="D206" i="4"/>
  <c r="E206" i="4"/>
  <c r="F206" i="4"/>
  <c r="G206" i="4"/>
  <c r="H206" i="4"/>
  <c r="C207" i="4"/>
  <c r="D207" i="4"/>
  <c r="E207" i="4"/>
  <c r="F207" i="4"/>
  <c r="G207" i="4"/>
  <c r="H207" i="4"/>
  <c r="C208" i="4"/>
  <c r="D208" i="4"/>
  <c r="E208" i="4"/>
  <c r="F208" i="4"/>
  <c r="G208" i="4"/>
  <c r="H208" i="4"/>
  <c r="C209" i="4"/>
  <c r="D209" i="4"/>
  <c r="E209" i="4"/>
  <c r="F209" i="4"/>
  <c r="G209" i="4"/>
  <c r="H209" i="4"/>
  <c r="C210" i="4"/>
  <c r="D210" i="4"/>
  <c r="E210" i="4"/>
  <c r="F210" i="4"/>
  <c r="G210" i="4"/>
  <c r="H210" i="4"/>
  <c r="C211" i="4"/>
  <c r="D211" i="4"/>
  <c r="E211" i="4"/>
  <c r="F211" i="4"/>
  <c r="G211" i="4"/>
  <c r="H211" i="4"/>
  <c r="C212" i="4"/>
  <c r="D212" i="4"/>
  <c r="E212" i="4"/>
  <c r="F212" i="4"/>
  <c r="G212" i="4"/>
  <c r="H212" i="4"/>
  <c r="C213" i="4"/>
  <c r="D213" i="4"/>
  <c r="E213" i="4"/>
  <c r="F213" i="4"/>
  <c r="G213" i="4"/>
  <c r="H213" i="4"/>
  <c r="C214" i="4"/>
  <c r="D214" i="4"/>
  <c r="E214" i="4"/>
  <c r="F214" i="4"/>
  <c r="G214" i="4"/>
  <c r="H214" i="4"/>
  <c r="C215" i="4"/>
  <c r="D215" i="4"/>
  <c r="E215" i="4"/>
  <c r="F215" i="4"/>
  <c r="G215" i="4"/>
  <c r="H215" i="4"/>
  <c r="C216" i="4"/>
  <c r="D216" i="4"/>
  <c r="E216" i="4"/>
  <c r="F216" i="4"/>
  <c r="G216" i="4"/>
  <c r="H216" i="4"/>
  <c r="C217" i="4"/>
  <c r="D217" i="4"/>
  <c r="E217" i="4"/>
  <c r="F217" i="4"/>
  <c r="G217" i="4"/>
  <c r="H217" i="4"/>
  <c r="C218" i="4"/>
  <c r="D218" i="4"/>
  <c r="E218" i="4"/>
  <c r="F218" i="4"/>
  <c r="G218" i="4"/>
  <c r="H218" i="4"/>
  <c r="C219" i="4"/>
  <c r="D219" i="4"/>
  <c r="E219" i="4"/>
  <c r="F219" i="4"/>
  <c r="G219" i="4"/>
  <c r="H219" i="4"/>
  <c r="C220" i="4"/>
  <c r="D220" i="4"/>
  <c r="E220" i="4"/>
  <c r="F220" i="4"/>
  <c r="G220" i="4"/>
  <c r="H220" i="4"/>
  <c r="C221" i="4"/>
  <c r="D221" i="4"/>
  <c r="E221" i="4"/>
  <c r="F221" i="4"/>
  <c r="G221" i="4"/>
  <c r="H221" i="4"/>
  <c r="C222" i="4"/>
  <c r="D222" i="4"/>
  <c r="E222" i="4"/>
  <c r="F222" i="4"/>
  <c r="G222" i="4"/>
  <c r="H222" i="4"/>
  <c r="C223" i="4"/>
  <c r="D223" i="4"/>
  <c r="E223" i="4"/>
  <c r="F223" i="4"/>
  <c r="G223" i="4"/>
  <c r="H223" i="4"/>
  <c r="C224" i="4"/>
  <c r="D224" i="4"/>
  <c r="E224" i="4"/>
  <c r="F224" i="4"/>
  <c r="G224" i="4"/>
  <c r="H224" i="4"/>
  <c r="C225" i="4"/>
  <c r="D225" i="4"/>
  <c r="E225" i="4"/>
  <c r="F225" i="4"/>
  <c r="G225" i="4"/>
  <c r="H225" i="4"/>
  <c r="C226" i="4"/>
  <c r="D226" i="4"/>
  <c r="E226" i="4"/>
  <c r="F226" i="4"/>
  <c r="G226" i="4"/>
  <c r="H226" i="4"/>
  <c r="C227" i="4"/>
  <c r="D227" i="4"/>
  <c r="E227" i="4"/>
  <c r="F227" i="4"/>
  <c r="G227" i="4"/>
  <c r="H227" i="4"/>
  <c r="C228" i="4"/>
  <c r="D228" i="4"/>
  <c r="E228" i="4"/>
  <c r="F228" i="4"/>
  <c r="G228" i="4"/>
  <c r="H228" i="4"/>
  <c r="C229" i="4"/>
  <c r="D229" i="4"/>
  <c r="E229" i="4"/>
  <c r="F229" i="4"/>
  <c r="G229" i="4"/>
  <c r="H229" i="4"/>
  <c r="C230" i="4"/>
  <c r="D230" i="4"/>
  <c r="E230" i="4"/>
  <c r="F230" i="4"/>
  <c r="G230" i="4"/>
  <c r="H230" i="4"/>
  <c r="C231" i="4"/>
  <c r="D231" i="4"/>
  <c r="E231" i="4"/>
  <c r="F231" i="4"/>
  <c r="G231" i="4"/>
  <c r="H231" i="4"/>
  <c r="C232" i="4"/>
  <c r="D232" i="4"/>
  <c r="E232" i="4"/>
  <c r="F232" i="4"/>
  <c r="G232" i="4"/>
  <c r="H232" i="4"/>
  <c r="C233" i="4"/>
  <c r="D233" i="4"/>
  <c r="E233" i="4"/>
  <c r="F233" i="4"/>
  <c r="G233" i="4"/>
  <c r="H233" i="4"/>
  <c r="C234" i="4"/>
  <c r="D234" i="4"/>
  <c r="E234" i="4"/>
  <c r="F234" i="4"/>
  <c r="G234" i="4"/>
  <c r="H234" i="4"/>
  <c r="C235" i="4"/>
  <c r="D235" i="4"/>
  <c r="E235" i="4"/>
  <c r="F235" i="4"/>
  <c r="G235" i="4"/>
  <c r="H235" i="4"/>
  <c r="C236" i="4"/>
  <c r="D236" i="4"/>
  <c r="E236" i="4"/>
  <c r="F236" i="4"/>
  <c r="G236" i="4"/>
  <c r="H236" i="4"/>
  <c r="C237" i="4"/>
  <c r="D237" i="4"/>
  <c r="E237" i="4"/>
  <c r="F237" i="4"/>
  <c r="G237" i="4"/>
  <c r="H237" i="4"/>
  <c r="C238" i="4"/>
  <c r="D238" i="4"/>
  <c r="E238" i="4"/>
  <c r="F238" i="4"/>
  <c r="G238" i="4"/>
  <c r="H238" i="4"/>
  <c r="C239" i="4"/>
  <c r="D239" i="4"/>
  <c r="E239" i="4"/>
  <c r="F239" i="4"/>
  <c r="G239" i="4"/>
  <c r="H239" i="4"/>
  <c r="C240" i="4"/>
  <c r="D240" i="4"/>
  <c r="E240" i="4"/>
  <c r="F240" i="4"/>
  <c r="G240" i="4"/>
  <c r="H240" i="4"/>
  <c r="C241" i="4"/>
  <c r="D241" i="4"/>
  <c r="E241" i="4"/>
  <c r="F241" i="4"/>
  <c r="G241" i="4"/>
  <c r="H241" i="4"/>
  <c r="C242" i="4"/>
  <c r="D242" i="4"/>
  <c r="E242" i="4"/>
  <c r="F242" i="4"/>
  <c r="G242" i="4"/>
  <c r="H242" i="4"/>
  <c r="C243" i="4"/>
  <c r="D243" i="4"/>
  <c r="E243" i="4"/>
  <c r="F243" i="4"/>
  <c r="G243" i="4"/>
  <c r="H243" i="4"/>
  <c r="C244" i="4"/>
  <c r="D244" i="4"/>
  <c r="E244" i="4"/>
  <c r="F244" i="4"/>
  <c r="G244" i="4"/>
  <c r="H244" i="4"/>
  <c r="C245" i="4"/>
  <c r="D245" i="4"/>
  <c r="E245" i="4"/>
  <c r="F245" i="4"/>
  <c r="G245" i="4"/>
  <c r="H245" i="4"/>
  <c r="C246" i="4"/>
  <c r="D246" i="4"/>
  <c r="E246" i="4"/>
  <c r="F246" i="4"/>
  <c r="G246" i="4"/>
  <c r="H246" i="4"/>
  <c r="C247" i="4"/>
  <c r="D247" i="4"/>
  <c r="E247" i="4"/>
  <c r="F247" i="4"/>
  <c r="G247" i="4"/>
  <c r="H247" i="4"/>
  <c r="C248" i="4"/>
  <c r="D248" i="4"/>
  <c r="E248" i="4"/>
  <c r="F248" i="4"/>
  <c r="G248" i="4"/>
  <c r="H248" i="4"/>
  <c r="C249" i="4"/>
  <c r="D249" i="4"/>
  <c r="E249" i="4"/>
  <c r="F249" i="4"/>
  <c r="G249" i="4"/>
  <c r="H249" i="4"/>
  <c r="C250" i="4"/>
  <c r="D250" i="4"/>
  <c r="E250" i="4"/>
  <c r="F250" i="4"/>
  <c r="G250" i="4"/>
  <c r="H250" i="4"/>
  <c r="C251" i="4"/>
  <c r="D251" i="4"/>
  <c r="E251" i="4"/>
  <c r="F251" i="4"/>
  <c r="G251" i="4"/>
  <c r="H251" i="4"/>
  <c r="C252" i="4"/>
  <c r="D252" i="4"/>
  <c r="E252" i="4"/>
  <c r="F252" i="4"/>
  <c r="G252" i="4"/>
  <c r="H252" i="4"/>
  <c r="C253" i="4"/>
  <c r="D253" i="4"/>
  <c r="E253" i="4"/>
  <c r="F253" i="4"/>
  <c r="G253" i="4"/>
  <c r="H253" i="4"/>
  <c r="C254" i="4"/>
  <c r="D254" i="4"/>
  <c r="E254" i="4"/>
  <c r="F254" i="4"/>
  <c r="G254" i="4"/>
  <c r="H254" i="4"/>
  <c r="C255" i="4"/>
  <c r="D255" i="4"/>
  <c r="E255" i="4"/>
  <c r="F255" i="4"/>
  <c r="G255" i="4"/>
  <c r="H255" i="4"/>
  <c r="C256" i="4"/>
  <c r="D256" i="4"/>
  <c r="E256" i="4"/>
  <c r="F256" i="4"/>
  <c r="G256" i="4"/>
  <c r="H256" i="4"/>
  <c r="C257" i="4"/>
  <c r="D257" i="4"/>
  <c r="E257" i="4"/>
  <c r="F257" i="4"/>
  <c r="G257" i="4"/>
  <c r="H257" i="4"/>
  <c r="C258" i="4"/>
  <c r="D258" i="4"/>
  <c r="E258" i="4"/>
  <c r="F258" i="4"/>
  <c r="G258" i="4"/>
  <c r="H258" i="4"/>
  <c r="C259" i="4"/>
  <c r="D259" i="4"/>
  <c r="E259" i="4"/>
  <c r="F259" i="4"/>
  <c r="G259" i="4"/>
  <c r="H259" i="4"/>
  <c r="C260" i="4"/>
  <c r="D260" i="4"/>
  <c r="E260" i="4"/>
  <c r="F260" i="4"/>
  <c r="G260" i="4"/>
  <c r="H260" i="4"/>
  <c r="C261" i="4"/>
  <c r="D261" i="4"/>
  <c r="E261" i="4"/>
  <c r="F261" i="4"/>
  <c r="G261" i="4"/>
  <c r="H261" i="4"/>
  <c r="C262" i="4"/>
  <c r="D262" i="4"/>
  <c r="E262" i="4"/>
  <c r="F262" i="4"/>
  <c r="G262" i="4"/>
  <c r="H262" i="4"/>
  <c r="C263" i="4"/>
  <c r="D263" i="4"/>
  <c r="E263" i="4"/>
  <c r="F263" i="4"/>
  <c r="G263" i="4"/>
  <c r="H263" i="4"/>
  <c r="C264" i="4"/>
  <c r="D264" i="4"/>
  <c r="E264" i="4"/>
  <c r="F264" i="4"/>
  <c r="G264" i="4"/>
  <c r="H264" i="4"/>
  <c r="C265" i="4"/>
  <c r="D265" i="4"/>
  <c r="E265" i="4"/>
  <c r="F265" i="4"/>
  <c r="G265" i="4"/>
  <c r="H265" i="4"/>
  <c r="C266" i="4"/>
  <c r="D266" i="4"/>
  <c r="E266" i="4"/>
  <c r="F266" i="4"/>
  <c r="G266" i="4"/>
  <c r="H266" i="4"/>
  <c r="C267" i="4"/>
  <c r="D267" i="4"/>
  <c r="E267" i="4"/>
  <c r="F267" i="4"/>
  <c r="G267" i="4"/>
  <c r="H267" i="4"/>
  <c r="C268" i="4"/>
  <c r="D268" i="4"/>
  <c r="E268" i="4"/>
  <c r="F268" i="4"/>
  <c r="G268" i="4"/>
  <c r="H268" i="4"/>
  <c r="C269" i="4"/>
  <c r="D269" i="4"/>
  <c r="E269" i="4"/>
  <c r="F269" i="4"/>
  <c r="G269" i="4"/>
  <c r="H269" i="4"/>
  <c r="C270" i="4"/>
  <c r="D270" i="4"/>
  <c r="E270" i="4"/>
  <c r="F270" i="4"/>
  <c r="G270" i="4"/>
  <c r="H270" i="4"/>
  <c r="C271" i="4"/>
  <c r="D271" i="4"/>
  <c r="E271" i="4"/>
  <c r="F271" i="4"/>
  <c r="G271" i="4"/>
  <c r="H271" i="4"/>
  <c r="C272" i="4"/>
  <c r="D272" i="4"/>
  <c r="E272" i="4"/>
  <c r="F272" i="4"/>
  <c r="G272" i="4"/>
  <c r="H272" i="4"/>
  <c r="C273" i="4"/>
  <c r="D273" i="4"/>
  <c r="E273" i="4"/>
  <c r="F273" i="4"/>
  <c r="G273" i="4"/>
  <c r="H273" i="4"/>
  <c r="C274" i="4"/>
  <c r="D274" i="4"/>
  <c r="E274" i="4"/>
  <c r="F274" i="4"/>
  <c r="G274" i="4"/>
  <c r="H274" i="4"/>
  <c r="C275" i="4"/>
  <c r="D275" i="4"/>
  <c r="E275" i="4"/>
  <c r="F275" i="4"/>
  <c r="G275" i="4"/>
  <c r="H275" i="4"/>
  <c r="C276" i="4"/>
  <c r="D276" i="4"/>
  <c r="E276" i="4"/>
  <c r="F276" i="4"/>
  <c r="G276" i="4"/>
  <c r="H276" i="4"/>
  <c r="C277" i="4"/>
  <c r="D277" i="4"/>
  <c r="E277" i="4"/>
  <c r="F277" i="4"/>
  <c r="G277" i="4"/>
  <c r="H277" i="4"/>
  <c r="C278" i="4"/>
  <c r="D278" i="4"/>
  <c r="E278" i="4"/>
  <c r="F278" i="4"/>
  <c r="G278" i="4"/>
  <c r="H278" i="4"/>
  <c r="C279" i="4"/>
  <c r="D279" i="4"/>
  <c r="E279" i="4"/>
  <c r="F279" i="4"/>
  <c r="G279" i="4"/>
  <c r="H279" i="4"/>
  <c r="C280" i="4"/>
  <c r="D280" i="4"/>
  <c r="E280" i="4"/>
  <c r="F280" i="4"/>
  <c r="G280" i="4"/>
  <c r="H280" i="4"/>
  <c r="C281" i="4"/>
  <c r="D281" i="4"/>
  <c r="E281" i="4"/>
  <c r="F281" i="4"/>
  <c r="G281" i="4"/>
  <c r="H281" i="4"/>
  <c r="C282" i="4"/>
  <c r="D282" i="4"/>
  <c r="E282" i="4"/>
  <c r="F282" i="4"/>
  <c r="G282" i="4"/>
  <c r="H282" i="4"/>
  <c r="C283" i="4"/>
  <c r="D283" i="4"/>
  <c r="E283" i="4"/>
  <c r="F283" i="4"/>
  <c r="G283" i="4"/>
  <c r="H283" i="4"/>
  <c r="C284" i="4"/>
  <c r="D284" i="4"/>
  <c r="E284" i="4"/>
  <c r="F284" i="4"/>
  <c r="G284" i="4"/>
  <c r="H284" i="4"/>
  <c r="C285" i="4"/>
  <c r="D285" i="4"/>
  <c r="E285" i="4"/>
  <c r="F285" i="4"/>
  <c r="G285" i="4"/>
  <c r="H285" i="4"/>
  <c r="C286" i="4"/>
  <c r="D286" i="4"/>
  <c r="E286" i="4"/>
  <c r="F286" i="4"/>
  <c r="G286" i="4"/>
  <c r="H286" i="4"/>
  <c r="C287" i="4"/>
  <c r="D287" i="4"/>
  <c r="E287" i="4"/>
  <c r="F287" i="4"/>
  <c r="G287" i="4"/>
  <c r="H287" i="4"/>
  <c r="C288" i="4"/>
  <c r="D288" i="4"/>
  <c r="E288" i="4"/>
  <c r="F288" i="4"/>
  <c r="G288" i="4"/>
  <c r="H288" i="4"/>
  <c r="C289" i="4"/>
  <c r="D289" i="4"/>
  <c r="E289" i="4"/>
  <c r="F289" i="4"/>
  <c r="G289" i="4"/>
  <c r="H289" i="4"/>
  <c r="C290" i="4"/>
  <c r="D290" i="4"/>
  <c r="E290" i="4"/>
  <c r="F290" i="4"/>
  <c r="G290" i="4"/>
  <c r="H290" i="4"/>
  <c r="C291" i="4"/>
  <c r="D291" i="4"/>
  <c r="E291" i="4"/>
  <c r="F291" i="4"/>
  <c r="G291" i="4"/>
  <c r="H291" i="4"/>
  <c r="C292" i="4"/>
  <c r="D292" i="4"/>
  <c r="E292" i="4"/>
  <c r="F292" i="4"/>
  <c r="G292" i="4"/>
  <c r="H292" i="4"/>
  <c r="C293" i="4"/>
  <c r="D293" i="4"/>
  <c r="E293" i="4"/>
  <c r="F293" i="4"/>
  <c r="G293" i="4"/>
  <c r="H293" i="4"/>
  <c r="C294" i="4"/>
  <c r="D294" i="4"/>
  <c r="E294" i="4"/>
  <c r="F294" i="4"/>
  <c r="G294" i="4"/>
  <c r="H294" i="4"/>
  <c r="C295" i="4"/>
  <c r="D295" i="4"/>
  <c r="E295" i="4"/>
  <c r="F295" i="4"/>
  <c r="G295" i="4"/>
  <c r="H295" i="4"/>
  <c r="C296" i="4"/>
  <c r="D296" i="4"/>
  <c r="E296" i="4"/>
  <c r="F296" i="4"/>
  <c r="G296" i="4"/>
  <c r="H296" i="4"/>
  <c r="C297" i="4"/>
  <c r="D297" i="4"/>
  <c r="E297" i="4"/>
  <c r="F297" i="4"/>
  <c r="G297" i="4"/>
  <c r="H297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D302" i="4"/>
  <c r="E302" i="4"/>
  <c r="F302" i="4"/>
  <c r="G302" i="4"/>
  <c r="H302" i="4"/>
  <c r="C303" i="4"/>
  <c r="D303" i="4"/>
  <c r="E303" i="4"/>
  <c r="F303" i="4"/>
  <c r="G303" i="4"/>
  <c r="H303" i="4"/>
  <c r="C304" i="4"/>
  <c r="D304" i="4"/>
  <c r="E304" i="4"/>
  <c r="F304" i="4"/>
  <c r="G304" i="4"/>
  <c r="H304" i="4"/>
  <c r="C305" i="4"/>
  <c r="D305" i="4"/>
  <c r="E305" i="4"/>
  <c r="F305" i="4"/>
  <c r="G305" i="4"/>
  <c r="H305" i="4"/>
  <c r="C306" i="4"/>
  <c r="D306" i="4"/>
  <c r="E306" i="4"/>
  <c r="F306" i="4"/>
  <c r="G306" i="4"/>
  <c r="H306" i="4"/>
  <c r="C307" i="4"/>
  <c r="D307" i="4"/>
  <c r="E307" i="4"/>
  <c r="F307" i="4"/>
  <c r="G307" i="4"/>
  <c r="H307" i="4"/>
  <c r="C308" i="4"/>
  <c r="D308" i="4"/>
  <c r="E308" i="4"/>
  <c r="F308" i="4"/>
  <c r="G308" i="4"/>
  <c r="H308" i="4"/>
  <c r="C309" i="4"/>
  <c r="D309" i="4"/>
  <c r="E309" i="4"/>
  <c r="F309" i="4"/>
  <c r="G309" i="4"/>
  <c r="H309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D314" i="4"/>
  <c r="E314" i="4"/>
  <c r="F314" i="4"/>
  <c r="G314" i="4"/>
  <c r="H314" i="4"/>
  <c r="C315" i="4"/>
  <c r="D315" i="4"/>
  <c r="E315" i="4"/>
  <c r="F315" i="4"/>
  <c r="G315" i="4"/>
  <c r="H315" i="4"/>
  <c r="C316" i="4"/>
  <c r="D316" i="4"/>
  <c r="E316" i="4"/>
  <c r="F316" i="4"/>
  <c r="G316" i="4"/>
  <c r="H316" i="4"/>
  <c r="C317" i="4"/>
  <c r="D317" i="4"/>
  <c r="E317" i="4"/>
  <c r="F317" i="4"/>
  <c r="G317" i="4"/>
  <c r="H317" i="4"/>
  <c r="C318" i="4"/>
  <c r="D318" i="4"/>
  <c r="E318" i="4"/>
  <c r="F318" i="4"/>
  <c r="G318" i="4"/>
  <c r="H318" i="4"/>
  <c r="C319" i="4"/>
  <c r="D319" i="4"/>
  <c r="E319" i="4"/>
  <c r="F319" i="4"/>
  <c r="G319" i="4"/>
  <c r="H319" i="4"/>
  <c r="C320" i="4"/>
  <c r="D320" i="4"/>
  <c r="E320" i="4"/>
  <c r="F320" i="4"/>
  <c r="G320" i="4"/>
  <c r="H320" i="4"/>
  <c r="C321" i="4"/>
  <c r="D321" i="4"/>
  <c r="E321" i="4"/>
  <c r="F321" i="4"/>
  <c r="G321" i="4"/>
  <c r="H321" i="4"/>
  <c r="C322" i="4"/>
  <c r="D322" i="4"/>
  <c r="E322" i="4"/>
  <c r="F322" i="4"/>
  <c r="G322" i="4"/>
  <c r="H322" i="4"/>
  <c r="C323" i="4"/>
  <c r="D323" i="4"/>
  <c r="E323" i="4"/>
  <c r="F323" i="4"/>
  <c r="G323" i="4"/>
  <c r="H323" i="4"/>
  <c r="C324" i="4"/>
  <c r="D324" i="4"/>
  <c r="E324" i="4"/>
  <c r="F324" i="4"/>
  <c r="G324" i="4"/>
  <c r="H324" i="4"/>
  <c r="C325" i="4"/>
  <c r="D325" i="4"/>
  <c r="E325" i="4"/>
  <c r="F325" i="4"/>
  <c r="G325" i="4"/>
  <c r="H325" i="4"/>
  <c r="C326" i="4"/>
  <c r="D326" i="4"/>
  <c r="E326" i="4"/>
  <c r="F326" i="4"/>
  <c r="G326" i="4"/>
  <c r="H326" i="4"/>
  <c r="C327" i="4"/>
  <c r="D327" i="4"/>
  <c r="E327" i="4"/>
  <c r="F327" i="4"/>
  <c r="G327" i="4"/>
  <c r="H327" i="4"/>
  <c r="C328" i="4"/>
  <c r="D328" i="4"/>
  <c r="E328" i="4"/>
  <c r="F328" i="4"/>
  <c r="G328" i="4"/>
  <c r="H328" i="4"/>
  <c r="C329" i="4"/>
  <c r="D329" i="4"/>
  <c r="E329" i="4"/>
  <c r="F329" i="4"/>
  <c r="G329" i="4"/>
  <c r="H329" i="4"/>
  <c r="C330" i="4"/>
  <c r="D330" i="4"/>
  <c r="E330" i="4"/>
  <c r="F330" i="4"/>
  <c r="G330" i="4"/>
  <c r="H330" i="4"/>
  <c r="C331" i="4"/>
  <c r="D331" i="4"/>
  <c r="E331" i="4"/>
  <c r="F331" i="4"/>
  <c r="G331" i="4"/>
  <c r="H331" i="4"/>
  <c r="C332" i="4"/>
  <c r="D332" i="4"/>
  <c r="E332" i="4"/>
  <c r="F332" i="4"/>
  <c r="G332" i="4"/>
  <c r="H332" i="4"/>
  <c r="C333" i="4"/>
  <c r="D333" i="4"/>
  <c r="E333" i="4"/>
  <c r="F333" i="4"/>
  <c r="G333" i="4"/>
  <c r="H333" i="4"/>
  <c r="C334" i="4"/>
  <c r="D334" i="4"/>
  <c r="E334" i="4"/>
  <c r="F334" i="4"/>
  <c r="G334" i="4"/>
  <c r="H334" i="4"/>
  <c r="C335" i="4"/>
  <c r="D335" i="4"/>
  <c r="E335" i="4"/>
  <c r="F335" i="4"/>
  <c r="G335" i="4"/>
  <c r="H335" i="4"/>
  <c r="C336" i="4"/>
  <c r="D336" i="4"/>
  <c r="E336" i="4"/>
  <c r="F336" i="4"/>
  <c r="G336" i="4"/>
  <c r="H336" i="4"/>
  <c r="C337" i="4"/>
  <c r="D337" i="4"/>
  <c r="E337" i="4"/>
  <c r="F337" i="4"/>
  <c r="G337" i="4"/>
  <c r="H337" i="4"/>
  <c r="C338" i="4"/>
  <c r="D338" i="4"/>
  <c r="E338" i="4"/>
  <c r="F338" i="4"/>
  <c r="G338" i="4"/>
  <c r="H338" i="4"/>
  <c r="C339" i="4"/>
  <c r="D339" i="4"/>
  <c r="E339" i="4"/>
  <c r="F339" i="4"/>
  <c r="G339" i="4"/>
  <c r="H339" i="4"/>
  <c r="C340" i="4"/>
  <c r="D340" i="4"/>
  <c r="E340" i="4"/>
  <c r="F340" i="4"/>
  <c r="G340" i="4"/>
  <c r="H340" i="4"/>
  <c r="C341" i="4"/>
  <c r="D341" i="4"/>
  <c r="E341" i="4"/>
  <c r="F341" i="4"/>
  <c r="G341" i="4"/>
  <c r="H341" i="4"/>
  <c r="C342" i="4"/>
  <c r="D342" i="4"/>
  <c r="E342" i="4"/>
  <c r="F342" i="4"/>
  <c r="G342" i="4"/>
  <c r="H342" i="4"/>
  <c r="C343" i="4"/>
  <c r="D343" i="4"/>
  <c r="E343" i="4"/>
  <c r="F343" i="4"/>
  <c r="G343" i="4"/>
  <c r="H343" i="4"/>
  <c r="C344" i="4"/>
  <c r="D344" i="4"/>
  <c r="E344" i="4"/>
  <c r="F344" i="4"/>
  <c r="G344" i="4"/>
  <c r="H344" i="4"/>
  <c r="C345" i="4"/>
  <c r="D345" i="4"/>
  <c r="E345" i="4"/>
  <c r="F345" i="4"/>
  <c r="G345" i="4"/>
  <c r="H345" i="4"/>
  <c r="C346" i="4"/>
  <c r="D346" i="4"/>
  <c r="E346" i="4"/>
  <c r="F346" i="4"/>
  <c r="G346" i="4"/>
  <c r="H346" i="4"/>
  <c r="C347" i="4"/>
  <c r="D347" i="4"/>
  <c r="E347" i="4"/>
  <c r="F347" i="4"/>
  <c r="G347" i="4"/>
  <c r="H347" i="4"/>
  <c r="C348" i="4"/>
  <c r="D348" i="4"/>
  <c r="E348" i="4"/>
  <c r="F348" i="4"/>
  <c r="G348" i="4"/>
  <c r="H348" i="4"/>
  <c r="C349" i="4"/>
  <c r="D349" i="4"/>
  <c r="E349" i="4"/>
  <c r="F349" i="4"/>
  <c r="G349" i="4"/>
  <c r="H349" i="4"/>
  <c r="C350" i="4"/>
  <c r="D350" i="4"/>
  <c r="E350" i="4"/>
  <c r="F350" i="4"/>
  <c r="G350" i="4"/>
  <c r="H350" i="4"/>
  <c r="C351" i="4"/>
  <c r="D351" i="4"/>
  <c r="E351" i="4"/>
  <c r="F351" i="4"/>
  <c r="G351" i="4"/>
  <c r="H351" i="4"/>
  <c r="C352" i="4"/>
  <c r="D352" i="4"/>
  <c r="E352" i="4"/>
  <c r="F352" i="4"/>
  <c r="G352" i="4"/>
  <c r="H352" i="4"/>
  <c r="C353" i="4"/>
  <c r="D353" i="4"/>
  <c r="E353" i="4"/>
  <c r="F353" i="4"/>
  <c r="G353" i="4"/>
  <c r="H353" i="4"/>
  <c r="C354" i="4"/>
  <c r="D354" i="4"/>
  <c r="E354" i="4"/>
  <c r="F354" i="4"/>
  <c r="G354" i="4"/>
  <c r="H354" i="4"/>
  <c r="C355" i="4"/>
  <c r="D355" i="4"/>
  <c r="E355" i="4"/>
  <c r="F355" i="4"/>
  <c r="G355" i="4"/>
  <c r="H355" i="4"/>
  <c r="C356" i="4"/>
  <c r="D356" i="4"/>
  <c r="E356" i="4"/>
  <c r="F356" i="4"/>
  <c r="G356" i="4"/>
  <c r="H356" i="4"/>
  <c r="C357" i="4"/>
  <c r="D357" i="4"/>
  <c r="E357" i="4"/>
  <c r="F357" i="4"/>
  <c r="G357" i="4"/>
  <c r="H357" i="4"/>
  <c r="C358" i="4"/>
  <c r="D358" i="4"/>
  <c r="E358" i="4"/>
  <c r="F358" i="4"/>
  <c r="G358" i="4"/>
  <c r="H358" i="4"/>
  <c r="C359" i="4"/>
  <c r="D359" i="4"/>
  <c r="E359" i="4"/>
  <c r="F359" i="4"/>
  <c r="G359" i="4"/>
  <c r="H359" i="4"/>
  <c r="C360" i="4"/>
  <c r="D360" i="4"/>
  <c r="E360" i="4"/>
  <c r="F360" i="4"/>
  <c r="G360" i="4"/>
  <c r="H360" i="4"/>
  <c r="C361" i="4"/>
  <c r="D361" i="4"/>
  <c r="E361" i="4"/>
  <c r="F361" i="4"/>
  <c r="G361" i="4"/>
  <c r="H361" i="4"/>
  <c r="C362" i="4"/>
  <c r="D362" i="4"/>
  <c r="E362" i="4"/>
  <c r="F362" i="4"/>
  <c r="G362" i="4"/>
  <c r="H362" i="4"/>
  <c r="C363" i="4"/>
  <c r="D363" i="4"/>
  <c r="E363" i="4"/>
  <c r="F363" i="4"/>
  <c r="G363" i="4"/>
  <c r="H363" i="4"/>
  <c r="C364" i="4"/>
  <c r="D364" i="4"/>
  <c r="E364" i="4"/>
  <c r="F364" i="4"/>
  <c r="G364" i="4"/>
  <c r="H364" i="4"/>
  <c r="C365" i="4"/>
  <c r="D365" i="4"/>
  <c r="E365" i="4"/>
  <c r="F365" i="4"/>
  <c r="G365" i="4"/>
  <c r="H365" i="4"/>
  <c r="C366" i="4"/>
  <c r="D366" i="4"/>
  <c r="E366" i="4"/>
  <c r="F366" i="4"/>
  <c r="G366" i="4"/>
  <c r="H366" i="4"/>
  <c r="C367" i="4"/>
  <c r="D367" i="4"/>
  <c r="E367" i="4"/>
  <c r="F367" i="4"/>
  <c r="G367" i="4"/>
  <c r="H367" i="4"/>
  <c r="C368" i="4"/>
  <c r="D368" i="4"/>
  <c r="E368" i="4"/>
  <c r="F368" i="4"/>
  <c r="G368" i="4"/>
  <c r="H368" i="4"/>
  <c r="C369" i="4"/>
  <c r="D369" i="4"/>
  <c r="E369" i="4"/>
  <c r="F369" i="4"/>
  <c r="G369" i="4"/>
  <c r="H369" i="4"/>
  <c r="C370" i="4"/>
  <c r="D370" i="4"/>
  <c r="E370" i="4"/>
  <c r="F370" i="4"/>
  <c r="G370" i="4"/>
  <c r="H370" i="4"/>
  <c r="C371" i="4"/>
  <c r="D371" i="4"/>
  <c r="E371" i="4"/>
  <c r="F371" i="4"/>
  <c r="G371" i="4"/>
  <c r="H371" i="4"/>
  <c r="C372" i="4"/>
  <c r="D372" i="4"/>
  <c r="E372" i="4"/>
  <c r="F372" i="4"/>
  <c r="G372" i="4"/>
  <c r="H372" i="4"/>
  <c r="C373" i="4"/>
  <c r="D373" i="4"/>
  <c r="E373" i="4"/>
  <c r="F373" i="4"/>
  <c r="G373" i="4"/>
  <c r="H373" i="4"/>
  <c r="C374" i="4"/>
  <c r="D374" i="4"/>
  <c r="E374" i="4"/>
  <c r="F374" i="4"/>
  <c r="G374" i="4"/>
  <c r="H374" i="4"/>
  <c r="C375" i="4"/>
  <c r="D375" i="4"/>
  <c r="E375" i="4"/>
  <c r="F375" i="4"/>
  <c r="G375" i="4"/>
  <c r="H375" i="4"/>
  <c r="C376" i="4"/>
  <c r="D376" i="4"/>
  <c r="E376" i="4"/>
  <c r="F376" i="4"/>
  <c r="G376" i="4"/>
  <c r="H376" i="4"/>
  <c r="C377" i="4"/>
  <c r="D377" i="4"/>
  <c r="E377" i="4"/>
  <c r="F377" i="4"/>
  <c r="G377" i="4"/>
  <c r="H377" i="4"/>
  <c r="C378" i="4"/>
  <c r="D378" i="4"/>
  <c r="E378" i="4"/>
  <c r="F378" i="4"/>
  <c r="G378" i="4"/>
  <c r="H378" i="4"/>
  <c r="C379" i="4"/>
  <c r="D379" i="4"/>
  <c r="E379" i="4"/>
  <c r="F379" i="4"/>
  <c r="G379" i="4"/>
  <c r="H379" i="4"/>
  <c r="C380" i="4"/>
  <c r="D380" i="4"/>
  <c r="E380" i="4"/>
  <c r="F380" i="4"/>
  <c r="G380" i="4"/>
  <c r="H380" i="4"/>
  <c r="C381" i="4"/>
  <c r="D381" i="4"/>
  <c r="E381" i="4"/>
  <c r="F381" i="4"/>
  <c r="G381" i="4"/>
  <c r="H381" i="4"/>
  <c r="C382" i="4"/>
  <c r="D382" i="4"/>
  <c r="E382" i="4"/>
  <c r="F382" i="4"/>
  <c r="G382" i="4"/>
  <c r="H382" i="4"/>
  <c r="C383" i="4"/>
  <c r="D383" i="4"/>
  <c r="E383" i="4"/>
  <c r="F383" i="4"/>
  <c r="G383" i="4"/>
  <c r="H383" i="4"/>
  <c r="C384" i="4"/>
  <c r="D384" i="4"/>
  <c r="E384" i="4"/>
  <c r="F384" i="4"/>
  <c r="G384" i="4"/>
  <c r="H384" i="4"/>
  <c r="C385" i="4"/>
  <c r="D385" i="4"/>
  <c r="E385" i="4"/>
  <c r="F385" i="4"/>
  <c r="G385" i="4"/>
  <c r="H385" i="4"/>
  <c r="C386" i="4"/>
  <c r="D386" i="4"/>
  <c r="E386" i="4"/>
  <c r="F386" i="4"/>
  <c r="G386" i="4"/>
  <c r="H386" i="4"/>
  <c r="C387" i="4"/>
  <c r="D387" i="4"/>
  <c r="E387" i="4"/>
  <c r="F387" i="4"/>
  <c r="G387" i="4"/>
  <c r="H387" i="4"/>
  <c r="C388" i="4"/>
  <c r="D388" i="4"/>
  <c r="E388" i="4"/>
  <c r="F388" i="4"/>
  <c r="G388" i="4"/>
  <c r="H388" i="4"/>
  <c r="C389" i="4"/>
  <c r="D389" i="4"/>
  <c r="E389" i="4"/>
  <c r="F389" i="4"/>
  <c r="G389" i="4"/>
  <c r="H389" i="4"/>
  <c r="C390" i="4"/>
  <c r="D390" i="4"/>
  <c r="E390" i="4"/>
  <c r="F390" i="4"/>
  <c r="G390" i="4"/>
  <c r="H390" i="4"/>
  <c r="C391" i="4"/>
  <c r="D391" i="4"/>
  <c r="E391" i="4"/>
  <c r="F391" i="4"/>
  <c r="G391" i="4"/>
  <c r="H391" i="4"/>
  <c r="C392" i="4"/>
  <c r="D392" i="4"/>
  <c r="E392" i="4"/>
  <c r="F392" i="4"/>
  <c r="G392" i="4"/>
  <c r="H392" i="4"/>
  <c r="C393" i="4"/>
  <c r="D393" i="4"/>
  <c r="E393" i="4"/>
  <c r="F393" i="4"/>
  <c r="G393" i="4"/>
  <c r="H393" i="4"/>
  <c r="C394" i="4"/>
  <c r="D394" i="4"/>
  <c r="E394" i="4"/>
  <c r="F394" i="4"/>
  <c r="G394" i="4"/>
  <c r="H394" i="4"/>
  <c r="C395" i="4"/>
  <c r="D395" i="4"/>
  <c r="E395" i="4"/>
  <c r="F395" i="4"/>
  <c r="G395" i="4"/>
  <c r="H395" i="4"/>
  <c r="C396" i="4"/>
  <c r="D396" i="4"/>
  <c r="E396" i="4"/>
  <c r="F396" i="4"/>
  <c r="G396" i="4"/>
  <c r="H396" i="4"/>
  <c r="C397" i="4"/>
  <c r="D397" i="4"/>
  <c r="E397" i="4"/>
  <c r="F397" i="4"/>
  <c r="G397" i="4"/>
  <c r="H397" i="4"/>
  <c r="C398" i="4"/>
  <c r="D398" i="4"/>
  <c r="E398" i="4"/>
  <c r="F398" i="4"/>
  <c r="G398" i="4"/>
  <c r="H398" i="4"/>
  <c r="C399" i="4"/>
  <c r="D399" i="4"/>
  <c r="E399" i="4"/>
  <c r="F399" i="4"/>
  <c r="G399" i="4"/>
  <c r="H399" i="4"/>
  <c r="C400" i="4"/>
  <c r="D400" i="4"/>
  <c r="E400" i="4"/>
  <c r="F400" i="4"/>
  <c r="G400" i="4"/>
  <c r="H400" i="4"/>
  <c r="C401" i="4"/>
  <c r="D401" i="4"/>
  <c r="E401" i="4"/>
  <c r="F401" i="4"/>
  <c r="G401" i="4"/>
  <c r="H401" i="4"/>
  <c r="C402" i="4"/>
  <c r="D402" i="4"/>
  <c r="E402" i="4"/>
  <c r="F402" i="4"/>
  <c r="G402" i="4"/>
  <c r="H402" i="4"/>
  <c r="C403" i="4"/>
  <c r="D403" i="4"/>
  <c r="E403" i="4"/>
  <c r="F403" i="4"/>
  <c r="G403" i="4"/>
  <c r="H403" i="4"/>
  <c r="C404" i="4"/>
  <c r="D404" i="4"/>
  <c r="E404" i="4"/>
  <c r="F404" i="4"/>
  <c r="G404" i="4"/>
  <c r="H404" i="4"/>
  <c r="C405" i="4"/>
  <c r="D405" i="4"/>
  <c r="E405" i="4"/>
  <c r="F405" i="4"/>
  <c r="G405" i="4"/>
  <c r="H405" i="4"/>
  <c r="C406" i="4"/>
  <c r="D406" i="4"/>
  <c r="E406" i="4"/>
  <c r="F406" i="4"/>
  <c r="G406" i="4"/>
  <c r="H406" i="4"/>
  <c r="C407" i="4"/>
  <c r="D407" i="4"/>
  <c r="E407" i="4"/>
  <c r="F407" i="4"/>
  <c r="G407" i="4"/>
  <c r="H407" i="4"/>
  <c r="C408" i="4"/>
  <c r="D408" i="4"/>
  <c r="E408" i="4"/>
  <c r="F408" i="4"/>
  <c r="G408" i="4"/>
  <c r="H408" i="4"/>
  <c r="C409" i="4"/>
  <c r="D409" i="4"/>
  <c r="E409" i="4"/>
  <c r="F409" i="4"/>
  <c r="G409" i="4"/>
  <c r="H409" i="4"/>
  <c r="C410" i="4"/>
  <c r="D410" i="4"/>
  <c r="E410" i="4"/>
  <c r="F410" i="4"/>
  <c r="G410" i="4"/>
  <c r="H410" i="4"/>
  <c r="C411" i="4"/>
  <c r="D411" i="4"/>
  <c r="E411" i="4"/>
  <c r="F411" i="4"/>
  <c r="G411" i="4"/>
  <c r="H411" i="4"/>
  <c r="C412" i="4"/>
  <c r="D412" i="4"/>
  <c r="E412" i="4"/>
  <c r="F412" i="4"/>
  <c r="G412" i="4"/>
  <c r="H412" i="4"/>
  <c r="C413" i="4"/>
  <c r="D413" i="4"/>
  <c r="E413" i="4"/>
  <c r="F413" i="4"/>
  <c r="G413" i="4"/>
  <c r="H413" i="4"/>
  <c r="C414" i="4"/>
  <c r="D414" i="4"/>
  <c r="E414" i="4"/>
  <c r="F414" i="4"/>
  <c r="G414" i="4"/>
  <c r="H414" i="4"/>
  <c r="C415" i="4"/>
  <c r="D415" i="4"/>
  <c r="E415" i="4"/>
  <c r="F415" i="4"/>
  <c r="G415" i="4"/>
  <c r="H415" i="4"/>
  <c r="C416" i="4"/>
  <c r="D416" i="4"/>
  <c r="E416" i="4"/>
  <c r="F416" i="4"/>
  <c r="G416" i="4"/>
  <c r="H416" i="4"/>
  <c r="C417" i="4"/>
  <c r="D417" i="4"/>
  <c r="E417" i="4"/>
  <c r="F417" i="4"/>
  <c r="G417" i="4"/>
  <c r="H417" i="4"/>
  <c r="C418" i="4"/>
  <c r="D418" i="4"/>
  <c r="E418" i="4"/>
  <c r="F418" i="4"/>
  <c r="G418" i="4"/>
  <c r="H418" i="4"/>
  <c r="C419" i="4"/>
  <c r="D419" i="4"/>
  <c r="E419" i="4"/>
  <c r="F419" i="4"/>
  <c r="G419" i="4"/>
  <c r="H419" i="4"/>
  <c r="C420" i="4"/>
  <c r="D420" i="4"/>
  <c r="E420" i="4"/>
  <c r="F420" i="4"/>
  <c r="G420" i="4"/>
  <c r="H420" i="4"/>
  <c r="C421" i="4"/>
  <c r="D421" i="4"/>
  <c r="E421" i="4"/>
  <c r="F421" i="4"/>
  <c r="G421" i="4"/>
  <c r="H421" i="4"/>
  <c r="C422" i="4"/>
  <c r="D422" i="4"/>
  <c r="E422" i="4"/>
  <c r="F422" i="4"/>
  <c r="G422" i="4"/>
  <c r="H422" i="4"/>
  <c r="C423" i="4"/>
  <c r="D423" i="4"/>
  <c r="E423" i="4"/>
  <c r="F423" i="4"/>
  <c r="G423" i="4"/>
  <c r="H423" i="4"/>
  <c r="C424" i="4"/>
  <c r="D424" i="4"/>
  <c r="E424" i="4"/>
  <c r="F424" i="4"/>
  <c r="G424" i="4"/>
  <c r="H424" i="4"/>
  <c r="C425" i="4"/>
  <c r="D425" i="4"/>
  <c r="E425" i="4"/>
  <c r="F425" i="4"/>
  <c r="G425" i="4"/>
  <c r="H425" i="4"/>
  <c r="C426" i="4"/>
  <c r="D426" i="4"/>
  <c r="E426" i="4"/>
  <c r="F426" i="4"/>
  <c r="G426" i="4"/>
  <c r="H426" i="4"/>
  <c r="C427" i="4"/>
  <c r="D427" i="4"/>
  <c r="E427" i="4"/>
  <c r="F427" i="4"/>
  <c r="G427" i="4"/>
  <c r="H427" i="4"/>
  <c r="C428" i="4"/>
  <c r="D428" i="4"/>
  <c r="E428" i="4"/>
  <c r="F428" i="4"/>
  <c r="G428" i="4"/>
  <c r="H428" i="4"/>
  <c r="C429" i="4"/>
  <c r="D429" i="4"/>
  <c r="E429" i="4"/>
  <c r="F429" i="4"/>
  <c r="G429" i="4"/>
  <c r="H429" i="4"/>
  <c r="C430" i="4"/>
  <c r="D430" i="4"/>
  <c r="E430" i="4"/>
  <c r="F430" i="4"/>
  <c r="G430" i="4"/>
  <c r="H430" i="4"/>
  <c r="C431" i="4"/>
  <c r="D431" i="4"/>
  <c r="E431" i="4"/>
  <c r="F431" i="4"/>
  <c r="G431" i="4"/>
  <c r="H431" i="4"/>
  <c r="C432" i="4"/>
  <c r="D432" i="4"/>
  <c r="E432" i="4"/>
  <c r="F432" i="4"/>
  <c r="G432" i="4"/>
  <c r="H432" i="4"/>
  <c r="C433" i="4"/>
  <c r="D433" i="4"/>
  <c r="E433" i="4"/>
  <c r="F433" i="4"/>
  <c r="G433" i="4"/>
  <c r="H433" i="4"/>
  <c r="C434" i="4"/>
  <c r="D434" i="4"/>
  <c r="E434" i="4"/>
  <c r="F434" i="4"/>
  <c r="G434" i="4"/>
  <c r="H434" i="4"/>
  <c r="C435" i="4"/>
  <c r="D435" i="4"/>
  <c r="E435" i="4"/>
  <c r="F435" i="4"/>
  <c r="G435" i="4"/>
  <c r="H435" i="4"/>
  <c r="C436" i="4"/>
  <c r="D436" i="4"/>
  <c r="E436" i="4"/>
  <c r="F436" i="4"/>
  <c r="G436" i="4"/>
  <c r="H436" i="4"/>
  <c r="C437" i="4"/>
  <c r="D437" i="4"/>
  <c r="E437" i="4"/>
  <c r="F437" i="4"/>
  <c r="G437" i="4"/>
  <c r="H437" i="4"/>
  <c r="C438" i="4"/>
  <c r="D438" i="4"/>
  <c r="E438" i="4"/>
  <c r="F438" i="4"/>
  <c r="G438" i="4"/>
  <c r="H438" i="4"/>
  <c r="C439" i="4"/>
  <c r="D439" i="4"/>
  <c r="E439" i="4"/>
  <c r="F439" i="4"/>
  <c r="G439" i="4"/>
  <c r="H439" i="4"/>
  <c r="C440" i="4"/>
  <c r="D440" i="4"/>
  <c r="E440" i="4"/>
  <c r="F440" i="4"/>
  <c r="G440" i="4"/>
  <c r="H440" i="4"/>
  <c r="C441" i="4"/>
  <c r="D441" i="4"/>
  <c r="E441" i="4"/>
  <c r="F441" i="4"/>
  <c r="G441" i="4"/>
  <c r="H441" i="4"/>
  <c r="C442" i="4"/>
  <c r="D442" i="4"/>
  <c r="E442" i="4"/>
  <c r="F442" i="4"/>
  <c r="G442" i="4"/>
  <c r="H442" i="4"/>
  <c r="C443" i="4"/>
  <c r="D443" i="4"/>
  <c r="E443" i="4"/>
  <c r="F443" i="4"/>
  <c r="G443" i="4"/>
  <c r="H443" i="4"/>
  <c r="C444" i="4"/>
  <c r="D444" i="4"/>
  <c r="E444" i="4"/>
  <c r="F444" i="4"/>
  <c r="G444" i="4"/>
  <c r="H444" i="4"/>
  <c r="C445" i="4"/>
  <c r="D445" i="4"/>
  <c r="E445" i="4"/>
  <c r="F445" i="4"/>
  <c r="G445" i="4"/>
  <c r="H445" i="4"/>
  <c r="C446" i="4"/>
  <c r="D446" i="4"/>
  <c r="E446" i="4"/>
  <c r="F446" i="4"/>
  <c r="G446" i="4"/>
  <c r="H446" i="4"/>
  <c r="C447" i="4"/>
  <c r="D447" i="4"/>
  <c r="E447" i="4"/>
  <c r="F447" i="4"/>
  <c r="G447" i="4"/>
  <c r="H447" i="4"/>
  <c r="C448" i="4"/>
  <c r="D448" i="4"/>
  <c r="E448" i="4"/>
  <c r="F448" i="4"/>
  <c r="G448" i="4"/>
  <c r="H448" i="4"/>
  <c r="C449" i="4"/>
  <c r="D449" i="4"/>
  <c r="E449" i="4"/>
  <c r="F449" i="4"/>
  <c r="G449" i="4"/>
  <c r="H449" i="4"/>
  <c r="C450" i="4"/>
  <c r="D450" i="4"/>
  <c r="E450" i="4"/>
  <c r="F450" i="4"/>
  <c r="G450" i="4"/>
  <c r="H450" i="4"/>
  <c r="C451" i="4"/>
  <c r="D451" i="4"/>
  <c r="E451" i="4"/>
  <c r="F451" i="4"/>
  <c r="G451" i="4"/>
  <c r="H451" i="4"/>
  <c r="C452" i="4"/>
  <c r="D452" i="4"/>
  <c r="E452" i="4"/>
  <c r="F452" i="4"/>
  <c r="G452" i="4"/>
  <c r="H452" i="4"/>
  <c r="C453" i="4"/>
  <c r="D453" i="4"/>
  <c r="E453" i="4"/>
  <c r="F453" i="4"/>
  <c r="G453" i="4"/>
  <c r="H453" i="4"/>
  <c r="C454" i="4"/>
  <c r="D454" i="4"/>
  <c r="E454" i="4"/>
  <c r="F454" i="4"/>
  <c r="G454" i="4"/>
  <c r="H454" i="4"/>
  <c r="C455" i="4"/>
  <c r="D455" i="4"/>
  <c r="E455" i="4"/>
  <c r="F455" i="4"/>
  <c r="G455" i="4"/>
  <c r="H455" i="4"/>
  <c r="C456" i="4"/>
  <c r="D456" i="4"/>
  <c r="E456" i="4"/>
  <c r="F456" i="4"/>
  <c r="G456" i="4"/>
  <c r="H456" i="4"/>
  <c r="C457" i="4"/>
  <c r="D457" i="4"/>
  <c r="E457" i="4"/>
  <c r="F457" i="4"/>
  <c r="G457" i="4"/>
  <c r="H457" i="4"/>
  <c r="C458" i="4"/>
  <c r="D458" i="4"/>
  <c r="E458" i="4"/>
  <c r="F458" i="4"/>
  <c r="G458" i="4"/>
  <c r="H458" i="4"/>
  <c r="C459" i="4"/>
  <c r="D459" i="4"/>
  <c r="E459" i="4"/>
  <c r="F459" i="4"/>
  <c r="G459" i="4"/>
  <c r="H459" i="4"/>
  <c r="C460" i="4"/>
  <c r="D460" i="4"/>
  <c r="E460" i="4"/>
  <c r="F460" i="4"/>
  <c r="G460" i="4"/>
  <c r="H460" i="4"/>
  <c r="C461" i="4"/>
  <c r="D461" i="4"/>
  <c r="E461" i="4"/>
  <c r="F461" i="4"/>
  <c r="G461" i="4"/>
  <c r="H461" i="4"/>
  <c r="C462" i="4"/>
  <c r="D462" i="4"/>
  <c r="E462" i="4"/>
  <c r="F462" i="4"/>
  <c r="G462" i="4"/>
  <c r="H462" i="4"/>
  <c r="C463" i="4"/>
  <c r="D463" i="4"/>
  <c r="E463" i="4"/>
  <c r="F463" i="4"/>
  <c r="G463" i="4"/>
  <c r="H463" i="4"/>
  <c r="C464" i="4"/>
  <c r="D464" i="4"/>
  <c r="E464" i="4"/>
  <c r="F464" i="4"/>
  <c r="G464" i="4"/>
  <c r="H464" i="4"/>
  <c r="C465" i="4"/>
  <c r="D465" i="4"/>
  <c r="E465" i="4"/>
  <c r="F465" i="4"/>
  <c r="G465" i="4"/>
  <c r="H465" i="4"/>
  <c r="C466" i="4"/>
  <c r="D466" i="4"/>
  <c r="E466" i="4"/>
  <c r="F466" i="4"/>
  <c r="G466" i="4"/>
  <c r="H466" i="4"/>
  <c r="C467" i="4"/>
  <c r="D467" i="4"/>
  <c r="E467" i="4"/>
  <c r="F467" i="4"/>
  <c r="G467" i="4"/>
  <c r="H467" i="4"/>
  <c r="C468" i="4"/>
  <c r="D468" i="4"/>
  <c r="E468" i="4"/>
  <c r="F468" i="4"/>
  <c r="G468" i="4"/>
  <c r="H468" i="4"/>
  <c r="C469" i="4"/>
  <c r="D469" i="4"/>
  <c r="E469" i="4"/>
  <c r="F469" i="4"/>
  <c r="G469" i="4"/>
  <c r="H469" i="4"/>
  <c r="C470" i="4"/>
  <c r="D470" i="4"/>
  <c r="E470" i="4"/>
  <c r="F470" i="4"/>
  <c r="G470" i="4"/>
  <c r="H470" i="4"/>
  <c r="C471" i="4"/>
  <c r="D471" i="4"/>
  <c r="E471" i="4"/>
  <c r="F471" i="4"/>
  <c r="G471" i="4"/>
  <c r="H471" i="4"/>
  <c r="C472" i="4"/>
  <c r="D472" i="4"/>
  <c r="E472" i="4"/>
  <c r="F472" i="4"/>
  <c r="G472" i="4"/>
  <c r="H472" i="4"/>
  <c r="C473" i="4"/>
  <c r="D473" i="4"/>
  <c r="E473" i="4"/>
  <c r="F473" i="4"/>
  <c r="G473" i="4"/>
  <c r="H473" i="4"/>
  <c r="C474" i="4"/>
  <c r="D474" i="4"/>
  <c r="E474" i="4"/>
  <c r="F474" i="4"/>
  <c r="G474" i="4"/>
  <c r="H474" i="4"/>
  <c r="C475" i="4"/>
  <c r="D475" i="4"/>
  <c r="E475" i="4"/>
  <c r="F475" i="4"/>
  <c r="G475" i="4"/>
  <c r="H475" i="4"/>
  <c r="C476" i="4"/>
  <c r="D476" i="4"/>
  <c r="E476" i="4"/>
  <c r="F476" i="4"/>
  <c r="G476" i="4"/>
  <c r="H476" i="4"/>
  <c r="C477" i="4"/>
  <c r="D477" i="4"/>
  <c r="E477" i="4"/>
  <c r="F477" i="4"/>
  <c r="G477" i="4"/>
  <c r="H477" i="4"/>
  <c r="C478" i="4"/>
  <c r="D478" i="4"/>
  <c r="E478" i="4"/>
  <c r="F478" i="4"/>
  <c r="G478" i="4"/>
  <c r="H478" i="4"/>
  <c r="C479" i="4"/>
  <c r="D479" i="4"/>
  <c r="E479" i="4"/>
  <c r="F479" i="4"/>
  <c r="G479" i="4"/>
  <c r="H479" i="4"/>
  <c r="C480" i="4"/>
  <c r="D480" i="4"/>
  <c r="E480" i="4"/>
  <c r="F480" i="4"/>
  <c r="G480" i="4"/>
  <c r="H480" i="4"/>
  <c r="C481" i="4"/>
  <c r="D481" i="4"/>
  <c r="E481" i="4"/>
  <c r="F481" i="4"/>
  <c r="G481" i="4"/>
  <c r="H481" i="4"/>
  <c r="C482" i="4"/>
  <c r="D482" i="4"/>
  <c r="E482" i="4"/>
  <c r="F482" i="4"/>
  <c r="G482" i="4"/>
  <c r="H482" i="4"/>
  <c r="C483" i="4"/>
  <c r="D483" i="4"/>
  <c r="E483" i="4"/>
  <c r="F483" i="4"/>
  <c r="G483" i="4"/>
  <c r="H483" i="4"/>
  <c r="C484" i="4"/>
  <c r="D484" i="4"/>
  <c r="E484" i="4"/>
  <c r="F484" i="4"/>
  <c r="G484" i="4"/>
  <c r="H484" i="4"/>
  <c r="C485" i="4"/>
  <c r="D485" i="4"/>
  <c r="E485" i="4"/>
  <c r="F485" i="4"/>
  <c r="G485" i="4"/>
  <c r="H485" i="4"/>
  <c r="C486" i="4"/>
  <c r="D486" i="4"/>
  <c r="E486" i="4"/>
  <c r="F486" i="4"/>
  <c r="G486" i="4"/>
  <c r="H486" i="4"/>
  <c r="C487" i="4"/>
  <c r="D487" i="4"/>
  <c r="E487" i="4"/>
  <c r="F487" i="4"/>
  <c r="G487" i="4"/>
  <c r="H487" i="4"/>
  <c r="C488" i="4"/>
  <c r="D488" i="4"/>
  <c r="E488" i="4"/>
  <c r="F488" i="4"/>
  <c r="G488" i="4"/>
  <c r="H488" i="4"/>
  <c r="C489" i="4"/>
  <c r="D489" i="4"/>
  <c r="E489" i="4"/>
  <c r="F489" i="4"/>
  <c r="G489" i="4"/>
  <c r="H489" i="4"/>
  <c r="C490" i="4"/>
  <c r="D490" i="4"/>
  <c r="E490" i="4"/>
  <c r="F490" i="4"/>
  <c r="G490" i="4"/>
  <c r="H490" i="4"/>
  <c r="C491" i="4"/>
  <c r="D491" i="4"/>
  <c r="E491" i="4"/>
  <c r="F491" i="4"/>
  <c r="G491" i="4"/>
  <c r="H491" i="4"/>
  <c r="C492" i="4"/>
  <c r="D492" i="4"/>
  <c r="E492" i="4"/>
  <c r="F492" i="4"/>
  <c r="G492" i="4"/>
  <c r="H492" i="4"/>
  <c r="C493" i="4"/>
  <c r="D493" i="4"/>
  <c r="E493" i="4"/>
  <c r="F493" i="4"/>
  <c r="G493" i="4"/>
  <c r="H493" i="4"/>
  <c r="C494" i="4"/>
  <c r="D494" i="4"/>
  <c r="E494" i="4"/>
  <c r="F494" i="4"/>
  <c r="G494" i="4"/>
  <c r="H494" i="4"/>
  <c r="C495" i="4"/>
  <c r="D495" i="4"/>
  <c r="E495" i="4"/>
  <c r="F495" i="4"/>
  <c r="G495" i="4"/>
  <c r="H495" i="4"/>
  <c r="C496" i="4"/>
  <c r="D496" i="4"/>
  <c r="E496" i="4"/>
  <c r="F496" i="4"/>
  <c r="G496" i="4"/>
  <c r="H496" i="4"/>
  <c r="C497" i="4"/>
  <c r="D497" i="4"/>
  <c r="E497" i="4"/>
  <c r="F497" i="4"/>
  <c r="G497" i="4"/>
  <c r="H497" i="4"/>
  <c r="C498" i="4"/>
  <c r="D498" i="4"/>
  <c r="E498" i="4"/>
  <c r="F498" i="4"/>
  <c r="G498" i="4"/>
  <c r="H498" i="4"/>
  <c r="C499" i="4"/>
  <c r="D499" i="4"/>
  <c r="E499" i="4"/>
  <c r="F499" i="4"/>
  <c r="G499" i="4"/>
  <c r="H499" i="4"/>
  <c r="C500" i="4"/>
  <c r="D500" i="4"/>
  <c r="E500" i="4"/>
  <c r="F500" i="4"/>
  <c r="G500" i="4"/>
  <c r="H500" i="4"/>
  <c r="C501" i="4"/>
  <c r="D501" i="4"/>
  <c r="E501" i="4"/>
  <c r="F501" i="4"/>
  <c r="G501" i="4"/>
  <c r="H501" i="4"/>
  <c r="C502" i="4"/>
  <c r="D502" i="4"/>
  <c r="E502" i="4"/>
  <c r="F502" i="4"/>
  <c r="G502" i="4"/>
  <c r="H502" i="4"/>
  <c r="C503" i="4"/>
  <c r="D503" i="4"/>
  <c r="E503" i="4"/>
  <c r="F503" i="4"/>
  <c r="G503" i="4"/>
  <c r="H503" i="4"/>
  <c r="C504" i="4"/>
  <c r="D504" i="4"/>
  <c r="E504" i="4"/>
  <c r="F504" i="4"/>
  <c r="G504" i="4"/>
  <c r="H504" i="4"/>
  <c r="C505" i="4"/>
  <c r="D505" i="4"/>
  <c r="E505" i="4"/>
  <c r="F505" i="4"/>
  <c r="G505" i="4"/>
  <c r="H505" i="4"/>
  <c r="C506" i="4"/>
  <c r="D506" i="4"/>
  <c r="E506" i="4"/>
  <c r="F506" i="4"/>
  <c r="G506" i="4"/>
  <c r="H506" i="4"/>
  <c r="C507" i="4"/>
  <c r="D507" i="4"/>
  <c r="E507" i="4"/>
  <c r="F507" i="4"/>
  <c r="G507" i="4"/>
  <c r="H507" i="4"/>
  <c r="C508" i="4"/>
  <c r="D508" i="4"/>
  <c r="E508" i="4"/>
  <c r="F508" i="4"/>
  <c r="G508" i="4"/>
  <c r="H508" i="4"/>
  <c r="C509" i="4"/>
  <c r="D509" i="4"/>
  <c r="E509" i="4"/>
  <c r="F509" i="4"/>
  <c r="G509" i="4"/>
  <c r="H509" i="4"/>
  <c r="C510" i="4"/>
  <c r="D510" i="4"/>
  <c r="E510" i="4"/>
  <c r="F510" i="4"/>
  <c r="G510" i="4"/>
  <c r="H510" i="4"/>
  <c r="C511" i="4"/>
  <c r="D511" i="4"/>
  <c r="E511" i="4"/>
  <c r="F511" i="4"/>
  <c r="G511" i="4"/>
  <c r="H511" i="4"/>
  <c r="C512" i="4"/>
  <c r="D512" i="4"/>
  <c r="E512" i="4"/>
  <c r="F512" i="4"/>
  <c r="G512" i="4"/>
  <c r="H512" i="4"/>
  <c r="C513" i="4"/>
  <c r="D513" i="4"/>
  <c r="E513" i="4"/>
  <c r="F513" i="4"/>
  <c r="G513" i="4"/>
  <c r="H513" i="4"/>
  <c r="C514" i="4"/>
  <c r="D514" i="4"/>
  <c r="E514" i="4"/>
  <c r="F514" i="4"/>
  <c r="G514" i="4"/>
  <c r="H514" i="4"/>
  <c r="C515" i="4"/>
  <c r="D515" i="4"/>
  <c r="E515" i="4"/>
  <c r="F515" i="4"/>
  <c r="G515" i="4"/>
  <c r="H515" i="4"/>
  <c r="C516" i="4"/>
  <c r="D516" i="4"/>
  <c r="E516" i="4"/>
  <c r="F516" i="4"/>
  <c r="G516" i="4"/>
  <c r="H516" i="4"/>
  <c r="C517" i="4"/>
  <c r="D517" i="4"/>
  <c r="E517" i="4"/>
  <c r="F517" i="4"/>
  <c r="G517" i="4"/>
  <c r="H517" i="4"/>
  <c r="C518" i="4"/>
  <c r="D518" i="4"/>
  <c r="E518" i="4"/>
  <c r="F518" i="4"/>
  <c r="G518" i="4"/>
  <c r="H518" i="4"/>
  <c r="C519" i="4"/>
  <c r="D519" i="4"/>
  <c r="E519" i="4"/>
  <c r="F519" i="4"/>
  <c r="G519" i="4"/>
  <c r="H519" i="4"/>
  <c r="C520" i="4"/>
  <c r="D520" i="4"/>
  <c r="E520" i="4"/>
  <c r="F520" i="4"/>
  <c r="G520" i="4"/>
  <c r="H520" i="4"/>
  <c r="C521" i="4"/>
  <c r="D521" i="4"/>
  <c r="E521" i="4"/>
  <c r="F521" i="4"/>
  <c r="G521" i="4"/>
  <c r="H521" i="4"/>
  <c r="C522" i="4"/>
  <c r="D522" i="4"/>
  <c r="E522" i="4"/>
  <c r="F522" i="4"/>
  <c r="G522" i="4"/>
  <c r="H522" i="4"/>
  <c r="C523" i="4"/>
  <c r="D523" i="4"/>
  <c r="E523" i="4"/>
  <c r="F523" i="4"/>
  <c r="G523" i="4"/>
  <c r="H523" i="4"/>
  <c r="C524" i="4"/>
  <c r="D524" i="4"/>
  <c r="E524" i="4"/>
  <c r="F524" i="4"/>
  <c r="G524" i="4"/>
  <c r="H524" i="4"/>
  <c r="C525" i="4"/>
  <c r="D525" i="4"/>
  <c r="E525" i="4"/>
  <c r="F525" i="4"/>
  <c r="G525" i="4"/>
  <c r="H525" i="4"/>
  <c r="C526" i="4"/>
  <c r="D526" i="4"/>
  <c r="E526" i="4"/>
  <c r="F526" i="4"/>
  <c r="G526" i="4"/>
  <c r="H526" i="4"/>
  <c r="C527" i="4"/>
  <c r="D527" i="4"/>
  <c r="E527" i="4"/>
  <c r="F527" i="4"/>
  <c r="G527" i="4"/>
  <c r="H527" i="4"/>
  <c r="C528" i="4"/>
  <c r="D528" i="4"/>
  <c r="E528" i="4"/>
  <c r="F528" i="4"/>
  <c r="G528" i="4"/>
  <c r="H528" i="4"/>
  <c r="C529" i="4"/>
  <c r="D529" i="4"/>
  <c r="E529" i="4"/>
  <c r="F529" i="4"/>
  <c r="G529" i="4"/>
  <c r="H529" i="4"/>
  <c r="C530" i="4"/>
  <c r="D530" i="4"/>
  <c r="E530" i="4"/>
  <c r="F530" i="4"/>
  <c r="G530" i="4"/>
  <c r="H530" i="4"/>
  <c r="C531" i="4"/>
  <c r="D531" i="4"/>
  <c r="E531" i="4"/>
  <c r="F531" i="4"/>
  <c r="G531" i="4"/>
  <c r="H531" i="4"/>
  <c r="C532" i="4"/>
  <c r="D532" i="4"/>
  <c r="E532" i="4"/>
  <c r="F532" i="4"/>
  <c r="G532" i="4"/>
  <c r="H532" i="4"/>
  <c r="C533" i="4"/>
  <c r="D533" i="4"/>
  <c r="E533" i="4"/>
  <c r="F533" i="4"/>
  <c r="G533" i="4"/>
  <c r="H533" i="4"/>
  <c r="C534" i="4"/>
  <c r="D534" i="4"/>
  <c r="E534" i="4"/>
  <c r="F534" i="4"/>
  <c r="G534" i="4"/>
  <c r="H534" i="4"/>
  <c r="C535" i="4"/>
  <c r="D535" i="4"/>
  <c r="E535" i="4"/>
  <c r="F535" i="4"/>
  <c r="G535" i="4"/>
  <c r="H535" i="4"/>
  <c r="C536" i="4"/>
  <c r="D536" i="4"/>
  <c r="E536" i="4"/>
  <c r="F536" i="4"/>
  <c r="G536" i="4"/>
  <c r="H536" i="4"/>
  <c r="C537" i="4"/>
  <c r="D537" i="4"/>
  <c r="E537" i="4"/>
  <c r="F537" i="4"/>
  <c r="G537" i="4"/>
  <c r="H537" i="4"/>
  <c r="C538" i="4"/>
  <c r="D538" i="4"/>
  <c r="E538" i="4"/>
  <c r="F538" i="4"/>
  <c r="G538" i="4"/>
  <c r="H538" i="4"/>
  <c r="C539" i="4"/>
  <c r="D539" i="4"/>
  <c r="E539" i="4"/>
  <c r="F539" i="4"/>
  <c r="G539" i="4"/>
  <c r="H539" i="4"/>
  <c r="C540" i="4"/>
  <c r="D540" i="4"/>
  <c r="E540" i="4"/>
  <c r="F540" i="4"/>
  <c r="G540" i="4"/>
  <c r="H540" i="4"/>
  <c r="C541" i="4"/>
  <c r="D541" i="4"/>
  <c r="E541" i="4"/>
  <c r="F541" i="4"/>
  <c r="G541" i="4"/>
  <c r="H541" i="4"/>
  <c r="C542" i="4"/>
  <c r="D542" i="4"/>
  <c r="E542" i="4"/>
  <c r="F542" i="4"/>
  <c r="G542" i="4"/>
  <c r="H542" i="4"/>
  <c r="C543" i="4"/>
  <c r="D543" i="4"/>
  <c r="E543" i="4"/>
  <c r="F543" i="4"/>
  <c r="G543" i="4"/>
  <c r="H543" i="4"/>
  <c r="C544" i="4"/>
  <c r="D544" i="4"/>
  <c r="E544" i="4"/>
  <c r="F544" i="4"/>
  <c r="G544" i="4"/>
  <c r="H544" i="4"/>
  <c r="C545" i="4"/>
  <c r="D545" i="4"/>
  <c r="E545" i="4"/>
  <c r="F545" i="4"/>
  <c r="G545" i="4"/>
  <c r="H545" i="4"/>
  <c r="C546" i="4"/>
  <c r="D546" i="4"/>
  <c r="E546" i="4"/>
  <c r="F546" i="4"/>
  <c r="G546" i="4"/>
  <c r="H546" i="4"/>
  <c r="C547" i="4"/>
  <c r="D547" i="4"/>
  <c r="E547" i="4"/>
  <c r="F547" i="4"/>
  <c r="G547" i="4"/>
  <c r="H547" i="4"/>
  <c r="C548" i="4"/>
  <c r="D548" i="4"/>
  <c r="E548" i="4"/>
  <c r="F548" i="4"/>
  <c r="G548" i="4"/>
  <c r="H548" i="4"/>
  <c r="C549" i="4"/>
  <c r="D549" i="4"/>
  <c r="E549" i="4"/>
  <c r="F549" i="4"/>
  <c r="G549" i="4"/>
  <c r="H549" i="4"/>
  <c r="C550" i="4"/>
  <c r="D550" i="4"/>
  <c r="E550" i="4"/>
  <c r="F550" i="4"/>
  <c r="G550" i="4"/>
  <c r="H550" i="4"/>
  <c r="C551" i="4"/>
  <c r="D551" i="4"/>
  <c r="E551" i="4"/>
  <c r="F551" i="4"/>
  <c r="G551" i="4"/>
  <c r="H551" i="4"/>
  <c r="C552" i="4"/>
  <c r="D552" i="4"/>
  <c r="E552" i="4"/>
  <c r="F552" i="4"/>
  <c r="G552" i="4"/>
  <c r="H552" i="4"/>
  <c r="C553" i="4"/>
  <c r="D553" i="4"/>
  <c r="E553" i="4"/>
  <c r="F553" i="4"/>
  <c r="G553" i="4"/>
  <c r="H553" i="4"/>
  <c r="C554" i="4"/>
  <c r="D554" i="4"/>
  <c r="E554" i="4"/>
  <c r="F554" i="4"/>
  <c r="G554" i="4"/>
  <c r="H554" i="4"/>
  <c r="C555" i="4"/>
  <c r="D555" i="4"/>
  <c r="E555" i="4"/>
  <c r="F555" i="4"/>
  <c r="G555" i="4"/>
  <c r="H555" i="4"/>
  <c r="C556" i="4"/>
  <c r="D556" i="4"/>
  <c r="E556" i="4"/>
  <c r="F556" i="4"/>
  <c r="G556" i="4"/>
  <c r="H556" i="4"/>
  <c r="C557" i="4"/>
  <c r="D557" i="4"/>
  <c r="E557" i="4"/>
  <c r="F557" i="4"/>
  <c r="G557" i="4"/>
  <c r="H557" i="4"/>
  <c r="C558" i="4"/>
  <c r="D558" i="4"/>
  <c r="E558" i="4"/>
  <c r="F558" i="4"/>
  <c r="G558" i="4"/>
  <c r="H558" i="4"/>
  <c r="C559" i="4"/>
  <c r="D559" i="4"/>
  <c r="E559" i="4"/>
  <c r="F559" i="4"/>
  <c r="G559" i="4"/>
  <c r="H559" i="4"/>
  <c r="C560" i="4"/>
  <c r="D560" i="4"/>
  <c r="E560" i="4"/>
  <c r="F560" i="4"/>
  <c r="G560" i="4"/>
  <c r="H560" i="4"/>
  <c r="C561" i="4"/>
  <c r="D561" i="4"/>
  <c r="E561" i="4"/>
  <c r="F561" i="4"/>
  <c r="G561" i="4"/>
  <c r="H561" i="4"/>
  <c r="C562" i="4"/>
  <c r="D562" i="4"/>
  <c r="E562" i="4"/>
  <c r="F562" i="4"/>
  <c r="G562" i="4"/>
  <c r="H562" i="4"/>
  <c r="C563" i="4"/>
  <c r="D563" i="4"/>
  <c r="E563" i="4"/>
  <c r="F563" i="4"/>
  <c r="G563" i="4"/>
  <c r="H563" i="4"/>
  <c r="C564" i="4"/>
  <c r="D564" i="4"/>
  <c r="E564" i="4"/>
  <c r="F564" i="4"/>
  <c r="G564" i="4"/>
  <c r="H564" i="4"/>
  <c r="C565" i="4"/>
  <c r="D565" i="4"/>
  <c r="E565" i="4"/>
  <c r="F565" i="4"/>
  <c r="G565" i="4"/>
  <c r="H565" i="4"/>
  <c r="C566" i="4"/>
  <c r="D566" i="4"/>
  <c r="E566" i="4"/>
  <c r="F566" i="4"/>
  <c r="G566" i="4"/>
  <c r="H566" i="4"/>
  <c r="C567" i="4"/>
  <c r="D567" i="4"/>
  <c r="E567" i="4"/>
  <c r="F567" i="4"/>
  <c r="G567" i="4"/>
  <c r="H567" i="4"/>
  <c r="C568" i="4"/>
  <c r="D568" i="4"/>
  <c r="E568" i="4"/>
  <c r="F568" i="4"/>
  <c r="G568" i="4"/>
  <c r="H568" i="4"/>
  <c r="C569" i="4"/>
  <c r="D569" i="4"/>
  <c r="E569" i="4"/>
  <c r="F569" i="4"/>
  <c r="G569" i="4"/>
  <c r="H569" i="4"/>
  <c r="C570" i="4"/>
  <c r="D570" i="4"/>
  <c r="E570" i="4"/>
  <c r="F570" i="4"/>
  <c r="G570" i="4"/>
  <c r="H570" i="4"/>
  <c r="C571" i="4"/>
  <c r="D571" i="4"/>
  <c r="E571" i="4"/>
  <c r="F571" i="4"/>
  <c r="G571" i="4"/>
  <c r="H571" i="4"/>
  <c r="C572" i="4"/>
  <c r="D572" i="4"/>
  <c r="E572" i="4"/>
  <c r="F572" i="4"/>
  <c r="G572" i="4"/>
  <c r="H572" i="4"/>
  <c r="C573" i="4"/>
  <c r="D573" i="4"/>
  <c r="E573" i="4"/>
  <c r="F573" i="4"/>
  <c r="G573" i="4"/>
  <c r="H573" i="4"/>
  <c r="C574" i="4"/>
  <c r="D574" i="4"/>
  <c r="E574" i="4"/>
  <c r="F574" i="4"/>
  <c r="G574" i="4"/>
  <c r="H574" i="4"/>
  <c r="C575" i="4"/>
  <c r="D575" i="4"/>
  <c r="E575" i="4"/>
  <c r="F575" i="4"/>
  <c r="G575" i="4"/>
  <c r="H575" i="4"/>
  <c r="C576" i="4"/>
  <c r="D576" i="4"/>
  <c r="E576" i="4"/>
  <c r="F576" i="4"/>
  <c r="G576" i="4"/>
  <c r="H576" i="4"/>
  <c r="C577" i="4"/>
  <c r="D577" i="4"/>
  <c r="E577" i="4"/>
  <c r="F577" i="4"/>
  <c r="G577" i="4"/>
  <c r="H577" i="4"/>
  <c r="C578" i="4"/>
  <c r="D578" i="4"/>
  <c r="E578" i="4"/>
  <c r="F578" i="4"/>
  <c r="G578" i="4"/>
  <c r="H578" i="4"/>
  <c r="C579" i="4"/>
  <c r="D579" i="4"/>
  <c r="E579" i="4"/>
  <c r="F579" i="4"/>
  <c r="G579" i="4"/>
  <c r="H579" i="4"/>
  <c r="C580" i="4"/>
  <c r="D580" i="4"/>
  <c r="E580" i="4"/>
  <c r="F580" i="4"/>
  <c r="G580" i="4"/>
  <c r="H580" i="4"/>
  <c r="C581" i="4"/>
  <c r="D581" i="4"/>
  <c r="E581" i="4"/>
  <c r="F581" i="4"/>
  <c r="G581" i="4"/>
  <c r="H581" i="4"/>
  <c r="C582" i="4"/>
  <c r="D582" i="4"/>
  <c r="E582" i="4"/>
  <c r="F582" i="4"/>
  <c r="G582" i="4"/>
  <c r="H582" i="4"/>
  <c r="C583" i="4"/>
  <c r="D583" i="4"/>
  <c r="E583" i="4"/>
  <c r="F583" i="4"/>
  <c r="G583" i="4"/>
  <c r="H583" i="4"/>
  <c r="C584" i="4"/>
  <c r="D584" i="4"/>
  <c r="E584" i="4"/>
  <c r="F584" i="4"/>
  <c r="G584" i="4"/>
  <c r="H584" i="4"/>
  <c r="C585" i="4"/>
  <c r="D585" i="4"/>
  <c r="E585" i="4"/>
  <c r="F585" i="4"/>
  <c r="G585" i="4"/>
  <c r="H585" i="4"/>
  <c r="C586" i="4"/>
  <c r="D586" i="4"/>
  <c r="E586" i="4"/>
  <c r="F586" i="4"/>
  <c r="G586" i="4"/>
  <c r="H586" i="4"/>
  <c r="C587" i="4"/>
  <c r="D587" i="4"/>
  <c r="E587" i="4"/>
  <c r="F587" i="4"/>
  <c r="G587" i="4"/>
  <c r="H587" i="4"/>
  <c r="C588" i="4"/>
  <c r="D588" i="4"/>
  <c r="E588" i="4"/>
  <c r="F588" i="4"/>
  <c r="G588" i="4"/>
  <c r="H588" i="4"/>
  <c r="C589" i="4"/>
  <c r="D589" i="4"/>
  <c r="E589" i="4"/>
  <c r="F589" i="4"/>
  <c r="G589" i="4"/>
  <c r="H589" i="4"/>
  <c r="C590" i="4"/>
  <c r="D590" i="4"/>
  <c r="E590" i="4"/>
  <c r="F590" i="4"/>
  <c r="G590" i="4"/>
  <c r="H590" i="4"/>
  <c r="C591" i="4"/>
  <c r="D591" i="4"/>
  <c r="E591" i="4"/>
  <c r="F591" i="4"/>
  <c r="G591" i="4"/>
  <c r="H591" i="4"/>
  <c r="C592" i="4"/>
  <c r="D592" i="4"/>
  <c r="E592" i="4"/>
  <c r="F592" i="4"/>
  <c r="G592" i="4"/>
  <c r="H592" i="4"/>
  <c r="C593" i="4"/>
  <c r="D593" i="4"/>
  <c r="E593" i="4"/>
  <c r="F593" i="4"/>
  <c r="G593" i="4"/>
  <c r="H593" i="4"/>
  <c r="C594" i="4"/>
  <c r="D594" i="4"/>
  <c r="E594" i="4"/>
  <c r="F594" i="4"/>
  <c r="G594" i="4"/>
  <c r="H594" i="4"/>
  <c r="C595" i="4"/>
  <c r="D595" i="4"/>
  <c r="E595" i="4"/>
  <c r="F595" i="4"/>
  <c r="G595" i="4"/>
  <c r="H595" i="4"/>
  <c r="C596" i="4"/>
  <c r="D596" i="4"/>
  <c r="E596" i="4"/>
  <c r="F596" i="4"/>
  <c r="G596" i="4"/>
  <c r="H596" i="4"/>
  <c r="C597" i="4"/>
  <c r="D597" i="4"/>
  <c r="E597" i="4"/>
  <c r="F597" i="4"/>
  <c r="G597" i="4"/>
  <c r="H597" i="4"/>
  <c r="C598" i="4"/>
  <c r="D598" i="4"/>
  <c r="E598" i="4"/>
  <c r="F598" i="4"/>
  <c r="G598" i="4"/>
  <c r="H598" i="4"/>
  <c r="C599" i="4"/>
  <c r="D599" i="4"/>
  <c r="E599" i="4"/>
  <c r="F599" i="4"/>
  <c r="G599" i="4"/>
  <c r="H599" i="4"/>
  <c r="C600" i="4"/>
  <c r="D600" i="4"/>
  <c r="E600" i="4"/>
  <c r="F600" i="4"/>
  <c r="G600" i="4"/>
  <c r="H600" i="4"/>
  <c r="C601" i="4"/>
  <c r="D601" i="4"/>
  <c r="E601" i="4"/>
  <c r="F601" i="4"/>
  <c r="G601" i="4"/>
  <c r="H601" i="4"/>
  <c r="C602" i="4"/>
  <c r="D602" i="4"/>
  <c r="E602" i="4"/>
  <c r="F602" i="4"/>
  <c r="G602" i="4"/>
  <c r="H602" i="4"/>
  <c r="C603" i="4"/>
  <c r="D603" i="4"/>
  <c r="E603" i="4"/>
  <c r="F603" i="4"/>
  <c r="G603" i="4"/>
  <c r="H603" i="4"/>
  <c r="C604" i="4"/>
  <c r="D604" i="4"/>
  <c r="E604" i="4"/>
  <c r="F604" i="4"/>
  <c r="G604" i="4"/>
  <c r="H604" i="4"/>
  <c r="C605" i="4"/>
  <c r="D605" i="4"/>
  <c r="E605" i="4"/>
  <c r="F605" i="4"/>
  <c r="G605" i="4"/>
  <c r="H605" i="4"/>
  <c r="C606" i="4"/>
  <c r="D606" i="4"/>
  <c r="E606" i="4"/>
  <c r="F606" i="4"/>
  <c r="G606" i="4"/>
  <c r="H606" i="4"/>
  <c r="C607" i="4"/>
  <c r="D607" i="4"/>
  <c r="E607" i="4"/>
  <c r="F607" i="4"/>
  <c r="G607" i="4"/>
  <c r="H607" i="4"/>
  <c r="C608" i="4"/>
  <c r="D608" i="4"/>
  <c r="E608" i="4"/>
  <c r="F608" i="4"/>
  <c r="G608" i="4"/>
  <c r="H608" i="4"/>
  <c r="C609" i="4"/>
  <c r="D609" i="4"/>
  <c r="E609" i="4"/>
  <c r="F609" i="4"/>
  <c r="G609" i="4"/>
  <c r="H609" i="4"/>
  <c r="C610" i="4"/>
  <c r="D610" i="4"/>
  <c r="E610" i="4"/>
  <c r="F610" i="4"/>
  <c r="G610" i="4"/>
  <c r="H610" i="4"/>
  <c r="C611" i="4"/>
  <c r="D611" i="4"/>
  <c r="E611" i="4"/>
  <c r="F611" i="4"/>
  <c r="G611" i="4"/>
  <c r="H611" i="4"/>
  <c r="C612" i="4"/>
  <c r="D612" i="4"/>
  <c r="E612" i="4"/>
  <c r="F612" i="4"/>
  <c r="G612" i="4"/>
  <c r="H612" i="4"/>
  <c r="C613" i="4"/>
  <c r="D613" i="4"/>
  <c r="E613" i="4"/>
  <c r="F613" i="4"/>
  <c r="G613" i="4"/>
  <c r="H613" i="4"/>
  <c r="C614" i="4"/>
  <c r="D614" i="4"/>
  <c r="E614" i="4"/>
  <c r="F614" i="4"/>
  <c r="G614" i="4"/>
  <c r="H614" i="4"/>
  <c r="C615" i="4"/>
  <c r="D615" i="4"/>
  <c r="E615" i="4"/>
  <c r="F615" i="4"/>
  <c r="G615" i="4"/>
  <c r="H615" i="4"/>
  <c r="C616" i="4"/>
  <c r="D616" i="4"/>
  <c r="E616" i="4"/>
  <c r="F616" i="4"/>
  <c r="G616" i="4"/>
  <c r="H616" i="4"/>
  <c r="C617" i="4"/>
  <c r="D617" i="4"/>
  <c r="E617" i="4"/>
  <c r="F617" i="4"/>
  <c r="G617" i="4"/>
  <c r="H617" i="4"/>
  <c r="C618" i="4"/>
  <c r="D618" i="4"/>
  <c r="E618" i="4"/>
  <c r="F618" i="4"/>
  <c r="G618" i="4"/>
  <c r="H618" i="4"/>
  <c r="C619" i="4"/>
  <c r="D619" i="4"/>
  <c r="E619" i="4"/>
  <c r="F619" i="4"/>
  <c r="G619" i="4"/>
  <c r="H619" i="4"/>
  <c r="C620" i="4"/>
  <c r="D620" i="4"/>
  <c r="E620" i="4"/>
  <c r="F620" i="4"/>
  <c r="G620" i="4"/>
  <c r="H620" i="4"/>
  <c r="C621" i="4"/>
  <c r="D621" i="4"/>
  <c r="E621" i="4"/>
  <c r="F621" i="4"/>
  <c r="G621" i="4"/>
  <c r="H621" i="4"/>
  <c r="C622" i="4"/>
  <c r="D622" i="4"/>
  <c r="E622" i="4"/>
  <c r="F622" i="4"/>
  <c r="G622" i="4"/>
  <c r="H622" i="4"/>
  <c r="C623" i="4"/>
  <c r="D623" i="4"/>
  <c r="E623" i="4"/>
  <c r="F623" i="4"/>
  <c r="G623" i="4"/>
  <c r="H623" i="4"/>
  <c r="C624" i="4"/>
  <c r="D624" i="4"/>
  <c r="E624" i="4"/>
  <c r="F624" i="4"/>
  <c r="G624" i="4"/>
  <c r="H624" i="4"/>
  <c r="C625" i="4"/>
  <c r="D625" i="4"/>
  <c r="E625" i="4"/>
  <c r="F625" i="4"/>
  <c r="G625" i="4"/>
  <c r="H625" i="4"/>
  <c r="C626" i="4"/>
  <c r="D626" i="4"/>
  <c r="E626" i="4"/>
  <c r="F626" i="4"/>
  <c r="G626" i="4"/>
  <c r="H626" i="4"/>
  <c r="C627" i="4"/>
  <c r="D627" i="4"/>
  <c r="E627" i="4"/>
  <c r="F627" i="4"/>
  <c r="G627" i="4"/>
  <c r="H627" i="4"/>
  <c r="C628" i="4"/>
  <c r="D628" i="4"/>
  <c r="E628" i="4"/>
  <c r="F628" i="4"/>
  <c r="G628" i="4"/>
  <c r="H628" i="4"/>
  <c r="C629" i="4"/>
  <c r="D629" i="4"/>
  <c r="E629" i="4"/>
  <c r="F629" i="4"/>
  <c r="G629" i="4"/>
  <c r="H629" i="4"/>
  <c r="C630" i="4"/>
  <c r="D630" i="4"/>
  <c r="E630" i="4"/>
  <c r="F630" i="4"/>
  <c r="G630" i="4"/>
  <c r="H630" i="4"/>
  <c r="C631" i="4"/>
  <c r="D631" i="4"/>
  <c r="E631" i="4"/>
  <c r="F631" i="4"/>
  <c r="G631" i="4"/>
  <c r="H631" i="4"/>
  <c r="C632" i="4"/>
  <c r="D632" i="4"/>
  <c r="E632" i="4"/>
  <c r="F632" i="4"/>
  <c r="G632" i="4"/>
  <c r="H632" i="4"/>
  <c r="C633" i="4"/>
  <c r="D633" i="4"/>
  <c r="E633" i="4"/>
  <c r="F633" i="4"/>
  <c r="G633" i="4"/>
  <c r="H633" i="4"/>
  <c r="C634" i="4"/>
  <c r="D634" i="4"/>
  <c r="E634" i="4"/>
  <c r="F634" i="4"/>
  <c r="G634" i="4"/>
  <c r="H634" i="4"/>
  <c r="C635" i="4"/>
  <c r="D635" i="4"/>
  <c r="E635" i="4"/>
  <c r="F635" i="4"/>
  <c r="G635" i="4"/>
  <c r="H635" i="4"/>
  <c r="C636" i="4"/>
  <c r="D636" i="4"/>
  <c r="E636" i="4"/>
  <c r="F636" i="4"/>
  <c r="G636" i="4"/>
  <c r="H636" i="4"/>
  <c r="C637" i="4"/>
  <c r="D637" i="4"/>
  <c r="E637" i="4"/>
  <c r="F637" i="4"/>
  <c r="G637" i="4"/>
  <c r="H637" i="4"/>
  <c r="C638" i="4"/>
  <c r="D638" i="4"/>
  <c r="E638" i="4"/>
  <c r="F638" i="4"/>
  <c r="G638" i="4"/>
  <c r="H638" i="4"/>
  <c r="C639" i="4"/>
  <c r="D639" i="4"/>
  <c r="E639" i="4"/>
  <c r="F639" i="4"/>
  <c r="G639" i="4"/>
  <c r="H639" i="4"/>
  <c r="C640" i="4"/>
  <c r="D640" i="4"/>
  <c r="E640" i="4"/>
  <c r="F640" i="4"/>
  <c r="G640" i="4"/>
  <c r="H640" i="4"/>
  <c r="C641" i="4"/>
  <c r="D641" i="4"/>
  <c r="E641" i="4"/>
  <c r="F641" i="4"/>
  <c r="G641" i="4"/>
  <c r="H641" i="4"/>
  <c r="C642" i="4"/>
  <c r="D642" i="4"/>
  <c r="E642" i="4"/>
  <c r="F642" i="4"/>
  <c r="G642" i="4"/>
  <c r="H642" i="4"/>
  <c r="C643" i="4"/>
  <c r="D643" i="4"/>
  <c r="E643" i="4"/>
  <c r="F643" i="4"/>
  <c r="G643" i="4"/>
  <c r="H643" i="4"/>
  <c r="C644" i="4"/>
  <c r="D644" i="4"/>
  <c r="E644" i="4"/>
  <c r="F644" i="4"/>
  <c r="G644" i="4"/>
  <c r="H644" i="4"/>
  <c r="C645" i="4"/>
  <c r="D645" i="4"/>
  <c r="E645" i="4"/>
  <c r="F645" i="4"/>
  <c r="G645" i="4"/>
  <c r="H645" i="4"/>
  <c r="C646" i="4"/>
  <c r="D646" i="4"/>
  <c r="E646" i="4"/>
  <c r="F646" i="4"/>
  <c r="G646" i="4"/>
  <c r="H646" i="4"/>
  <c r="C647" i="4"/>
  <c r="D647" i="4"/>
  <c r="E647" i="4"/>
  <c r="F647" i="4"/>
  <c r="G647" i="4"/>
  <c r="H647" i="4"/>
  <c r="C648" i="4"/>
  <c r="D648" i="4"/>
  <c r="E648" i="4"/>
  <c r="F648" i="4"/>
  <c r="G648" i="4"/>
  <c r="H648" i="4"/>
  <c r="C649" i="4"/>
  <c r="D649" i="4"/>
  <c r="E649" i="4"/>
  <c r="F649" i="4"/>
  <c r="G649" i="4"/>
  <c r="H649" i="4"/>
  <c r="C650" i="4"/>
  <c r="D650" i="4"/>
  <c r="E650" i="4"/>
  <c r="F650" i="4"/>
  <c r="G650" i="4"/>
  <c r="H650" i="4"/>
  <c r="C651" i="4"/>
  <c r="D651" i="4"/>
  <c r="E651" i="4"/>
  <c r="F651" i="4"/>
  <c r="G651" i="4"/>
  <c r="H651" i="4"/>
  <c r="C652" i="4"/>
  <c r="D652" i="4"/>
  <c r="E652" i="4"/>
  <c r="F652" i="4"/>
  <c r="G652" i="4"/>
  <c r="H652" i="4"/>
  <c r="C653" i="4"/>
  <c r="D653" i="4"/>
  <c r="E653" i="4"/>
  <c r="F653" i="4"/>
  <c r="G653" i="4"/>
  <c r="H653" i="4"/>
  <c r="C654" i="4"/>
  <c r="D654" i="4"/>
  <c r="E654" i="4"/>
  <c r="F654" i="4"/>
  <c r="G654" i="4"/>
  <c r="H654" i="4"/>
  <c r="C655" i="4"/>
  <c r="D655" i="4"/>
  <c r="E655" i="4"/>
  <c r="F655" i="4"/>
  <c r="G655" i="4"/>
  <c r="H655" i="4"/>
  <c r="C656" i="4"/>
  <c r="D656" i="4"/>
  <c r="E656" i="4"/>
  <c r="F656" i="4"/>
  <c r="G656" i="4"/>
  <c r="H656" i="4"/>
  <c r="C657" i="4"/>
  <c r="D657" i="4"/>
  <c r="E657" i="4"/>
  <c r="F657" i="4"/>
  <c r="G657" i="4"/>
  <c r="H657" i="4"/>
  <c r="C658" i="4"/>
  <c r="D658" i="4"/>
  <c r="E658" i="4"/>
  <c r="F658" i="4"/>
  <c r="G658" i="4"/>
  <c r="H658" i="4"/>
  <c r="C659" i="4"/>
  <c r="D659" i="4"/>
  <c r="E659" i="4"/>
  <c r="F659" i="4"/>
  <c r="G659" i="4"/>
  <c r="H659" i="4"/>
  <c r="C660" i="4"/>
  <c r="D660" i="4"/>
  <c r="E660" i="4"/>
  <c r="F660" i="4"/>
  <c r="G660" i="4"/>
  <c r="H660" i="4"/>
  <c r="C661" i="4"/>
  <c r="D661" i="4"/>
  <c r="E661" i="4"/>
  <c r="F661" i="4"/>
  <c r="G661" i="4"/>
  <c r="H661" i="4"/>
  <c r="C662" i="4"/>
  <c r="D662" i="4"/>
  <c r="E662" i="4"/>
  <c r="F662" i="4"/>
  <c r="G662" i="4"/>
  <c r="H662" i="4"/>
  <c r="C663" i="4"/>
  <c r="D663" i="4"/>
  <c r="E663" i="4"/>
  <c r="F663" i="4"/>
  <c r="G663" i="4"/>
  <c r="H663" i="4"/>
  <c r="C664" i="4"/>
  <c r="D664" i="4"/>
  <c r="E664" i="4"/>
  <c r="F664" i="4"/>
  <c r="G664" i="4"/>
  <c r="H664" i="4"/>
  <c r="C665" i="4"/>
  <c r="D665" i="4"/>
  <c r="E665" i="4"/>
  <c r="F665" i="4"/>
  <c r="G665" i="4"/>
  <c r="H665" i="4"/>
  <c r="C666" i="4"/>
  <c r="D666" i="4"/>
  <c r="E666" i="4"/>
  <c r="F666" i="4"/>
  <c r="G666" i="4"/>
  <c r="H666" i="4"/>
  <c r="C667" i="4"/>
  <c r="D667" i="4"/>
  <c r="E667" i="4"/>
  <c r="F667" i="4"/>
  <c r="G667" i="4"/>
  <c r="H667" i="4"/>
  <c r="C668" i="4"/>
  <c r="D668" i="4"/>
  <c r="E668" i="4"/>
  <c r="F668" i="4"/>
  <c r="G668" i="4"/>
  <c r="H668" i="4"/>
  <c r="C669" i="4"/>
  <c r="D669" i="4"/>
  <c r="E669" i="4"/>
  <c r="F669" i="4"/>
  <c r="G669" i="4"/>
  <c r="H669" i="4"/>
  <c r="C670" i="4"/>
  <c r="D670" i="4"/>
  <c r="E670" i="4"/>
  <c r="F670" i="4"/>
  <c r="G670" i="4"/>
  <c r="H670" i="4"/>
  <c r="C671" i="4"/>
  <c r="D671" i="4"/>
  <c r="E671" i="4"/>
  <c r="F671" i="4"/>
  <c r="G671" i="4"/>
  <c r="H671" i="4"/>
  <c r="C672" i="4"/>
  <c r="D672" i="4"/>
  <c r="E672" i="4"/>
  <c r="F672" i="4"/>
  <c r="G672" i="4"/>
  <c r="H672" i="4"/>
  <c r="C673" i="4"/>
  <c r="D673" i="4"/>
  <c r="E673" i="4"/>
  <c r="F673" i="4"/>
  <c r="G673" i="4"/>
  <c r="H673" i="4"/>
  <c r="C674" i="4"/>
  <c r="D674" i="4"/>
  <c r="E674" i="4"/>
  <c r="F674" i="4"/>
  <c r="G674" i="4"/>
  <c r="H674" i="4"/>
  <c r="C675" i="4"/>
  <c r="D675" i="4"/>
  <c r="E675" i="4"/>
  <c r="F675" i="4"/>
  <c r="G675" i="4"/>
  <c r="H675" i="4"/>
  <c r="C676" i="4"/>
  <c r="D676" i="4"/>
  <c r="E676" i="4"/>
  <c r="F676" i="4"/>
  <c r="G676" i="4"/>
  <c r="H676" i="4"/>
  <c r="C677" i="4"/>
  <c r="D677" i="4"/>
  <c r="E677" i="4"/>
  <c r="F677" i="4"/>
  <c r="G677" i="4"/>
  <c r="H677" i="4"/>
  <c r="C678" i="4"/>
  <c r="D678" i="4"/>
  <c r="E678" i="4"/>
  <c r="F678" i="4"/>
  <c r="G678" i="4"/>
  <c r="H678" i="4"/>
  <c r="C679" i="4"/>
  <c r="D679" i="4"/>
  <c r="E679" i="4"/>
  <c r="F679" i="4"/>
  <c r="G679" i="4"/>
  <c r="H679" i="4"/>
  <c r="C680" i="4"/>
  <c r="D680" i="4"/>
  <c r="E680" i="4"/>
  <c r="F680" i="4"/>
  <c r="G680" i="4"/>
  <c r="H680" i="4"/>
  <c r="C681" i="4"/>
  <c r="D681" i="4"/>
  <c r="E681" i="4"/>
  <c r="F681" i="4"/>
  <c r="G681" i="4"/>
  <c r="H681" i="4"/>
  <c r="C682" i="4"/>
  <c r="D682" i="4"/>
  <c r="E682" i="4"/>
  <c r="F682" i="4"/>
  <c r="G682" i="4"/>
  <c r="H682" i="4"/>
  <c r="C683" i="4"/>
  <c r="D683" i="4"/>
  <c r="E683" i="4"/>
  <c r="F683" i="4"/>
  <c r="G683" i="4"/>
  <c r="H683" i="4"/>
  <c r="C684" i="4"/>
  <c r="D684" i="4"/>
  <c r="E684" i="4"/>
  <c r="F684" i="4"/>
  <c r="G684" i="4"/>
  <c r="H684" i="4"/>
  <c r="C685" i="4"/>
  <c r="D685" i="4"/>
  <c r="E685" i="4"/>
  <c r="F685" i="4"/>
  <c r="G685" i="4"/>
  <c r="H685" i="4"/>
  <c r="C686" i="4"/>
  <c r="D686" i="4"/>
  <c r="E686" i="4"/>
  <c r="F686" i="4"/>
  <c r="G686" i="4"/>
  <c r="H686" i="4"/>
  <c r="C687" i="4"/>
  <c r="D687" i="4"/>
  <c r="E687" i="4"/>
  <c r="F687" i="4"/>
  <c r="G687" i="4"/>
  <c r="H687" i="4"/>
  <c r="C688" i="4"/>
  <c r="D688" i="4"/>
  <c r="E688" i="4"/>
  <c r="F688" i="4"/>
  <c r="G688" i="4"/>
  <c r="H688" i="4"/>
  <c r="C689" i="4"/>
  <c r="D689" i="4"/>
  <c r="E689" i="4"/>
  <c r="F689" i="4"/>
  <c r="G689" i="4"/>
  <c r="H689" i="4"/>
  <c r="C690" i="4"/>
  <c r="D690" i="4"/>
  <c r="E690" i="4"/>
  <c r="F690" i="4"/>
  <c r="G690" i="4"/>
  <c r="H690" i="4"/>
  <c r="C691" i="4"/>
  <c r="D691" i="4"/>
  <c r="E691" i="4"/>
  <c r="F691" i="4"/>
  <c r="G691" i="4"/>
  <c r="H691" i="4"/>
  <c r="C692" i="4"/>
  <c r="D692" i="4"/>
  <c r="E692" i="4"/>
  <c r="F692" i="4"/>
  <c r="G692" i="4"/>
  <c r="H692" i="4"/>
  <c r="C693" i="4"/>
  <c r="D693" i="4"/>
  <c r="E693" i="4"/>
  <c r="F693" i="4"/>
  <c r="G693" i="4"/>
  <c r="H693" i="4"/>
  <c r="C694" i="4"/>
  <c r="D694" i="4"/>
  <c r="E694" i="4"/>
  <c r="F694" i="4"/>
  <c r="G694" i="4"/>
  <c r="H694" i="4"/>
  <c r="C695" i="4"/>
  <c r="D695" i="4"/>
  <c r="E695" i="4"/>
  <c r="F695" i="4"/>
  <c r="G695" i="4"/>
  <c r="H695" i="4"/>
  <c r="C696" i="4"/>
  <c r="D696" i="4"/>
  <c r="E696" i="4"/>
  <c r="F696" i="4"/>
  <c r="G696" i="4"/>
  <c r="H696" i="4"/>
  <c r="C697" i="4"/>
  <c r="D697" i="4"/>
  <c r="E697" i="4"/>
  <c r="F697" i="4"/>
  <c r="G697" i="4"/>
  <c r="H697" i="4"/>
  <c r="C698" i="4"/>
  <c r="D698" i="4"/>
  <c r="E698" i="4"/>
  <c r="F698" i="4"/>
  <c r="G698" i="4"/>
  <c r="H698" i="4"/>
  <c r="C699" i="4"/>
  <c r="D699" i="4"/>
  <c r="E699" i="4"/>
  <c r="F699" i="4"/>
  <c r="G699" i="4"/>
  <c r="H699" i="4"/>
  <c r="C700" i="4"/>
  <c r="D700" i="4"/>
  <c r="E700" i="4"/>
  <c r="F700" i="4"/>
  <c r="G700" i="4"/>
  <c r="H700" i="4"/>
  <c r="C701" i="4"/>
  <c r="D701" i="4"/>
  <c r="E701" i="4"/>
  <c r="F701" i="4"/>
  <c r="G701" i="4"/>
  <c r="H701" i="4"/>
  <c r="C702" i="4"/>
  <c r="D702" i="4"/>
  <c r="E702" i="4"/>
  <c r="F702" i="4"/>
  <c r="G702" i="4"/>
  <c r="H702" i="4"/>
  <c r="C703" i="4"/>
  <c r="D703" i="4"/>
  <c r="E703" i="4"/>
  <c r="F703" i="4"/>
  <c r="G703" i="4"/>
  <c r="H703" i="4"/>
  <c r="C704" i="4"/>
  <c r="D704" i="4"/>
  <c r="E704" i="4"/>
  <c r="F704" i="4"/>
  <c r="G704" i="4"/>
  <c r="H704" i="4"/>
  <c r="C705" i="4"/>
  <c r="D705" i="4"/>
  <c r="E705" i="4"/>
  <c r="F705" i="4"/>
  <c r="G705" i="4"/>
  <c r="H705" i="4"/>
  <c r="C706" i="4"/>
  <c r="D706" i="4"/>
  <c r="E706" i="4"/>
  <c r="F706" i="4"/>
  <c r="G706" i="4"/>
  <c r="H706" i="4"/>
  <c r="C707" i="4"/>
  <c r="D707" i="4"/>
  <c r="E707" i="4"/>
  <c r="F707" i="4"/>
  <c r="G707" i="4"/>
  <c r="H707" i="4"/>
  <c r="C708" i="4"/>
  <c r="D708" i="4"/>
  <c r="E708" i="4"/>
  <c r="F708" i="4"/>
  <c r="G708" i="4"/>
  <c r="H708" i="4"/>
  <c r="C709" i="4"/>
  <c r="D709" i="4"/>
  <c r="E709" i="4"/>
  <c r="F709" i="4"/>
  <c r="G709" i="4"/>
  <c r="H709" i="4"/>
  <c r="C710" i="4"/>
  <c r="D710" i="4"/>
  <c r="E710" i="4"/>
  <c r="F710" i="4"/>
  <c r="G710" i="4"/>
  <c r="H710" i="4"/>
  <c r="C711" i="4"/>
  <c r="D711" i="4"/>
  <c r="E711" i="4"/>
  <c r="F711" i="4"/>
  <c r="G711" i="4"/>
  <c r="H711" i="4"/>
  <c r="C712" i="4"/>
  <c r="D712" i="4"/>
  <c r="E712" i="4"/>
  <c r="F712" i="4"/>
  <c r="G712" i="4"/>
  <c r="H712" i="4"/>
  <c r="C713" i="4"/>
  <c r="D713" i="4"/>
  <c r="E713" i="4"/>
  <c r="F713" i="4"/>
  <c r="G713" i="4"/>
  <c r="H713" i="4"/>
  <c r="C714" i="4"/>
  <c r="D714" i="4"/>
  <c r="E714" i="4"/>
  <c r="F714" i="4"/>
  <c r="G714" i="4"/>
  <c r="H714" i="4"/>
  <c r="C715" i="4"/>
  <c r="D715" i="4"/>
  <c r="E715" i="4"/>
  <c r="F715" i="4"/>
  <c r="G715" i="4"/>
  <c r="H715" i="4"/>
  <c r="C716" i="4"/>
  <c r="D716" i="4"/>
  <c r="E716" i="4"/>
  <c r="F716" i="4"/>
  <c r="G716" i="4"/>
  <c r="H716" i="4"/>
  <c r="C717" i="4"/>
  <c r="D717" i="4"/>
  <c r="E717" i="4"/>
  <c r="F717" i="4"/>
  <c r="G717" i="4"/>
  <c r="H717" i="4"/>
  <c r="C718" i="4"/>
  <c r="D718" i="4"/>
  <c r="E718" i="4"/>
  <c r="F718" i="4"/>
  <c r="G718" i="4"/>
  <c r="H718" i="4"/>
  <c r="C719" i="4"/>
  <c r="D719" i="4"/>
  <c r="E719" i="4"/>
  <c r="F719" i="4"/>
  <c r="G719" i="4"/>
  <c r="H719" i="4"/>
  <c r="C720" i="4"/>
  <c r="D720" i="4"/>
  <c r="E720" i="4"/>
  <c r="F720" i="4"/>
  <c r="G720" i="4"/>
  <c r="H720" i="4"/>
  <c r="C721" i="4"/>
  <c r="D721" i="4"/>
  <c r="E721" i="4"/>
  <c r="F721" i="4"/>
  <c r="G721" i="4"/>
  <c r="H721" i="4"/>
  <c r="C722" i="4"/>
  <c r="D722" i="4"/>
  <c r="E722" i="4"/>
  <c r="F722" i="4"/>
  <c r="G722" i="4"/>
  <c r="H722" i="4"/>
  <c r="C723" i="4"/>
  <c r="D723" i="4"/>
  <c r="E723" i="4"/>
  <c r="F723" i="4"/>
  <c r="G723" i="4"/>
  <c r="H723" i="4"/>
  <c r="C724" i="4"/>
  <c r="D724" i="4"/>
  <c r="E724" i="4"/>
  <c r="F724" i="4"/>
  <c r="G724" i="4"/>
  <c r="H724" i="4"/>
  <c r="C725" i="4"/>
  <c r="D725" i="4"/>
  <c r="E725" i="4"/>
  <c r="F725" i="4"/>
  <c r="G725" i="4"/>
  <c r="H725" i="4"/>
  <c r="C726" i="4"/>
  <c r="D726" i="4"/>
  <c r="E726" i="4"/>
  <c r="F726" i="4"/>
  <c r="G726" i="4"/>
  <c r="H726" i="4"/>
  <c r="C727" i="4"/>
  <c r="D727" i="4"/>
  <c r="E727" i="4"/>
  <c r="F727" i="4"/>
  <c r="G727" i="4"/>
  <c r="H727" i="4"/>
  <c r="C728" i="4"/>
  <c r="D728" i="4"/>
  <c r="E728" i="4"/>
  <c r="F728" i="4"/>
  <c r="G728" i="4"/>
  <c r="H728" i="4"/>
  <c r="C729" i="4"/>
  <c r="D729" i="4"/>
  <c r="E729" i="4"/>
  <c r="F729" i="4"/>
  <c r="G729" i="4"/>
  <c r="H729" i="4"/>
  <c r="C730" i="4"/>
  <c r="D730" i="4"/>
  <c r="E730" i="4"/>
  <c r="F730" i="4"/>
  <c r="G730" i="4"/>
  <c r="H730" i="4"/>
  <c r="C731" i="4"/>
  <c r="D731" i="4"/>
  <c r="E731" i="4"/>
  <c r="F731" i="4"/>
  <c r="G731" i="4"/>
  <c r="H731" i="4"/>
  <c r="C732" i="4"/>
  <c r="D732" i="4"/>
  <c r="E732" i="4"/>
  <c r="F732" i="4"/>
  <c r="G732" i="4"/>
  <c r="H732" i="4"/>
  <c r="C733" i="4"/>
  <c r="D733" i="4"/>
  <c r="E733" i="4"/>
  <c r="F733" i="4"/>
  <c r="G733" i="4"/>
  <c r="H733" i="4"/>
  <c r="C734" i="4"/>
  <c r="D734" i="4"/>
  <c r="E734" i="4"/>
  <c r="F734" i="4"/>
  <c r="G734" i="4"/>
  <c r="H734" i="4"/>
  <c r="C735" i="4"/>
  <c r="D735" i="4"/>
  <c r="E735" i="4"/>
  <c r="F735" i="4"/>
  <c r="G735" i="4"/>
  <c r="H735" i="4"/>
  <c r="C736" i="4"/>
  <c r="D736" i="4"/>
  <c r="E736" i="4"/>
  <c r="F736" i="4"/>
  <c r="G736" i="4"/>
  <c r="H736" i="4"/>
  <c r="C737" i="4"/>
  <c r="D737" i="4"/>
  <c r="E737" i="4"/>
  <c r="F737" i="4"/>
  <c r="G737" i="4"/>
  <c r="H737" i="4"/>
  <c r="C738" i="4"/>
  <c r="D738" i="4"/>
  <c r="E738" i="4"/>
  <c r="F738" i="4"/>
  <c r="G738" i="4"/>
  <c r="H738" i="4"/>
  <c r="C739" i="4"/>
  <c r="D739" i="4"/>
  <c r="E739" i="4"/>
  <c r="F739" i="4"/>
  <c r="G739" i="4"/>
  <c r="H739" i="4"/>
  <c r="C740" i="4"/>
  <c r="D740" i="4"/>
  <c r="E740" i="4"/>
  <c r="F740" i="4"/>
  <c r="G740" i="4"/>
  <c r="H740" i="4"/>
  <c r="C741" i="4"/>
  <c r="D741" i="4"/>
  <c r="E741" i="4"/>
  <c r="F741" i="4"/>
  <c r="G741" i="4"/>
  <c r="H741" i="4"/>
  <c r="C742" i="4"/>
  <c r="D742" i="4"/>
  <c r="E742" i="4"/>
  <c r="F742" i="4"/>
  <c r="G742" i="4"/>
  <c r="H742" i="4"/>
  <c r="C743" i="4"/>
  <c r="D743" i="4"/>
  <c r="E743" i="4"/>
  <c r="F743" i="4"/>
  <c r="G743" i="4"/>
  <c r="H743" i="4"/>
  <c r="C744" i="4"/>
  <c r="D744" i="4"/>
  <c r="E744" i="4"/>
  <c r="F744" i="4"/>
  <c r="G744" i="4"/>
  <c r="H744" i="4"/>
  <c r="C745" i="4"/>
  <c r="D745" i="4"/>
  <c r="E745" i="4"/>
  <c r="F745" i="4"/>
  <c r="G745" i="4"/>
  <c r="H745" i="4"/>
  <c r="C746" i="4"/>
  <c r="D746" i="4"/>
  <c r="E746" i="4"/>
  <c r="F746" i="4"/>
  <c r="G746" i="4"/>
  <c r="H746" i="4"/>
  <c r="C747" i="4"/>
  <c r="D747" i="4"/>
  <c r="E747" i="4"/>
  <c r="F747" i="4"/>
  <c r="G747" i="4"/>
  <c r="H747" i="4"/>
  <c r="C748" i="4"/>
  <c r="D748" i="4"/>
  <c r="E748" i="4"/>
  <c r="F748" i="4"/>
  <c r="G748" i="4"/>
  <c r="H748" i="4"/>
  <c r="C749" i="4"/>
  <c r="D749" i="4"/>
  <c r="E749" i="4"/>
  <c r="F749" i="4"/>
  <c r="G749" i="4"/>
  <c r="H749" i="4"/>
  <c r="C750" i="4"/>
  <c r="D750" i="4"/>
  <c r="E750" i="4"/>
  <c r="F750" i="4"/>
  <c r="G750" i="4"/>
  <c r="H750" i="4"/>
  <c r="C751" i="4"/>
  <c r="D751" i="4"/>
  <c r="E751" i="4"/>
  <c r="F751" i="4"/>
  <c r="G751" i="4"/>
  <c r="H751" i="4"/>
  <c r="C752" i="4"/>
  <c r="D752" i="4"/>
  <c r="E752" i="4"/>
  <c r="F752" i="4"/>
  <c r="G752" i="4"/>
  <c r="H752" i="4"/>
  <c r="C753" i="4"/>
  <c r="D753" i="4"/>
  <c r="E753" i="4"/>
  <c r="F753" i="4"/>
  <c r="G753" i="4"/>
  <c r="H753" i="4"/>
  <c r="C754" i="4"/>
  <c r="D754" i="4"/>
  <c r="E754" i="4"/>
  <c r="F754" i="4"/>
  <c r="G754" i="4"/>
  <c r="H754" i="4"/>
  <c r="C755" i="4"/>
  <c r="D755" i="4"/>
  <c r="E755" i="4"/>
  <c r="F755" i="4"/>
  <c r="G755" i="4"/>
  <c r="H755" i="4"/>
  <c r="C756" i="4"/>
  <c r="D756" i="4"/>
  <c r="E756" i="4"/>
  <c r="F756" i="4"/>
  <c r="G756" i="4"/>
  <c r="H756" i="4"/>
  <c r="C757" i="4"/>
  <c r="D757" i="4"/>
  <c r="E757" i="4"/>
  <c r="F757" i="4"/>
  <c r="G757" i="4"/>
  <c r="H757" i="4"/>
  <c r="C758" i="4"/>
  <c r="D758" i="4"/>
  <c r="E758" i="4"/>
  <c r="F758" i="4"/>
  <c r="G758" i="4"/>
  <c r="H758" i="4"/>
  <c r="C759" i="4"/>
  <c r="D759" i="4"/>
  <c r="E759" i="4"/>
  <c r="F759" i="4"/>
  <c r="G759" i="4"/>
  <c r="H759" i="4"/>
  <c r="C760" i="4"/>
  <c r="D760" i="4"/>
  <c r="E760" i="4"/>
  <c r="F760" i="4"/>
  <c r="G760" i="4"/>
  <c r="H760" i="4"/>
  <c r="C761" i="4"/>
  <c r="D761" i="4"/>
  <c r="E761" i="4"/>
  <c r="F761" i="4"/>
  <c r="G761" i="4"/>
  <c r="H761" i="4"/>
  <c r="C762" i="4"/>
  <c r="D762" i="4"/>
  <c r="E762" i="4"/>
  <c r="F762" i="4"/>
  <c r="G762" i="4"/>
  <c r="H762" i="4"/>
  <c r="C763" i="4"/>
  <c r="D763" i="4"/>
  <c r="E763" i="4"/>
  <c r="F763" i="4"/>
  <c r="G763" i="4"/>
  <c r="H763" i="4"/>
  <c r="C764" i="4"/>
  <c r="D764" i="4"/>
  <c r="E764" i="4"/>
  <c r="F764" i="4"/>
  <c r="G764" i="4"/>
  <c r="H764" i="4"/>
  <c r="C765" i="4"/>
  <c r="D765" i="4"/>
  <c r="E765" i="4"/>
  <c r="F765" i="4"/>
  <c r="G765" i="4"/>
  <c r="H765" i="4"/>
  <c r="C766" i="4"/>
  <c r="D766" i="4"/>
  <c r="E766" i="4"/>
  <c r="F766" i="4"/>
  <c r="G766" i="4"/>
  <c r="H766" i="4"/>
  <c r="C767" i="4"/>
  <c r="D767" i="4"/>
  <c r="E767" i="4"/>
  <c r="F767" i="4"/>
  <c r="G767" i="4"/>
  <c r="H767" i="4"/>
  <c r="C768" i="4"/>
  <c r="D768" i="4"/>
  <c r="E768" i="4"/>
  <c r="F768" i="4"/>
  <c r="G768" i="4"/>
  <c r="H768" i="4"/>
  <c r="C769" i="4"/>
  <c r="D769" i="4"/>
  <c r="E769" i="4"/>
  <c r="F769" i="4"/>
  <c r="G769" i="4"/>
  <c r="H769" i="4"/>
  <c r="C770" i="4"/>
  <c r="D770" i="4"/>
  <c r="E770" i="4"/>
  <c r="F770" i="4"/>
  <c r="G770" i="4"/>
  <c r="H770" i="4"/>
  <c r="C771" i="4"/>
  <c r="D771" i="4"/>
  <c r="E771" i="4"/>
  <c r="F771" i="4"/>
  <c r="G771" i="4"/>
  <c r="H771" i="4"/>
  <c r="C772" i="4"/>
  <c r="D772" i="4"/>
  <c r="E772" i="4"/>
  <c r="F772" i="4"/>
  <c r="G772" i="4"/>
  <c r="H772" i="4"/>
  <c r="C773" i="4"/>
  <c r="D773" i="4"/>
  <c r="E773" i="4"/>
  <c r="F773" i="4"/>
  <c r="G773" i="4"/>
  <c r="H773" i="4"/>
  <c r="C774" i="4"/>
  <c r="D774" i="4"/>
  <c r="E774" i="4"/>
  <c r="F774" i="4"/>
  <c r="G774" i="4"/>
  <c r="H774" i="4"/>
  <c r="C775" i="4"/>
  <c r="D775" i="4"/>
  <c r="E775" i="4"/>
  <c r="F775" i="4"/>
  <c r="G775" i="4"/>
  <c r="H775" i="4"/>
  <c r="C776" i="4"/>
  <c r="D776" i="4"/>
  <c r="E776" i="4"/>
  <c r="F776" i="4"/>
  <c r="G776" i="4"/>
  <c r="H776" i="4"/>
  <c r="C777" i="4"/>
  <c r="D777" i="4"/>
  <c r="E777" i="4"/>
  <c r="F777" i="4"/>
  <c r="G777" i="4"/>
  <c r="H777" i="4"/>
  <c r="C778" i="4"/>
  <c r="D778" i="4"/>
  <c r="E778" i="4"/>
  <c r="F778" i="4"/>
  <c r="G778" i="4"/>
  <c r="H778" i="4"/>
  <c r="C779" i="4"/>
  <c r="D779" i="4"/>
  <c r="E779" i="4"/>
  <c r="F779" i="4"/>
  <c r="G779" i="4"/>
  <c r="H779" i="4"/>
  <c r="C780" i="4"/>
  <c r="D780" i="4"/>
  <c r="E780" i="4"/>
  <c r="F780" i="4"/>
  <c r="G780" i="4"/>
  <c r="H780" i="4"/>
  <c r="C781" i="4"/>
  <c r="D781" i="4"/>
  <c r="E781" i="4"/>
  <c r="F781" i="4"/>
  <c r="G781" i="4"/>
  <c r="H781" i="4"/>
  <c r="C782" i="4"/>
  <c r="D782" i="4"/>
  <c r="E782" i="4"/>
  <c r="F782" i="4"/>
  <c r="G782" i="4"/>
  <c r="H782" i="4"/>
  <c r="C783" i="4"/>
  <c r="D783" i="4"/>
  <c r="E783" i="4"/>
  <c r="F783" i="4"/>
  <c r="G783" i="4"/>
  <c r="H783" i="4"/>
  <c r="C784" i="4"/>
  <c r="D784" i="4"/>
  <c r="E784" i="4"/>
  <c r="F784" i="4"/>
  <c r="G784" i="4"/>
  <c r="H784" i="4"/>
  <c r="C785" i="4"/>
  <c r="D785" i="4"/>
  <c r="E785" i="4"/>
  <c r="F785" i="4"/>
  <c r="G785" i="4"/>
  <c r="H785" i="4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E149" i="3"/>
  <c r="F149" i="3"/>
  <c r="G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E157" i="3"/>
  <c r="F157" i="3"/>
  <c r="G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E165" i="3"/>
  <c r="F165" i="3"/>
  <c r="G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E173" i="3"/>
  <c r="F173" i="3"/>
  <c r="G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E181" i="3"/>
  <c r="F181" i="3"/>
  <c r="G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E189" i="3"/>
  <c r="F189" i="3"/>
  <c r="G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E197" i="3"/>
  <c r="F197" i="3"/>
  <c r="G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E205" i="3"/>
  <c r="F205" i="3"/>
  <c r="G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E213" i="3"/>
  <c r="F213" i="3"/>
  <c r="G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E221" i="3"/>
  <c r="F221" i="3"/>
  <c r="G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E229" i="3"/>
  <c r="F229" i="3"/>
  <c r="G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E237" i="3"/>
  <c r="F237" i="3"/>
  <c r="G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E245" i="3"/>
  <c r="F245" i="3"/>
  <c r="G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B249" i="3"/>
  <c r="C249" i="3"/>
  <c r="D249" i="3"/>
  <c r="E249" i="3"/>
  <c r="F249" i="3"/>
  <c r="G249" i="3"/>
  <c r="B250" i="3"/>
  <c r="C250" i="3"/>
  <c r="D250" i="3"/>
  <c r="E250" i="3"/>
  <c r="F250" i="3"/>
  <c r="G250" i="3"/>
  <c r="B251" i="3"/>
  <c r="C251" i="3"/>
  <c r="D251" i="3"/>
  <c r="E251" i="3"/>
  <c r="F251" i="3"/>
  <c r="G251" i="3"/>
  <c r="B252" i="3"/>
  <c r="C252" i="3"/>
  <c r="D252" i="3"/>
  <c r="E252" i="3"/>
  <c r="F252" i="3"/>
  <c r="G252" i="3"/>
  <c r="B253" i="3"/>
  <c r="C253" i="3"/>
  <c r="D253" i="3"/>
  <c r="E253" i="3"/>
  <c r="F253" i="3"/>
  <c r="G253" i="3"/>
  <c r="B254" i="3"/>
  <c r="C254" i="3"/>
  <c r="D254" i="3"/>
  <c r="E254" i="3"/>
  <c r="F254" i="3"/>
  <c r="G254" i="3"/>
  <c r="B255" i="3"/>
  <c r="C255" i="3"/>
  <c r="D255" i="3"/>
  <c r="E255" i="3"/>
  <c r="F255" i="3"/>
  <c r="G255" i="3"/>
  <c r="B256" i="3"/>
  <c r="C256" i="3"/>
  <c r="D256" i="3"/>
  <c r="E256" i="3"/>
  <c r="F256" i="3"/>
  <c r="G256" i="3"/>
  <c r="B257" i="3"/>
  <c r="C257" i="3"/>
  <c r="D257" i="3"/>
  <c r="E257" i="3"/>
  <c r="F257" i="3"/>
  <c r="G257" i="3"/>
  <c r="B258" i="3"/>
  <c r="C258" i="3"/>
  <c r="D258" i="3"/>
  <c r="E258" i="3"/>
  <c r="F258" i="3"/>
  <c r="G258" i="3"/>
  <c r="B259" i="3"/>
  <c r="C259" i="3"/>
  <c r="D259" i="3"/>
  <c r="E259" i="3"/>
  <c r="F259" i="3"/>
  <c r="G259" i="3"/>
  <c r="B260" i="3"/>
  <c r="C260" i="3"/>
  <c r="D260" i="3"/>
  <c r="E260" i="3"/>
  <c r="F260" i="3"/>
  <c r="G260" i="3"/>
  <c r="B261" i="3"/>
  <c r="C261" i="3"/>
  <c r="D261" i="3"/>
  <c r="E261" i="3"/>
  <c r="F261" i="3"/>
  <c r="G261" i="3"/>
  <c r="B262" i="3"/>
  <c r="C262" i="3"/>
  <c r="D262" i="3"/>
  <c r="E262" i="3"/>
  <c r="F262" i="3"/>
  <c r="G262" i="3"/>
  <c r="B263" i="3"/>
  <c r="C263" i="3"/>
  <c r="D263" i="3"/>
  <c r="E263" i="3"/>
  <c r="F263" i="3"/>
  <c r="G263" i="3"/>
  <c r="B264" i="3"/>
  <c r="C264" i="3"/>
  <c r="D264" i="3"/>
  <c r="E264" i="3"/>
  <c r="F264" i="3"/>
  <c r="G264" i="3"/>
  <c r="B265" i="3"/>
  <c r="C265" i="3"/>
  <c r="D265" i="3"/>
  <c r="E265" i="3"/>
  <c r="F265" i="3"/>
  <c r="G265" i="3"/>
  <c r="B266" i="3"/>
  <c r="C266" i="3"/>
  <c r="D266" i="3"/>
  <c r="E266" i="3"/>
  <c r="F266" i="3"/>
  <c r="G266" i="3"/>
  <c r="B267" i="3"/>
  <c r="C267" i="3"/>
  <c r="D267" i="3"/>
  <c r="E267" i="3"/>
  <c r="F267" i="3"/>
  <c r="G267" i="3"/>
  <c r="B268" i="3"/>
  <c r="C268" i="3"/>
  <c r="D268" i="3"/>
  <c r="E268" i="3"/>
  <c r="F268" i="3"/>
  <c r="G268" i="3"/>
  <c r="B269" i="3"/>
  <c r="C269" i="3"/>
  <c r="D269" i="3"/>
  <c r="E269" i="3"/>
  <c r="F269" i="3"/>
  <c r="G269" i="3"/>
  <c r="B270" i="3"/>
  <c r="C270" i="3"/>
  <c r="D270" i="3"/>
  <c r="E270" i="3"/>
  <c r="F270" i="3"/>
  <c r="G270" i="3"/>
  <c r="B271" i="3"/>
  <c r="C271" i="3"/>
  <c r="D271" i="3"/>
  <c r="E271" i="3"/>
  <c r="F271" i="3"/>
  <c r="G271" i="3"/>
  <c r="B272" i="3"/>
  <c r="C272" i="3"/>
  <c r="D272" i="3"/>
  <c r="E272" i="3"/>
  <c r="F272" i="3"/>
  <c r="G272" i="3"/>
  <c r="B273" i="3"/>
  <c r="C273" i="3"/>
  <c r="D273" i="3"/>
  <c r="E273" i="3"/>
  <c r="F273" i="3"/>
  <c r="G273" i="3"/>
  <c r="B274" i="3"/>
  <c r="C274" i="3"/>
  <c r="D274" i="3"/>
  <c r="E274" i="3"/>
  <c r="F274" i="3"/>
  <c r="G274" i="3"/>
  <c r="B275" i="3"/>
  <c r="C275" i="3"/>
  <c r="D275" i="3"/>
  <c r="E275" i="3"/>
  <c r="F275" i="3"/>
  <c r="G275" i="3"/>
  <c r="B276" i="3"/>
  <c r="C276" i="3"/>
  <c r="D276" i="3"/>
  <c r="E276" i="3"/>
  <c r="F276" i="3"/>
  <c r="G276" i="3"/>
  <c r="B277" i="3"/>
  <c r="C277" i="3"/>
  <c r="D277" i="3"/>
  <c r="E277" i="3"/>
  <c r="F277" i="3"/>
  <c r="G277" i="3"/>
  <c r="B278" i="3"/>
  <c r="C278" i="3"/>
  <c r="D278" i="3"/>
  <c r="E278" i="3"/>
  <c r="F278" i="3"/>
  <c r="G278" i="3"/>
  <c r="B279" i="3"/>
  <c r="C279" i="3"/>
  <c r="D279" i="3"/>
  <c r="E279" i="3"/>
  <c r="F279" i="3"/>
  <c r="G279" i="3"/>
  <c r="B280" i="3"/>
  <c r="C280" i="3"/>
  <c r="D280" i="3"/>
  <c r="E280" i="3"/>
  <c r="F280" i="3"/>
  <c r="G280" i="3"/>
  <c r="B281" i="3"/>
  <c r="C281" i="3"/>
  <c r="D281" i="3"/>
  <c r="E281" i="3"/>
  <c r="F281" i="3"/>
  <c r="G281" i="3"/>
  <c r="B282" i="3"/>
  <c r="C282" i="3"/>
  <c r="D282" i="3"/>
  <c r="E282" i="3"/>
  <c r="F282" i="3"/>
  <c r="G282" i="3"/>
  <c r="B283" i="3"/>
  <c r="C283" i="3"/>
  <c r="D283" i="3"/>
  <c r="E283" i="3"/>
  <c r="F283" i="3"/>
  <c r="G283" i="3"/>
  <c r="B284" i="3"/>
  <c r="C284" i="3"/>
  <c r="D284" i="3"/>
  <c r="E284" i="3"/>
  <c r="F284" i="3"/>
  <c r="G284" i="3"/>
  <c r="B285" i="3"/>
  <c r="C285" i="3"/>
  <c r="D285" i="3"/>
  <c r="E285" i="3"/>
  <c r="F285" i="3"/>
  <c r="G285" i="3"/>
  <c r="B286" i="3"/>
  <c r="C286" i="3"/>
  <c r="D286" i="3"/>
  <c r="E286" i="3"/>
  <c r="F286" i="3"/>
  <c r="G286" i="3"/>
  <c r="B287" i="3"/>
  <c r="C287" i="3"/>
  <c r="D287" i="3"/>
  <c r="E287" i="3"/>
  <c r="F287" i="3"/>
  <c r="G287" i="3"/>
  <c r="B288" i="3"/>
  <c r="C288" i="3"/>
  <c r="D288" i="3"/>
  <c r="E288" i="3"/>
  <c r="F288" i="3"/>
  <c r="G288" i="3"/>
  <c r="B289" i="3"/>
  <c r="C289" i="3"/>
  <c r="D289" i="3"/>
  <c r="E289" i="3"/>
  <c r="F289" i="3"/>
  <c r="G289" i="3"/>
  <c r="B290" i="3"/>
  <c r="C290" i="3"/>
  <c r="D290" i="3"/>
  <c r="E290" i="3"/>
  <c r="F290" i="3"/>
  <c r="G290" i="3"/>
  <c r="B291" i="3"/>
  <c r="C291" i="3"/>
  <c r="D291" i="3"/>
  <c r="E291" i="3"/>
  <c r="F291" i="3"/>
  <c r="G291" i="3"/>
  <c r="B292" i="3"/>
  <c r="C292" i="3"/>
  <c r="D292" i="3"/>
  <c r="E292" i="3"/>
  <c r="F292" i="3"/>
  <c r="G292" i="3"/>
  <c r="B293" i="3"/>
  <c r="C293" i="3"/>
  <c r="D293" i="3"/>
  <c r="E293" i="3"/>
  <c r="F293" i="3"/>
  <c r="G293" i="3"/>
  <c r="B294" i="3"/>
  <c r="C294" i="3"/>
  <c r="D294" i="3"/>
  <c r="E294" i="3"/>
  <c r="F294" i="3"/>
  <c r="G294" i="3"/>
  <c r="B295" i="3"/>
  <c r="C295" i="3"/>
  <c r="D295" i="3"/>
  <c r="E295" i="3"/>
  <c r="F295" i="3"/>
  <c r="G295" i="3"/>
  <c r="B296" i="3"/>
  <c r="C296" i="3"/>
  <c r="D296" i="3"/>
  <c r="E296" i="3"/>
  <c r="F296" i="3"/>
  <c r="G296" i="3"/>
  <c r="B297" i="3"/>
  <c r="C297" i="3"/>
  <c r="D297" i="3"/>
  <c r="E297" i="3"/>
  <c r="F297" i="3"/>
  <c r="G297" i="3"/>
  <c r="B298" i="3"/>
  <c r="C298" i="3"/>
  <c r="D298" i="3"/>
  <c r="E298" i="3"/>
  <c r="F298" i="3"/>
  <c r="G298" i="3"/>
  <c r="B299" i="3"/>
  <c r="C299" i="3"/>
  <c r="D299" i="3"/>
  <c r="E299" i="3"/>
  <c r="F299" i="3"/>
  <c r="G299" i="3"/>
  <c r="B300" i="3"/>
  <c r="C300" i="3"/>
  <c r="D300" i="3"/>
  <c r="E300" i="3"/>
  <c r="F300" i="3"/>
  <c r="G300" i="3"/>
  <c r="B301" i="3"/>
  <c r="C301" i="3"/>
  <c r="D301" i="3"/>
  <c r="E301" i="3"/>
  <c r="F301" i="3"/>
  <c r="G301" i="3"/>
  <c r="B302" i="3"/>
  <c r="C302" i="3"/>
  <c r="D302" i="3"/>
  <c r="E302" i="3"/>
  <c r="F302" i="3"/>
  <c r="G302" i="3"/>
  <c r="B303" i="3"/>
  <c r="C303" i="3"/>
  <c r="D303" i="3"/>
  <c r="E303" i="3"/>
  <c r="F303" i="3"/>
  <c r="G303" i="3"/>
  <c r="B304" i="3"/>
  <c r="C304" i="3"/>
  <c r="D304" i="3"/>
  <c r="E304" i="3"/>
  <c r="F304" i="3"/>
  <c r="G304" i="3"/>
  <c r="B305" i="3"/>
  <c r="C305" i="3"/>
  <c r="D305" i="3"/>
  <c r="E305" i="3"/>
  <c r="F305" i="3"/>
  <c r="G305" i="3"/>
  <c r="B306" i="3"/>
  <c r="C306" i="3"/>
  <c r="D306" i="3"/>
  <c r="E306" i="3"/>
  <c r="F306" i="3"/>
  <c r="G306" i="3"/>
  <c r="B307" i="3"/>
  <c r="C307" i="3"/>
  <c r="D307" i="3"/>
  <c r="E307" i="3"/>
  <c r="F307" i="3"/>
  <c r="G307" i="3"/>
  <c r="B308" i="3"/>
  <c r="C308" i="3"/>
  <c r="D308" i="3"/>
  <c r="E308" i="3"/>
  <c r="F308" i="3"/>
  <c r="G308" i="3"/>
  <c r="B309" i="3"/>
  <c r="C309" i="3"/>
  <c r="D309" i="3"/>
  <c r="E309" i="3"/>
  <c r="F309" i="3"/>
  <c r="G309" i="3"/>
  <c r="B310" i="3"/>
  <c r="C310" i="3"/>
  <c r="D310" i="3"/>
  <c r="E310" i="3"/>
  <c r="F310" i="3"/>
  <c r="G310" i="3"/>
  <c r="B311" i="3"/>
  <c r="C311" i="3"/>
  <c r="D311" i="3"/>
  <c r="E311" i="3"/>
  <c r="F311" i="3"/>
  <c r="G311" i="3"/>
  <c r="B312" i="3"/>
  <c r="C312" i="3"/>
  <c r="D312" i="3"/>
  <c r="E312" i="3"/>
  <c r="F312" i="3"/>
  <c r="G312" i="3"/>
  <c r="B313" i="3"/>
  <c r="C313" i="3"/>
  <c r="D313" i="3"/>
  <c r="E313" i="3"/>
  <c r="F313" i="3"/>
  <c r="G313" i="3"/>
  <c r="B314" i="3"/>
  <c r="C314" i="3"/>
  <c r="D314" i="3"/>
  <c r="E314" i="3"/>
  <c r="F314" i="3"/>
  <c r="G314" i="3"/>
  <c r="B315" i="3"/>
  <c r="C315" i="3"/>
  <c r="D315" i="3"/>
  <c r="E315" i="3"/>
  <c r="F315" i="3"/>
  <c r="G315" i="3"/>
  <c r="B316" i="3"/>
  <c r="C316" i="3"/>
  <c r="D316" i="3"/>
  <c r="E316" i="3"/>
  <c r="F316" i="3"/>
  <c r="G316" i="3"/>
  <c r="B317" i="3"/>
  <c r="C317" i="3"/>
  <c r="D317" i="3"/>
  <c r="E317" i="3"/>
  <c r="F317" i="3"/>
  <c r="G317" i="3"/>
  <c r="B318" i="3"/>
  <c r="C318" i="3"/>
  <c r="D318" i="3"/>
  <c r="E318" i="3"/>
  <c r="F318" i="3"/>
  <c r="G318" i="3"/>
  <c r="B319" i="3"/>
  <c r="C319" i="3"/>
  <c r="D319" i="3"/>
  <c r="E319" i="3"/>
  <c r="F319" i="3"/>
  <c r="G319" i="3"/>
  <c r="B320" i="3"/>
  <c r="C320" i="3"/>
  <c r="D320" i="3"/>
  <c r="E320" i="3"/>
  <c r="F320" i="3"/>
  <c r="G320" i="3"/>
  <c r="B321" i="3"/>
  <c r="C321" i="3"/>
  <c r="D321" i="3"/>
  <c r="E321" i="3"/>
  <c r="F321" i="3"/>
  <c r="G321" i="3"/>
  <c r="B322" i="3"/>
  <c r="C322" i="3"/>
  <c r="D322" i="3"/>
  <c r="E322" i="3"/>
  <c r="F322" i="3"/>
  <c r="G322" i="3"/>
  <c r="B323" i="3"/>
  <c r="C323" i="3"/>
  <c r="D323" i="3"/>
  <c r="E323" i="3"/>
  <c r="F323" i="3"/>
  <c r="G323" i="3"/>
  <c r="B324" i="3"/>
  <c r="C324" i="3"/>
  <c r="D324" i="3"/>
  <c r="E324" i="3"/>
  <c r="F324" i="3"/>
  <c r="G324" i="3"/>
  <c r="B325" i="3"/>
  <c r="C325" i="3"/>
  <c r="D325" i="3"/>
  <c r="E325" i="3"/>
  <c r="F325" i="3"/>
  <c r="G325" i="3"/>
  <c r="B326" i="3"/>
  <c r="C326" i="3"/>
  <c r="D326" i="3"/>
  <c r="E326" i="3"/>
  <c r="F326" i="3"/>
  <c r="G326" i="3"/>
  <c r="B327" i="3"/>
  <c r="C327" i="3"/>
  <c r="D327" i="3"/>
  <c r="E327" i="3"/>
  <c r="F327" i="3"/>
  <c r="G327" i="3"/>
  <c r="B328" i="3"/>
  <c r="C328" i="3"/>
  <c r="D328" i="3"/>
  <c r="E328" i="3"/>
  <c r="F328" i="3"/>
  <c r="G328" i="3"/>
  <c r="B329" i="3"/>
  <c r="C329" i="3"/>
  <c r="D329" i="3"/>
  <c r="E329" i="3"/>
  <c r="F329" i="3"/>
  <c r="G329" i="3"/>
  <c r="B330" i="3"/>
  <c r="C330" i="3"/>
  <c r="D330" i="3"/>
  <c r="E330" i="3"/>
  <c r="F330" i="3"/>
  <c r="G330" i="3"/>
  <c r="B331" i="3"/>
  <c r="C331" i="3"/>
  <c r="D331" i="3"/>
  <c r="E331" i="3"/>
  <c r="F331" i="3"/>
  <c r="G331" i="3"/>
  <c r="B332" i="3"/>
  <c r="C332" i="3"/>
  <c r="D332" i="3"/>
  <c r="E332" i="3"/>
  <c r="F332" i="3"/>
  <c r="G332" i="3"/>
  <c r="B333" i="3"/>
  <c r="C333" i="3"/>
  <c r="D333" i="3"/>
  <c r="E333" i="3"/>
  <c r="F333" i="3"/>
  <c r="G333" i="3"/>
  <c r="B334" i="3"/>
  <c r="C334" i="3"/>
  <c r="D334" i="3"/>
  <c r="E334" i="3"/>
  <c r="F334" i="3"/>
  <c r="G334" i="3"/>
  <c r="B335" i="3"/>
  <c r="C335" i="3"/>
  <c r="D335" i="3"/>
  <c r="E335" i="3"/>
  <c r="F335" i="3"/>
  <c r="G335" i="3"/>
  <c r="B336" i="3"/>
  <c r="C336" i="3"/>
  <c r="D336" i="3"/>
  <c r="E336" i="3"/>
  <c r="F336" i="3"/>
  <c r="G336" i="3"/>
  <c r="B337" i="3"/>
  <c r="C337" i="3"/>
  <c r="D337" i="3"/>
  <c r="E337" i="3"/>
  <c r="F337" i="3"/>
  <c r="G337" i="3"/>
  <c r="B338" i="3"/>
  <c r="C338" i="3"/>
  <c r="D338" i="3"/>
  <c r="E338" i="3"/>
  <c r="F338" i="3"/>
  <c r="G338" i="3"/>
  <c r="B339" i="3"/>
  <c r="C339" i="3"/>
  <c r="D339" i="3"/>
  <c r="E339" i="3"/>
  <c r="F339" i="3"/>
  <c r="G339" i="3"/>
  <c r="B340" i="3"/>
  <c r="C340" i="3"/>
  <c r="D340" i="3"/>
  <c r="E340" i="3"/>
  <c r="F340" i="3"/>
  <c r="G340" i="3"/>
  <c r="B341" i="3"/>
  <c r="C341" i="3"/>
  <c r="D341" i="3"/>
  <c r="E341" i="3"/>
  <c r="F341" i="3"/>
  <c r="G341" i="3"/>
  <c r="B342" i="3"/>
  <c r="C342" i="3"/>
  <c r="D342" i="3"/>
  <c r="E342" i="3"/>
  <c r="F342" i="3"/>
  <c r="G342" i="3"/>
  <c r="B343" i="3"/>
  <c r="C343" i="3"/>
  <c r="D343" i="3"/>
  <c r="E343" i="3"/>
  <c r="F343" i="3"/>
  <c r="G343" i="3"/>
  <c r="B344" i="3"/>
  <c r="C344" i="3"/>
  <c r="D344" i="3"/>
  <c r="E344" i="3"/>
  <c r="F344" i="3"/>
  <c r="G344" i="3"/>
  <c r="B345" i="3"/>
  <c r="C345" i="3"/>
  <c r="D345" i="3"/>
  <c r="E345" i="3"/>
  <c r="F345" i="3"/>
  <c r="G345" i="3"/>
  <c r="B346" i="3"/>
  <c r="C346" i="3"/>
  <c r="D346" i="3"/>
  <c r="E346" i="3"/>
  <c r="F346" i="3"/>
  <c r="G346" i="3"/>
  <c r="B347" i="3"/>
  <c r="C347" i="3"/>
  <c r="D347" i="3"/>
  <c r="E347" i="3"/>
  <c r="F347" i="3"/>
  <c r="G347" i="3"/>
  <c r="B348" i="3"/>
  <c r="C348" i="3"/>
  <c r="D348" i="3"/>
  <c r="E348" i="3"/>
  <c r="F348" i="3"/>
  <c r="G348" i="3"/>
  <c r="B349" i="3"/>
  <c r="C349" i="3"/>
  <c r="D349" i="3"/>
  <c r="E349" i="3"/>
  <c r="F349" i="3"/>
  <c r="G349" i="3"/>
  <c r="B350" i="3"/>
  <c r="C350" i="3"/>
  <c r="D350" i="3"/>
  <c r="E350" i="3"/>
  <c r="F350" i="3"/>
  <c r="G350" i="3"/>
  <c r="B351" i="3"/>
  <c r="C351" i="3"/>
  <c r="D351" i="3"/>
  <c r="E351" i="3"/>
  <c r="F351" i="3"/>
  <c r="G351" i="3"/>
  <c r="B352" i="3"/>
  <c r="C352" i="3"/>
  <c r="D352" i="3"/>
  <c r="E352" i="3"/>
  <c r="F352" i="3"/>
  <c r="G352" i="3"/>
  <c r="B353" i="3"/>
  <c r="C353" i="3"/>
  <c r="D353" i="3"/>
  <c r="E353" i="3"/>
  <c r="F353" i="3"/>
  <c r="G353" i="3"/>
  <c r="B354" i="3"/>
  <c r="C354" i="3"/>
  <c r="D354" i="3"/>
  <c r="E354" i="3"/>
  <c r="F354" i="3"/>
  <c r="G354" i="3"/>
  <c r="B355" i="3"/>
  <c r="C355" i="3"/>
  <c r="D355" i="3"/>
  <c r="E355" i="3"/>
  <c r="F355" i="3"/>
  <c r="G355" i="3"/>
  <c r="B356" i="3"/>
  <c r="C356" i="3"/>
  <c r="D356" i="3"/>
  <c r="E356" i="3"/>
  <c r="F356" i="3"/>
  <c r="G356" i="3"/>
  <c r="B357" i="3"/>
  <c r="C357" i="3"/>
  <c r="D357" i="3"/>
  <c r="E357" i="3"/>
  <c r="F357" i="3"/>
  <c r="G357" i="3"/>
  <c r="B358" i="3"/>
  <c r="C358" i="3"/>
  <c r="D358" i="3"/>
  <c r="E358" i="3"/>
  <c r="F358" i="3"/>
  <c r="G358" i="3"/>
  <c r="B359" i="3"/>
  <c r="C359" i="3"/>
  <c r="D359" i="3"/>
  <c r="E359" i="3"/>
  <c r="F359" i="3"/>
  <c r="G359" i="3"/>
  <c r="B360" i="3"/>
  <c r="C360" i="3"/>
  <c r="D360" i="3"/>
  <c r="E360" i="3"/>
  <c r="F360" i="3"/>
  <c r="G360" i="3"/>
  <c r="B361" i="3"/>
  <c r="C361" i="3"/>
  <c r="D361" i="3"/>
  <c r="E361" i="3"/>
  <c r="F361" i="3"/>
  <c r="G361" i="3"/>
  <c r="B362" i="3"/>
  <c r="C362" i="3"/>
  <c r="D362" i="3"/>
  <c r="E362" i="3"/>
  <c r="F362" i="3"/>
  <c r="G362" i="3"/>
  <c r="B363" i="3"/>
  <c r="C363" i="3"/>
  <c r="D363" i="3"/>
  <c r="E363" i="3"/>
  <c r="F363" i="3"/>
  <c r="G363" i="3"/>
  <c r="B364" i="3"/>
  <c r="C364" i="3"/>
  <c r="D364" i="3"/>
  <c r="E364" i="3"/>
  <c r="F364" i="3"/>
  <c r="G364" i="3"/>
  <c r="B365" i="3"/>
  <c r="C365" i="3"/>
  <c r="D365" i="3"/>
  <c r="E365" i="3"/>
  <c r="F365" i="3"/>
  <c r="G365" i="3"/>
  <c r="B366" i="3"/>
  <c r="C366" i="3"/>
  <c r="D366" i="3"/>
  <c r="E366" i="3"/>
  <c r="F366" i="3"/>
  <c r="G366" i="3"/>
  <c r="B367" i="3"/>
  <c r="C367" i="3"/>
  <c r="D367" i="3"/>
  <c r="E367" i="3"/>
  <c r="F367" i="3"/>
  <c r="G367" i="3"/>
  <c r="B368" i="3"/>
  <c r="C368" i="3"/>
  <c r="D368" i="3"/>
  <c r="E368" i="3"/>
  <c r="F368" i="3"/>
  <c r="G368" i="3"/>
  <c r="B369" i="3"/>
  <c r="C369" i="3"/>
  <c r="D369" i="3"/>
  <c r="E369" i="3"/>
  <c r="F369" i="3"/>
  <c r="G369" i="3"/>
  <c r="B370" i="3"/>
  <c r="C370" i="3"/>
  <c r="D370" i="3"/>
  <c r="E370" i="3"/>
  <c r="F370" i="3"/>
  <c r="G370" i="3"/>
  <c r="B371" i="3"/>
  <c r="C371" i="3"/>
  <c r="D371" i="3"/>
  <c r="E371" i="3"/>
  <c r="F371" i="3"/>
  <c r="G371" i="3"/>
  <c r="B372" i="3"/>
  <c r="C372" i="3"/>
  <c r="D372" i="3"/>
  <c r="E372" i="3"/>
  <c r="F372" i="3"/>
  <c r="G372" i="3"/>
  <c r="B373" i="3"/>
  <c r="C373" i="3"/>
  <c r="D373" i="3"/>
  <c r="E373" i="3"/>
  <c r="F373" i="3"/>
  <c r="G373" i="3"/>
  <c r="B374" i="3"/>
  <c r="C374" i="3"/>
  <c r="D374" i="3"/>
  <c r="E374" i="3"/>
  <c r="F374" i="3"/>
  <c r="G374" i="3"/>
  <c r="B375" i="3"/>
  <c r="C375" i="3"/>
  <c r="D375" i="3"/>
  <c r="E375" i="3"/>
  <c r="F375" i="3"/>
  <c r="G375" i="3"/>
  <c r="B376" i="3"/>
  <c r="C376" i="3"/>
  <c r="D376" i="3"/>
  <c r="E376" i="3"/>
  <c r="F376" i="3"/>
  <c r="G376" i="3"/>
  <c r="B377" i="3"/>
  <c r="C377" i="3"/>
  <c r="D377" i="3"/>
  <c r="E377" i="3"/>
  <c r="F377" i="3"/>
  <c r="G377" i="3"/>
  <c r="B378" i="3"/>
  <c r="C378" i="3"/>
  <c r="D378" i="3"/>
  <c r="E378" i="3"/>
  <c r="F378" i="3"/>
  <c r="G378" i="3"/>
  <c r="B379" i="3"/>
  <c r="C379" i="3"/>
  <c r="D379" i="3"/>
  <c r="E379" i="3"/>
  <c r="F379" i="3"/>
  <c r="G379" i="3"/>
  <c r="B380" i="3"/>
  <c r="C380" i="3"/>
  <c r="D380" i="3"/>
  <c r="E380" i="3"/>
  <c r="F380" i="3"/>
  <c r="G380" i="3"/>
  <c r="B381" i="3"/>
  <c r="C381" i="3"/>
  <c r="D381" i="3"/>
  <c r="E381" i="3"/>
  <c r="F381" i="3"/>
  <c r="G381" i="3"/>
  <c r="B382" i="3"/>
  <c r="C382" i="3"/>
  <c r="D382" i="3"/>
  <c r="E382" i="3"/>
  <c r="F382" i="3"/>
  <c r="G382" i="3"/>
  <c r="B383" i="3"/>
  <c r="C383" i="3"/>
  <c r="D383" i="3"/>
  <c r="E383" i="3"/>
  <c r="F383" i="3"/>
  <c r="G383" i="3"/>
  <c r="B384" i="3"/>
  <c r="C384" i="3"/>
  <c r="D384" i="3"/>
  <c r="E384" i="3"/>
  <c r="F384" i="3"/>
  <c r="G384" i="3"/>
  <c r="B385" i="3"/>
  <c r="C385" i="3"/>
  <c r="D385" i="3"/>
  <c r="E385" i="3"/>
  <c r="F385" i="3"/>
  <c r="G385" i="3"/>
  <c r="B386" i="3"/>
  <c r="C386" i="3"/>
  <c r="D386" i="3"/>
  <c r="E386" i="3"/>
  <c r="F386" i="3"/>
  <c r="G386" i="3"/>
  <c r="B387" i="3"/>
  <c r="C387" i="3"/>
  <c r="D387" i="3"/>
  <c r="E387" i="3"/>
  <c r="F387" i="3"/>
  <c r="G387" i="3"/>
  <c r="B388" i="3"/>
  <c r="C388" i="3"/>
  <c r="D388" i="3"/>
  <c r="E388" i="3"/>
  <c r="F388" i="3"/>
  <c r="G388" i="3"/>
  <c r="B389" i="3"/>
  <c r="C389" i="3"/>
  <c r="D389" i="3"/>
  <c r="E389" i="3"/>
  <c r="F389" i="3"/>
  <c r="G389" i="3"/>
  <c r="B390" i="3"/>
  <c r="C390" i="3"/>
  <c r="D390" i="3"/>
  <c r="E390" i="3"/>
  <c r="F390" i="3"/>
  <c r="G390" i="3"/>
  <c r="B391" i="3"/>
  <c r="C391" i="3"/>
  <c r="D391" i="3"/>
  <c r="E391" i="3"/>
  <c r="F391" i="3"/>
  <c r="G391" i="3"/>
  <c r="B392" i="3"/>
  <c r="C392" i="3"/>
  <c r="D392" i="3"/>
  <c r="E392" i="3"/>
  <c r="F392" i="3"/>
  <c r="G392" i="3"/>
  <c r="B393" i="3"/>
  <c r="C393" i="3"/>
  <c r="D393" i="3"/>
  <c r="E393" i="3"/>
  <c r="F393" i="3"/>
  <c r="G393" i="3"/>
  <c r="B394" i="3"/>
  <c r="C394" i="3"/>
  <c r="D394" i="3"/>
  <c r="E394" i="3"/>
  <c r="F394" i="3"/>
  <c r="G394" i="3"/>
  <c r="B395" i="3"/>
  <c r="C395" i="3"/>
  <c r="D395" i="3"/>
  <c r="E395" i="3"/>
  <c r="F395" i="3"/>
  <c r="G395" i="3"/>
  <c r="B396" i="3"/>
  <c r="C396" i="3"/>
  <c r="D396" i="3"/>
  <c r="E396" i="3"/>
  <c r="F396" i="3"/>
  <c r="G396" i="3"/>
  <c r="B397" i="3"/>
  <c r="C397" i="3"/>
  <c r="D397" i="3"/>
  <c r="E397" i="3"/>
  <c r="F397" i="3"/>
  <c r="G397" i="3"/>
  <c r="B398" i="3"/>
  <c r="C398" i="3"/>
  <c r="D398" i="3"/>
  <c r="E398" i="3"/>
  <c r="F398" i="3"/>
  <c r="G398" i="3"/>
  <c r="B399" i="3"/>
  <c r="C399" i="3"/>
  <c r="D399" i="3"/>
  <c r="E399" i="3"/>
  <c r="F399" i="3"/>
  <c r="G399" i="3"/>
  <c r="B400" i="3"/>
  <c r="C400" i="3"/>
  <c r="D400" i="3"/>
  <c r="E400" i="3"/>
  <c r="F400" i="3"/>
  <c r="G400" i="3"/>
  <c r="B401" i="3"/>
  <c r="C401" i="3"/>
  <c r="D401" i="3"/>
  <c r="E401" i="3"/>
  <c r="F401" i="3"/>
  <c r="G401" i="3"/>
  <c r="B402" i="3"/>
  <c r="C402" i="3"/>
  <c r="D402" i="3"/>
  <c r="E402" i="3"/>
  <c r="F402" i="3"/>
  <c r="G402" i="3"/>
  <c r="B403" i="3"/>
  <c r="C403" i="3"/>
  <c r="D403" i="3"/>
  <c r="E403" i="3"/>
  <c r="F403" i="3"/>
  <c r="G403" i="3"/>
  <c r="B404" i="3"/>
  <c r="C404" i="3"/>
  <c r="D404" i="3"/>
  <c r="E404" i="3"/>
  <c r="F404" i="3"/>
  <c r="G404" i="3"/>
  <c r="B405" i="3"/>
  <c r="C405" i="3"/>
  <c r="D405" i="3"/>
  <c r="E405" i="3"/>
  <c r="F405" i="3"/>
  <c r="G405" i="3"/>
  <c r="B406" i="3"/>
  <c r="C406" i="3"/>
  <c r="D406" i="3"/>
  <c r="E406" i="3"/>
  <c r="F406" i="3"/>
  <c r="G406" i="3"/>
  <c r="B407" i="3"/>
  <c r="C407" i="3"/>
  <c r="D407" i="3"/>
  <c r="E407" i="3"/>
  <c r="F407" i="3"/>
  <c r="G407" i="3"/>
  <c r="B408" i="3"/>
  <c r="C408" i="3"/>
  <c r="D408" i="3"/>
  <c r="E408" i="3"/>
  <c r="F408" i="3"/>
  <c r="G408" i="3"/>
  <c r="B409" i="3"/>
  <c r="C409" i="3"/>
  <c r="D409" i="3"/>
  <c r="E409" i="3"/>
  <c r="F409" i="3"/>
  <c r="G409" i="3"/>
  <c r="B410" i="3"/>
  <c r="C410" i="3"/>
  <c r="D410" i="3"/>
  <c r="E410" i="3"/>
  <c r="F410" i="3"/>
  <c r="G410" i="3"/>
  <c r="B411" i="3"/>
  <c r="C411" i="3"/>
  <c r="D411" i="3"/>
  <c r="E411" i="3"/>
  <c r="F411" i="3"/>
  <c r="G411" i="3"/>
  <c r="B412" i="3"/>
  <c r="C412" i="3"/>
  <c r="D412" i="3"/>
  <c r="E412" i="3"/>
  <c r="F412" i="3"/>
  <c r="G412" i="3"/>
  <c r="B413" i="3"/>
  <c r="C413" i="3"/>
  <c r="D413" i="3"/>
  <c r="E413" i="3"/>
  <c r="F413" i="3"/>
  <c r="G413" i="3"/>
  <c r="B414" i="3"/>
  <c r="C414" i="3"/>
  <c r="D414" i="3"/>
  <c r="E414" i="3"/>
  <c r="F414" i="3"/>
  <c r="G414" i="3"/>
  <c r="B415" i="3"/>
  <c r="C415" i="3"/>
  <c r="D415" i="3"/>
  <c r="E415" i="3"/>
  <c r="F415" i="3"/>
  <c r="G415" i="3"/>
  <c r="B416" i="3"/>
  <c r="C416" i="3"/>
  <c r="D416" i="3"/>
  <c r="E416" i="3"/>
  <c r="F416" i="3"/>
  <c r="G416" i="3"/>
  <c r="B417" i="3"/>
  <c r="C417" i="3"/>
  <c r="D417" i="3"/>
  <c r="E417" i="3"/>
  <c r="F417" i="3"/>
  <c r="G417" i="3"/>
  <c r="B418" i="3"/>
  <c r="C418" i="3"/>
  <c r="D418" i="3"/>
  <c r="E418" i="3"/>
  <c r="F418" i="3"/>
  <c r="G418" i="3"/>
  <c r="B419" i="3"/>
  <c r="C419" i="3"/>
  <c r="D419" i="3"/>
  <c r="E419" i="3"/>
  <c r="F419" i="3"/>
  <c r="G419" i="3"/>
  <c r="B420" i="3"/>
  <c r="C420" i="3"/>
  <c r="D420" i="3"/>
  <c r="E420" i="3"/>
  <c r="F420" i="3"/>
  <c r="G420" i="3"/>
  <c r="B421" i="3"/>
  <c r="C421" i="3"/>
  <c r="D421" i="3"/>
  <c r="E421" i="3"/>
  <c r="F421" i="3"/>
  <c r="G421" i="3"/>
  <c r="B422" i="3"/>
  <c r="C422" i="3"/>
  <c r="D422" i="3"/>
  <c r="E422" i="3"/>
  <c r="F422" i="3"/>
  <c r="G422" i="3"/>
  <c r="B423" i="3"/>
  <c r="C423" i="3"/>
  <c r="D423" i="3"/>
  <c r="E423" i="3"/>
  <c r="F423" i="3"/>
  <c r="G423" i="3"/>
  <c r="B424" i="3"/>
  <c r="C424" i="3"/>
  <c r="D424" i="3"/>
  <c r="E424" i="3"/>
  <c r="F424" i="3"/>
  <c r="G424" i="3"/>
  <c r="B425" i="3"/>
  <c r="C425" i="3"/>
  <c r="D425" i="3"/>
  <c r="E425" i="3"/>
  <c r="F425" i="3"/>
  <c r="G425" i="3"/>
  <c r="B426" i="3"/>
  <c r="C426" i="3"/>
  <c r="D426" i="3"/>
  <c r="E426" i="3"/>
  <c r="F426" i="3"/>
  <c r="G426" i="3"/>
  <c r="B427" i="3"/>
  <c r="C427" i="3"/>
  <c r="D427" i="3"/>
  <c r="E427" i="3"/>
  <c r="F427" i="3"/>
  <c r="G427" i="3"/>
  <c r="B428" i="3"/>
  <c r="C428" i="3"/>
  <c r="D428" i="3"/>
  <c r="E428" i="3"/>
  <c r="F428" i="3"/>
  <c r="G428" i="3"/>
  <c r="B429" i="3"/>
  <c r="C429" i="3"/>
  <c r="D429" i="3"/>
  <c r="E429" i="3"/>
  <c r="F429" i="3"/>
  <c r="G429" i="3"/>
  <c r="B430" i="3"/>
  <c r="C430" i="3"/>
  <c r="D430" i="3"/>
  <c r="E430" i="3"/>
  <c r="F430" i="3"/>
  <c r="G430" i="3"/>
  <c r="B431" i="3"/>
  <c r="C431" i="3"/>
  <c r="D431" i="3"/>
  <c r="E431" i="3"/>
  <c r="F431" i="3"/>
  <c r="G431" i="3"/>
  <c r="B432" i="3"/>
  <c r="C432" i="3"/>
  <c r="D432" i="3"/>
  <c r="E432" i="3"/>
  <c r="F432" i="3"/>
  <c r="G432" i="3"/>
  <c r="B433" i="3"/>
  <c r="C433" i="3"/>
  <c r="D433" i="3"/>
  <c r="E433" i="3"/>
  <c r="F433" i="3"/>
  <c r="G433" i="3"/>
  <c r="B434" i="3"/>
  <c r="C434" i="3"/>
  <c r="D434" i="3"/>
  <c r="E434" i="3"/>
  <c r="F434" i="3"/>
  <c r="G434" i="3"/>
  <c r="B435" i="3"/>
  <c r="C435" i="3"/>
  <c r="D435" i="3"/>
  <c r="E435" i="3"/>
  <c r="F435" i="3"/>
  <c r="G435" i="3"/>
  <c r="B436" i="3"/>
  <c r="C436" i="3"/>
  <c r="D436" i="3"/>
  <c r="E436" i="3"/>
  <c r="F436" i="3"/>
  <c r="G436" i="3"/>
  <c r="B437" i="3"/>
  <c r="C437" i="3"/>
  <c r="D437" i="3"/>
  <c r="E437" i="3"/>
  <c r="F437" i="3"/>
  <c r="G437" i="3"/>
  <c r="B438" i="3"/>
  <c r="C438" i="3"/>
  <c r="D438" i="3"/>
  <c r="E438" i="3"/>
  <c r="F438" i="3"/>
  <c r="G438" i="3"/>
  <c r="B439" i="3"/>
  <c r="C439" i="3"/>
  <c r="D439" i="3"/>
  <c r="E439" i="3"/>
  <c r="F439" i="3"/>
  <c r="G439" i="3"/>
  <c r="B440" i="3"/>
  <c r="C440" i="3"/>
  <c r="D440" i="3"/>
  <c r="E440" i="3"/>
  <c r="F440" i="3"/>
  <c r="G440" i="3"/>
  <c r="B441" i="3"/>
  <c r="C441" i="3"/>
  <c r="D441" i="3"/>
  <c r="E441" i="3"/>
  <c r="F441" i="3"/>
  <c r="G441" i="3"/>
  <c r="B442" i="3"/>
  <c r="C442" i="3"/>
  <c r="D442" i="3"/>
  <c r="E442" i="3"/>
  <c r="F442" i="3"/>
  <c r="G442" i="3"/>
  <c r="B443" i="3"/>
  <c r="C443" i="3"/>
  <c r="D443" i="3"/>
  <c r="E443" i="3"/>
  <c r="F443" i="3"/>
  <c r="G443" i="3"/>
  <c r="B444" i="3"/>
  <c r="C444" i="3"/>
  <c r="D444" i="3"/>
  <c r="E444" i="3"/>
  <c r="F444" i="3"/>
  <c r="G444" i="3"/>
  <c r="B445" i="3"/>
  <c r="C445" i="3"/>
  <c r="D445" i="3"/>
  <c r="E445" i="3"/>
  <c r="F445" i="3"/>
  <c r="G445" i="3"/>
  <c r="B446" i="3"/>
  <c r="C446" i="3"/>
  <c r="D446" i="3"/>
  <c r="E446" i="3"/>
  <c r="F446" i="3"/>
  <c r="G446" i="3"/>
  <c r="B447" i="3"/>
  <c r="C447" i="3"/>
  <c r="D447" i="3"/>
  <c r="E447" i="3"/>
  <c r="F447" i="3"/>
  <c r="G447" i="3"/>
  <c r="B448" i="3"/>
  <c r="C448" i="3"/>
  <c r="D448" i="3"/>
  <c r="E448" i="3"/>
  <c r="F448" i="3"/>
  <c r="G448" i="3"/>
  <c r="B449" i="3"/>
  <c r="C449" i="3"/>
  <c r="D449" i="3"/>
  <c r="E449" i="3"/>
  <c r="F449" i="3"/>
  <c r="G449" i="3"/>
  <c r="B450" i="3"/>
  <c r="C450" i="3"/>
  <c r="D450" i="3"/>
  <c r="E450" i="3"/>
  <c r="F450" i="3"/>
  <c r="G450" i="3"/>
  <c r="B451" i="3"/>
  <c r="C451" i="3"/>
  <c r="D451" i="3"/>
  <c r="E451" i="3"/>
  <c r="F451" i="3"/>
  <c r="G451" i="3"/>
  <c r="B452" i="3"/>
  <c r="C452" i="3"/>
  <c r="D452" i="3"/>
  <c r="E452" i="3"/>
  <c r="F452" i="3"/>
  <c r="G452" i="3"/>
  <c r="B453" i="3"/>
  <c r="C453" i="3"/>
  <c r="D453" i="3"/>
  <c r="E453" i="3"/>
  <c r="F453" i="3"/>
  <c r="G453" i="3"/>
  <c r="B454" i="3"/>
  <c r="C454" i="3"/>
  <c r="D454" i="3"/>
  <c r="E454" i="3"/>
  <c r="F454" i="3"/>
  <c r="G454" i="3"/>
  <c r="B455" i="3"/>
  <c r="C455" i="3"/>
  <c r="D455" i="3"/>
  <c r="E455" i="3"/>
  <c r="F455" i="3"/>
  <c r="G455" i="3"/>
  <c r="B456" i="3"/>
  <c r="C456" i="3"/>
  <c r="D456" i="3"/>
  <c r="E456" i="3"/>
  <c r="F456" i="3"/>
  <c r="G456" i="3"/>
  <c r="B457" i="3"/>
  <c r="C457" i="3"/>
  <c r="D457" i="3"/>
  <c r="E457" i="3"/>
  <c r="F457" i="3"/>
  <c r="G457" i="3"/>
  <c r="B458" i="3"/>
  <c r="C458" i="3"/>
  <c r="D458" i="3"/>
  <c r="E458" i="3"/>
  <c r="F458" i="3"/>
  <c r="G458" i="3"/>
  <c r="B459" i="3"/>
  <c r="C459" i="3"/>
  <c r="D459" i="3"/>
  <c r="E459" i="3"/>
  <c r="F459" i="3"/>
  <c r="G459" i="3"/>
  <c r="B460" i="3"/>
  <c r="C460" i="3"/>
  <c r="D460" i="3"/>
  <c r="E460" i="3"/>
  <c r="F460" i="3"/>
  <c r="G460" i="3"/>
  <c r="B461" i="3"/>
  <c r="C461" i="3"/>
  <c r="D461" i="3"/>
  <c r="E461" i="3"/>
  <c r="F461" i="3"/>
  <c r="G461" i="3"/>
  <c r="B462" i="3"/>
  <c r="C462" i="3"/>
  <c r="D462" i="3"/>
  <c r="E462" i="3"/>
  <c r="F462" i="3"/>
  <c r="G462" i="3"/>
  <c r="B463" i="3"/>
  <c r="C463" i="3"/>
  <c r="D463" i="3"/>
  <c r="E463" i="3"/>
  <c r="F463" i="3"/>
  <c r="G463" i="3"/>
  <c r="B464" i="3"/>
  <c r="C464" i="3"/>
  <c r="D464" i="3"/>
  <c r="E464" i="3"/>
  <c r="F464" i="3"/>
  <c r="G464" i="3"/>
  <c r="B465" i="3"/>
  <c r="C465" i="3"/>
  <c r="D465" i="3"/>
  <c r="E465" i="3"/>
  <c r="F465" i="3"/>
  <c r="G465" i="3"/>
  <c r="B466" i="3"/>
  <c r="C466" i="3"/>
  <c r="D466" i="3"/>
  <c r="E466" i="3"/>
  <c r="F466" i="3"/>
  <c r="G466" i="3"/>
  <c r="B467" i="3"/>
  <c r="C467" i="3"/>
  <c r="D467" i="3"/>
  <c r="E467" i="3"/>
  <c r="F467" i="3"/>
  <c r="G467" i="3"/>
  <c r="B468" i="3"/>
  <c r="C468" i="3"/>
  <c r="D468" i="3"/>
  <c r="E468" i="3"/>
  <c r="F468" i="3"/>
  <c r="G468" i="3"/>
  <c r="B469" i="3"/>
  <c r="C469" i="3"/>
  <c r="D469" i="3"/>
  <c r="E469" i="3"/>
  <c r="F469" i="3"/>
  <c r="G469" i="3"/>
  <c r="B470" i="3"/>
  <c r="C470" i="3"/>
  <c r="D470" i="3"/>
  <c r="E470" i="3"/>
  <c r="F470" i="3"/>
  <c r="G470" i="3"/>
  <c r="B471" i="3"/>
  <c r="C471" i="3"/>
  <c r="D471" i="3"/>
  <c r="E471" i="3"/>
  <c r="F471" i="3"/>
  <c r="G471" i="3"/>
  <c r="B472" i="3"/>
  <c r="C472" i="3"/>
  <c r="D472" i="3"/>
  <c r="E472" i="3"/>
  <c r="F472" i="3"/>
  <c r="G472" i="3"/>
  <c r="B473" i="3"/>
  <c r="C473" i="3"/>
  <c r="D473" i="3"/>
  <c r="E473" i="3"/>
  <c r="F473" i="3"/>
  <c r="G473" i="3"/>
  <c r="B474" i="3"/>
  <c r="C474" i="3"/>
  <c r="D474" i="3"/>
  <c r="E474" i="3"/>
  <c r="F474" i="3"/>
  <c r="G474" i="3"/>
  <c r="B475" i="3"/>
  <c r="C475" i="3"/>
  <c r="D475" i="3"/>
  <c r="E475" i="3"/>
  <c r="F475" i="3"/>
  <c r="G475" i="3"/>
  <c r="B476" i="3"/>
  <c r="C476" i="3"/>
  <c r="D476" i="3"/>
  <c r="E476" i="3"/>
  <c r="F476" i="3"/>
  <c r="G476" i="3"/>
  <c r="B477" i="3"/>
  <c r="C477" i="3"/>
  <c r="D477" i="3"/>
  <c r="E477" i="3"/>
  <c r="F477" i="3"/>
  <c r="G477" i="3"/>
  <c r="B478" i="3"/>
  <c r="C478" i="3"/>
  <c r="D478" i="3"/>
  <c r="E478" i="3"/>
  <c r="F478" i="3"/>
  <c r="G478" i="3"/>
  <c r="B479" i="3"/>
  <c r="C479" i="3"/>
  <c r="D479" i="3"/>
  <c r="E479" i="3"/>
  <c r="F479" i="3"/>
  <c r="G479" i="3"/>
  <c r="B480" i="3"/>
  <c r="C480" i="3"/>
  <c r="D480" i="3"/>
  <c r="E480" i="3"/>
  <c r="F480" i="3"/>
  <c r="G480" i="3"/>
  <c r="B481" i="3"/>
  <c r="C481" i="3"/>
  <c r="D481" i="3"/>
  <c r="E481" i="3"/>
  <c r="F481" i="3"/>
  <c r="G481" i="3"/>
  <c r="B482" i="3"/>
  <c r="C482" i="3"/>
  <c r="D482" i="3"/>
  <c r="E482" i="3"/>
  <c r="F482" i="3"/>
  <c r="G482" i="3"/>
  <c r="B483" i="3"/>
  <c r="C483" i="3"/>
  <c r="D483" i="3"/>
  <c r="E483" i="3"/>
  <c r="F483" i="3"/>
  <c r="G483" i="3"/>
  <c r="B484" i="3"/>
  <c r="C484" i="3"/>
  <c r="D484" i="3"/>
  <c r="E484" i="3"/>
  <c r="F484" i="3"/>
  <c r="G484" i="3"/>
  <c r="B485" i="3"/>
  <c r="C485" i="3"/>
  <c r="D485" i="3"/>
  <c r="E485" i="3"/>
  <c r="F485" i="3"/>
  <c r="G485" i="3"/>
  <c r="B486" i="3"/>
  <c r="C486" i="3"/>
  <c r="D486" i="3"/>
  <c r="E486" i="3"/>
  <c r="F486" i="3"/>
  <c r="G486" i="3"/>
  <c r="B487" i="3"/>
  <c r="C487" i="3"/>
  <c r="D487" i="3"/>
  <c r="E487" i="3"/>
  <c r="F487" i="3"/>
  <c r="G487" i="3"/>
  <c r="B488" i="3"/>
  <c r="C488" i="3"/>
  <c r="D488" i="3"/>
  <c r="E488" i="3"/>
  <c r="F488" i="3"/>
  <c r="G488" i="3"/>
  <c r="B489" i="3"/>
  <c r="C489" i="3"/>
  <c r="D489" i="3"/>
  <c r="E489" i="3"/>
  <c r="F489" i="3"/>
  <c r="G489" i="3"/>
  <c r="B490" i="3"/>
  <c r="C490" i="3"/>
  <c r="D490" i="3"/>
  <c r="E490" i="3"/>
  <c r="F490" i="3"/>
  <c r="G490" i="3"/>
  <c r="B491" i="3"/>
  <c r="C491" i="3"/>
  <c r="D491" i="3"/>
  <c r="E491" i="3"/>
  <c r="F491" i="3"/>
  <c r="G491" i="3"/>
  <c r="B492" i="3"/>
  <c r="C492" i="3"/>
  <c r="D492" i="3"/>
  <c r="E492" i="3"/>
  <c r="F492" i="3"/>
  <c r="G492" i="3"/>
  <c r="B493" i="3"/>
  <c r="C493" i="3"/>
  <c r="D493" i="3"/>
  <c r="E493" i="3"/>
  <c r="F493" i="3"/>
  <c r="G493" i="3"/>
  <c r="B494" i="3"/>
  <c r="C494" i="3"/>
  <c r="D494" i="3"/>
  <c r="E494" i="3"/>
  <c r="F494" i="3"/>
  <c r="G494" i="3"/>
  <c r="B495" i="3"/>
  <c r="C495" i="3"/>
  <c r="D495" i="3"/>
  <c r="E495" i="3"/>
  <c r="F495" i="3"/>
  <c r="G495" i="3"/>
  <c r="B496" i="3"/>
  <c r="C496" i="3"/>
  <c r="D496" i="3"/>
  <c r="E496" i="3"/>
  <c r="F496" i="3"/>
  <c r="G496" i="3"/>
  <c r="B497" i="3"/>
  <c r="C497" i="3"/>
  <c r="D497" i="3"/>
  <c r="E497" i="3"/>
  <c r="F497" i="3"/>
  <c r="G497" i="3"/>
  <c r="B498" i="3"/>
  <c r="C498" i="3"/>
  <c r="D498" i="3"/>
  <c r="E498" i="3"/>
  <c r="F498" i="3"/>
  <c r="G498" i="3"/>
  <c r="B499" i="3"/>
  <c r="C499" i="3"/>
  <c r="D499" i="3"/>
  <c r="E499" i="3"/>
  <c r="F499" i="3"/>
  <c r="G499" i="3"/>
  <c r="B500" i="3"/>
  <c r="C500" i="3"/>
  <c r="D500" i="3"/>
  <c r="E500" i="3"/>
  <c r="F500" i="3"/>
  <c r="G500" i="3"/>
  <c r="B501" i="3"/>
  <c r="C501" i="3"/>
  <c r="D501" i="3"/>
  <c r="E501" i="3"/>
  <c r="F501" i="3"/>
  <c r="G501" i="3"/>
  <c r="B502" i="3"/>
  <c r="C502" i="3"/>
  <c r="D502" i="3"/>
  <c r="E502" i="3"/>
  <c r="F502" i="3"/>
  <c r="G502" i="3"/>
  <c r="B503" i="3"/>
  <c r="C503" i="3"/>
  <c r="D503" i="3"/>
  <c r="E503" i="3"/>
  <c r="F503" i="3"/>
  <c r="G503" i="3"/>
  <c r="B504" i="3"/>
  <c r="C504" i="3"/>
  <c r="D504" i="3"/>
  <c r="E504" i="3"/>
  <c r="F504" i="3"/>
  <c r="G504" i="3"/>
  <c r="B505" i="3"/>
  <c r="C505" i="3"/>
  <c r="D505" i="3"/>
  <c r="E505" i="3"/>
  <c r="F505" i="3"/>
  <c r="G505" i="3"/>
  <c r="B506" i="3"/>
  <c r="C506" i="3"/>
  <c r="D506" i="3"/>
  <c r="E506" i="3"/>
  <c r="F506" i="3"/>
  <c r="G506" i="3"/>
  <c r="B507" i="3"/>
  <c r="C507" i="3"/>
  <c r="D507" i="3"/>
  <c r="E507" i="3"/>
  <c r="F507" i="3"/>
  <c r="G507" i="3"/>
  <c r="B508" i="3"/>
  <c r="C508" i="3"/>
  <c r="D508" i="3"/>
  <c r="E508" i="3"/>
  <c r="F508" i="3"/>
  <c r="G508" i="3"/>
  <c r="B509" i="3"/>
  <c r="C509" i="3"/>
  <c r="D509" i="3"/>
  <c r="E509" i="3"/>
  <c r="F509" i="3"/>
  <c r="G509" i="3"/>
  <c r="B510" i="3"/>
  <c r="C510" i="3"/>
  <c r="D510" i="3"/>
  <c r="E510" i="3"/>
  <c r="F510" i="3"/>
  <c r="G510" i="3"/>
  <c r="B511" i="3"/>
  <c r="C511" i="3"/>
  <c r="D511" i="3"/>
  <c r="E511" i="3"/>
  <c r="F511" i="3"/>
  <c r="G511" i="3"/>
  <c r="B512" i="3"/>
  <c r="C512" i="3"/>
  <c r="D512" i="3"/>
  <c r="E512" i="3"/>
  <c r="F512" i="3"/>
  <c r="G512" i="3"/>
  <c r="B513" i="3"/>
  <c r="C513" i="3"/>
  <c r="D513" i="3"/>
  <c r="E513" i="3"/>
  <c r="F513" i="3"/>
  <c r="G513" i="3"/>
  <c r="B514" i="3"/>
  <c r="C514" i="3"/>
  <c r="D514" i="3"/>
  <c r="E514" i="3"/>
  <c r="F514" i="3"/>
  <c r="G514" i="3"/>
  <c r="B515" i="3"/>
  <c r="C515" i="3"/>
  <c r="D515" i="3"/>
  <c r="E515" i="3"/>
  <c r="F515" i="3"/>
  <c r="G515" i="3"/>
  <c r="B516" i="3"/>
  <c r="C516" i="3"/>
  <c r="D516" i="3"/>
  <c r="E516" i="3"/>
  <c r="F516" i="3"/>
  <c r="G516" i="3"/>
  <c r="B517" i="3"/>
  <c r="C517" i="3"/>
  <c r="D517" i="3"/>
  <c r="E517" i="3"/>
  <c r="F517" i="3"/>
  <c r="G517" i="3"/>
  <c r="B518" i="3"/>
  <c r="C518" i="3"/>
  <c r="D518" i="3"/>
  <c r="E518" i="3"/>
  <c r="F518" i="3"/>
  <c r="G518" i="3"/>
  <c r="B519" i="3"/>
  <c r="C519" i="3"/>
  <c r="D519" i="3"/>
  <c r="E519" i="3"/>
  <c r="F519" i="3"/>
  <c r="G519" i="3"/>
  <c r="B520" i="3"/>
  <c r="C520" i="3"/>
  <c r="D520" i="3"/>
  <c r="E520" i="3"/>
  <c r="F520" i="3"/>
  <c r="G520" i="3"/>
  <c r="B521" i="3"/>
  <c r="C521" i="3"/>
  <c r="D521" i="3"/>
  <c r="E521" i="3"/>
  <c r="F521" i="3"/>
  <c r="G521" i="3"/>
  <c r="B522" i="3"/>
  <c r="C522" i="3"/>
  <c r="D522" i="3"/>
  <c r="E522" i="3"/>
  <c r="F522" i="3"/>
  <c r="G522" i="3"/>
  <c r="B523" i="3"/>
  <c r="C523" i="3"/>
  <c r="D523" i="3"/>
  <c r="E523" i="3"/>
  <c r="F523" i="3"/>
  <c r="G523" i="3"/>
  <c r="B524" i="3"/>
  <c r="C524" i="3"/>
  <c r="D524" i="3"/>
  <c r="E524" i="3"/>
  <c r="F524" i="3"/>
  <c r="G524" i="3"/>
  <c r="B525" i="3"/>
  <c r="C525" i="3"/>
  <c r="D525" i="3"/>
  <c r="E525" i="3"/>
  <c r="F525" i="3"/>
  <c r="G525" i="3"/>
  <c r="B526" i="3"/>
  <c r="C526" i="3"/>
  <c r="D526" i="3"/>
  <c r="E526" i="3"/>
  <c r="F526" i="3"/>
  <c r="G526" i="3"/>
  <c r="B527" i="3"/>
  <c r="C527" i="3"/>
  <c r="D527" i="3"/>
  <c r="E527" i="3"/>
  <c r="F527" i="3"/>
  <c r="G527" i="3"/>
  <c r="B528" i="3"/>
  <c r="C528" i="3"/>
  <c r="D528" i="3"/>
  <c r="E528" i="3"/>
  <c r="F528" i="3"/>
  <c r="G528" i="3"/>
  <c r="B529" i="3"/>
  <c r="C529" i="3"/>
  <c r="D529" i="3"/>
  <c r="E529" i="3"/>
  <c r="F529" i="3"/>
  <c r="G529" i="3"/>
  <c r="B530" i="3"/>
  <c r="C530" i="3"/>
  <c r="D530" i="3"/>
  <c r="E530" i="3"/>
  <c r="F530" i="3"/>
  <c r="G530" i="3"/>
  <c r="B531" i="3"/>
  <c r="C531" i="3"/>
  <c r="D531" i="3"/>
  <c r="E531" i="3"/>
  <c r="F531" i="3"/>
  <c r="G531" i="3"/>
  <c r="B532" i="3"/>
  <c r="C532" i="3"/>
  <c r="D532" i="3"/>
  <c r="E532" i="3"/>
  <c r="F532" i="3"/>
  <c r="G532" i="3"/>
  <c r="B533" i="3"/>
  <c r="C533" i="3"/>
  <c r="D533" i="3"/>
  <c r="E533" i="3"/>
  <c r="F533" i="3"/>
  <c r="G533" i="3"/>
  <c r="B534" i="3"/>
  <c r="C534" i="3"/>
  <c r="D534" i="3"/>
  <c r="E534" i="3"/>
  <c r="F534" i="3"/>
  <c r="G534" i="3"/>
  <c r="B535" i="3"/>
  <c r="C535" i="3"/>
  <c r="D535" i="3"/>
  <c r="E535" i="3"/>
  <c r="F535" i="3"/>
  <c r="G535" i="3"/>
  <c r="B536" i="3"/>
  <c r="C536" i="3"/>
  <c r="D536" i="3"/>
  <c r="E536" i="3"/>
  <c r="F536" i="3"/>
  <c r="G536" i="3"/>
  <c r="B537" i="3"/>
  <c r="C537" i="3"/>
  <c r="D537" i="3"/>
  <c r="E537" i="3"/>
  <c r="F537" i="3"/>
  <c r="G537" i="3"/>
  <c r="B538" i="3"/>
  <c r="C538" i="3"/>
  <c r="D538" i="3"/>
  <c r="E538" i="3"/>
  <c r="F538" i="3"/>
  <c r="G538" i="3"/>
  <c r="B539" i="3"/>
  <c r="C539" i="3"/>
  <c r="D539" i="3"/>
  <c r="E539" i="3"/>
  <c r="F539" i="3"/>
  <c r="G539" i="3"/>
  <c r="B540" i="3"/>
  <c r="C540" i="3"/>
  <c r="D540" i="3"/>
  <c r="E540" i="3"/>
  <c r="F540" i="3"/>
  <c r="G540" i="3"/>
  <c r="B541" i="3"/>
  <c r="C541" i="3"/>
  <c r="D541" i="3"/>
  <c r="E541" i="3"/>
  <c r="F541" i="3"/>
  <c r="G541" i="3"/>
  <c r="B542" i="3"/>
  <c r="C542" i="3"/>
  <c r="D542" i="3"/>
  <c r="E542" i="3"/>
  <c r="F542" i="3"/>
  <c r="G542" i="3"/>
  <c r="B543" i="3"/>
  <c r="C543" i="3"/>
  <c r="D543" i="3"/>
  <c r="E543" i="3"/>
  <c r="F543" i="3"/>
  <c r="G543" i="3"/>
  <c r="B544" i="3"/>
  <c r="C544" i="3"/>
  <c r="D544" i="3"/>
  <c r="E544" i="3"/>
  <c r="F544" i="3"/>
  <c r="G544" i="3"/>
  <c r="B545" i="3"/>
  <c r="C545" i="3"/>
  <c r="D545" i="3"/>
  <c r="E545" i="3"/>
  <c r="F545" i="3"/>
  <c r="G545" i="3"/>
  <c r="B546" i="3"/>
  <c r="C546" i="3"/>
  <c r="D546" i="3"/>
  <c r="E546" i="3"/>
  <c r="F546" i="3"/>
  <c r="G546" i="3"/>
  <c r="B547" i="3"/>
  <c r="C547" i="3"/>
  <c r="D547" i="3"/>
  <c r="E547" i="3"/>
  <c r="F547" i="3"/>
  <c r="G547" i="3"/>
  <c r="B548" i="3"/>
  <c r="C548" i="3"/>
  <c r="D548" i="3"/>
  <c r="E548" i="3"/>
  <c r="F548" i="3"/>
  <c r="G548" i="3"/>
  <c r="B549" i="3"/>
  <c r="C549" i="3"/>
  <c r="D549" i="3"/>
  <c r="E549" i="3"/>
  <c r="F549" i="3"/>
  <c r="G549" i="3"/>
  <c r="B550" i="3"/>
  <c r="C550" i="3"/>
  <c r="D550" i="3"/>
  <c r="E550" i="3"/>
  <c r="F550" i="3"/>
  <c r="G550" i="3"/>
  <c r="B551" i="3"/>
  <c r="C551" i="3"/>
  <c r="D551" i="3"/>
  <c r="E551" i="3"/>
  <c r="F551" i="3"/>
  <c r="G551" i="3"/>
  <c r="B552" i="3"/>
  <c r="C552" i="3"/>
  <c r="D552" i="3"/>
  <c r="E552" i="3"/>
  <c r="F552" i="3"/>
  <c r="G552" i="3"/>
  <c r="B553" i="3"/>
  <c r="C553" i="3"/>
  <c r="D553" i="3"/>
  <c r="E553" i="3"/>
  <c r="F553" i="3"/>
  <c r="G553" i="3"/>
  <c r="B554" i="3"/>
  <c r="C554" i="3"/>
  <c r="D554" i="3"/>
  <c r="E554" i="3"/>
  <c r="F554" i="3"/>
  <c r="G554" i="3"/>
  <c r="B555" i="3"/>
  <c r="C555" i="3"/>
  <c r="D555" i="3"/>
  <c r="E555" i="3"/>
  <c r="F555" i="3"/>
  <c r="G555" i="3"/>
  <c r="B556" i="3"/>
  <c r="C556" i="3"/>
  <c r="D556" i="3"/>
  <c r="E556" i="3"/>
  <c r="F556" i="3"/>
  <c r="G556" i="3"/>
  <c r="B557" i="3"/>
  <c r="C557" i="3"/>
  <c r="D557" i="3"/>
  <c r="E557" i="3"/>
  <c r="F557" i="3"/>
  <c r="G557" i="3"/>
  <c r="B558" i="3"/>
  <c r="C558" i="3"/>
  <c r="D558" i="3"/>
  <c r="E558" i="3"/>
  <c r="F558" i="3"/>
  <c r="G558" i="3"/>
  <c r="B559" i="3"/>
  <c r="C559" i="3"/>
  <c r="D559" i="3"/>
  <c r="E559" i="3"/>
  <c r="F559" i="3"/>
  <c r="G559" i="3"/>
  <c r="B560" i="3"/>
  <c r="C560" i="3"/>
  <c r="D560" i="3"/>
  <c r="E560" i="3"/>
  <c r="F560" i="3"/>
  <c r="G560" i="3"/>
  <c r="B561" i="3"/>
  <c r="C561" i="3"/>
  <c r="D561" i="3"/>
  <c r="E561" i="3"/>
  <c r="F561" i="3"/>
  <c r="G561" i="3"/>
  <c r="B562" i="3"/>
  <c r="C562" i="3"/>
  <c r="D562" i="3"/>
  <c r="E562" i="3"/>
  <c r="F562" i="3"/>
  <c r="G562" i="3"/>
  <c r="B563" i="3"/>
  <c r="C563" i="3"/>
  <c r="D563" i="3"/>
  <c r="E563" i="3"/>
  <c r="F563" i="3"/>
  <c r="G563" i="3"/>
  <c r="B564" i="3"/>
  <c r="C564" i="3"/>
  <c r="D564" i="3"/>
  <c r="E564" i="3"/>
  <c r="F564" i="3"/>
  <c r="G564" i="3"/>
  <c r="B565" i="3"/>
  <c r="C565" i="3"/>
  <c r="D565" i="3"/>
  <c r="E565" i="3"/>
  <c r="F565" i="3"/>
  <c r="G565" i="3"/>
  <c r="B566" i="3"/>
  <c r="C566" i="3"/>
  <c r="D566" i="3"/>
  <c r="E566" i="3"/>
  <c r="F566" i="3"/>
  <c r="G566" i="3"/>
  <c r="B567" i="3"/>
  <c r="C567" i="3"/>
  <c r="D567" i="3"/>
  <c r="E567" i="3"/>
  <c r="F567" i="3"/>
  <c r="G567" i="3"/>
  <c r="B568" i="3"/>
  <c r="C568" i="3"/>
  <c r="D568" i="3"/>
  <c r="E568" i="3"/>
  <c r="F568" i="3"/>
  <c r="G568" i="3"/>
  <c r="B569" i="3"/>
  <c r="C569" i="3"/>
  <c r="D569" i="3"/>
  <c r="E569" i="3"/>
  <c r="F569" i="3"/>
  <c r="G569" i="3"/>
  <c r="B570" i="3"/>
  <c r="C570" i="3"/>
  <c r="D570" i="3"/>
  <c r="E570" i="3"/>
  <c r="F570" i="3"/>
  <c r="G570" i="3"/>
  <c r="B571" i="3"/>
  <c r="C571" i="3"/>
  <c r="D571" i="3"/>
  <c r="E571" i="3"/>
  <c r="F571" i="3"/>
  <c r="G571" i="3"/>
  <c r="B572" i="3"/>
  <c r="C572" i="3"/>
  <c r="D572" i="3"/>
  <c r="E572" i="3"/>
  <c r="F572" i="3"/>
  <c r="G572" i="3"/>
  <c r="B573" i="3"/>
  <c r="C573" i="3"/>
  <c r="D573" i="3"/>
  <c r="E573" i="3"/>
  <c r="F573" i="3"/>
  <c r="G573" i="3"/>
  <c r="B574" i="3"/>
  <c r="C574" i="3"/>
  <c r="D574" i="3"/>
  <c r="E574" i="3"/>
  <c r="F574" i="3"/>
  <c r="G574" i="3"/>
  <c r="B575" i="3"/>
  <c r="C575" i="3"/>
  <c r="D575" i="3"/>
  <c r="E575" i="3"/>
  <c r="F575" i="3"/>
  <c r="G575" i="3"/>
  <c r="B576" i="3"/>
  <c r="C576" i="3"/>
  <c r="D576" i="3"/>
  <c r="E576" i="3"/>
  <c r="F576" i="3"/>
  <c r="G576" i="3"/>
  <c r="B577" i="3"/>
  <c r="C577" i="3"/>
  <c r="D577" i="3"/>
  <c r="E577" i="3"/>
  <c r="F577" i="3"/>
  <c r="G577" i="3"/>
  <c r="B578" i="3"/>
  <c r="C578" i="3"/>
  <c r="D578" i="3"/>
  <c r="E578" i="3"/>
  <c r="F578" i="3"/>
  <c r="G578" i="3"/>
  <c r="B579" i="3"/>
  <c r="C579" i="3"/>
  <c r="D579" i="3"/>
  <c r="E579" i="3"/>
  <c r="F579" i="3"/>
  <c r="G579" i="3"/>
  <c r="B580" i="3"/>
  <c r="C580" i="3"/>
  <c r="D580" i="3"/>
  <c r="E580" i="3"/>
  <c r="F580" i="3"/>
  <c r="G580" i="3"/>
  <c r="B581" i="3"/>
  <c r="C581" i="3"/>
  <c r="D581" i="3"/>
  <c r="E581" i="3"/>
  <c r="F581" i="3"/>
  <c r="G581" i="3"/>
  <c r="B582" i="3"/>
  <c r="C582" i="3"/>
  <c r="D582" i="3"/>
  <c r="E582" i="3"/>
  <c r="F582" i="3"/>
  <c r="G582" i="3"/>
  <c r="B583" i="3"/>
  <c r="C583" i="3"/>
  <c r="D583" i="3"/>
  <c r="E583" i="3"/>
  <c r="F583" i="3"/>
  <c r="G583" i="3"/>
  <c r="B584" i="3"/>
  <c r="C584" i="3"/>
  <c r="D584" i="3"/>
  <c r="E584" i="3"/>
  <c r="F584" i="3"/>
  <c r="G584" i="3"/>
  <c r="B585" i="3"/>
  <c r="C585" i="3"/>
  <c r="D585" i="3"/>
  <c r="E585" i="3"/>
  <c r="F585" i="3"/>
  <c r="G585" i="3"/>
  <c r="B586" i="3"/>
  <c r="C586" i="3"/>
  <c r="D586" i="3"/>
  <c r="E586" i="3"/>
  <c r="F586" i="3"/>
  <c r="G586" i="3"/>
  <c r="B587" i="3"/>
  <c r="C587" i="3"/>
  <c r="D587" i="3"/>
  <c r="E587" i="3"/>
  <c r="F587" i="3"/>
  <c r="G587" i="3"/>
  <c r="B588" i="3"/>
  <c r="C588" i="3"/>
  <c r="D588" i="3"/>
  <c r="E588" i="3"/>
  <c r="F588" i="3"/>
  <c r="G588" i="3"/>
  <c r="B589" i="3"/>
  <c r="C589" i="3"/>
  <c r="D589" i="3"/>
  <c r="E589" i="3"/>
  <c r="F589" i="3"/>
  <c r="G589" i="3"/>
  <c r="B590" i="3"/>
  <c r="C590" i="3"/>
  <c r="D590" i="3"/>
  <c r="E590" i="3"/>
  <c r="F590" i="3"/>
  <c r="G590" i="3"/>
  <c r="B591" i="3"/>
  <c r="C591" i="3"/>
  <c r="D591" i="3"/>
  <c r="E591" i="3"/>
  <c r="F591" i="3"/>
  <c r="G591" i="3"/>
  <c r="B592" i="3"/>
  <c r="C592" i="3"/>
  <c r="D592" i="3"/>
  <c r="E592" i="3"/>
  <c r="F592" i="3"/>
  <c r="G592" i="3"/>
  <c r="B593" i="3"/>
  <c r="C593" i="3"/>
  <c r="D593" i="3"/>
  <c r="E593" i="3"/>
  <c r="F593" i="3"/>
  <c r="G593" i="3"/>
  <c r="B594" i="3"/>
  <c r="C594" i="3"/>
  <c r="D594" i="3"/>
  <c r="E594" i="3"/>
  <c r="F594" i="3"/>
  <c r="G594" i="3"/>
  <c r="B595" i="3"/>
  <c r="C595" i="3"/>
  <c r="D595" i="3"/>
  <c r="E595" i="3"/>
  <c r="F595" i="3"/>
  <c r="G595" i="3"/>
  <c r="B596" i="3"/>
  <c r="C596" i="3"/>
  <c r="D596" i="3"/>
  <c r="E596" i="3"/>
  <c r="F596" i="3"/>
  <c r="G596" i="3"/>
  <c r="B597" i="3"/>
  <c r="C597" i="3"/>
  <c r="D597" i="3"/>
  <c r="E597" i="3"/>
  <c r="F597" i="3"/>
  <c r="G597" i="3"/>
  <c r="B598" i="3"/>
  <c r="C598" i="3"/>
  <c r="D598" i="3"/>
  <c r="E598" i="3"/>
  <c r="F598" i="3"/>
  <c r="G598" i="3"/>
  <c r="B599" i="3"/>
  <c r="C599" i="3"/>
  <c r="D599" i="3"/>
  <c r="E599" i="3"/>
  <c r="F599" i="3"/>
  <c r="G599" i="3"/>
  <c r="B600" i="3"/>
  <c r="C600" i="3"/>
  <c r="D600" i="3"/>
  <c r="E600" i="3"/>
  <c r="F600" i="3"/>
  <c r="G600" i="3"/>
  <c r="B601" i="3"/>
  <c r="C601" i="3"/>
  <c r="D601" i="3"/>
  <c r="E601" i="3"/>
  <c r="F601" i="3"/>
  <c r="G601" i="3"/>
  <c r="B602" i="3"/>
  <c r="C602" i="3"/>
  <c r="D602" i="3"/>
  <c r="E602" i="3"/>
  <c r="F602" i="3"/>
  <c r="G602" i="3"/>
  <c r="B603" i="3"/>
  <c r="C603" i="3"/>
  <c r="D603" i="3"/>
  <c r="E603" i="3"/>
  <c r="F603" i="3"/>
  <c r="G603" i="3"/>
  <c r="B604" i="3"/>
  <c r="C604" i="3"/>
  <c r="D604" i="3"/>
  <c r="E604" i="3"/>
  <c r="F604" i="3"/>
  <c r="G604" i="3"/>
  <c r="B605" i="3"/>
  <c r="C605" i="3"/>
  <c r="D605" i="3"/>
  <c r="E605" i="3"/>
  <c r="F605" i="3"/>
  <c r="G605" i="3"/>
  <c r="B606" i="3"/>
  <c r="C606" i="3"/>
  <c r="D606" i="3"/>
  <c r="E606" i="3"/>
  <c r="F606" i="3"/>
  <c r="G606" i="3"/>
  <c r="B607" i="3"/>
  <c r="C607" i="3"/>
  <c r="D607" i="3"/>
  <c r="E607" i="3"/>
  <c r="F607" i="3"/>
  <c r="G607" i="3"/>
  <c r="B608" i="3"/>
  <c r="C608" i="3"/>
  <c r="D608" i="3"/>
  <c r="E608" i="3"/>
  <c r="F608" i="3"/>
  <c r="G608" i="3"/>
  <c r="B609" i="3"/>
  <c r="C609" i="3"/>
  <c r="D609" i="3"/>
  <c r="E609" i="3"/>
  <c r="F609" i="3"/>
  <c r="G609" i="3"/>
  <c r="B610" i="3"/>
  <c r="C610" i="3"/>
  <c r="D610" i="3"/>
  <c r="E610" i="3"/>
  <c r="F610" i="3"/>
  <c r="G610" i="3"/>
  <c r="B611" i="3"/>
  <c r="C611" i="3"/>
  <c r="D611" i="3"/>
  <c r="E611" i="3"/>
  <c r="F611" i="3"/>
  <c r="G611" i="3"/>
  <c r="B612" i="3"/>
  <c r="C612" i="3"/>
  <c r="D612" i="3"/>
  <c r="E612" i="3"/>
  <c r="F612" i="3"/>
  <c r="G612" i="3"/>
  <c r="B613" i="3"/>
  <c r="C613" i="3"/>
  <c r="D613" i="3"/>
  <c r="E613" i="3"/>
  <c r="F613" i="3"/>
  <c r="G613" i="3"/>
  <c r="B614" i="3"/>
  <c r="C614" i="3"/>
  <c r="D614" i="3"/>
  <c r="E614" i="3"/>
  <c r="F614" i="3"/>
  <c r="G614" i="3"/>
  <c r="B615" i="3"/>
  <c r="C615" i="3"/>
  <c r="D615" i="3"/>
  <c r="E615" i="3"/>
  <c r="F615" i="3"/>
  <c r="G615" i="3"/>
  <c r="B616" i="3"/>
  <c r="C616" i="3"/>
  <c r="D616" i="3"/>
  <c r="E616" i="3"/>
  <c r="F616" i="3"/>
  <c r="G616" i="3"/>
  <c r="B617" i="3"/>
  <c r="C617" i="3"/>
  <c r="D617" i="3"/>
  <c r="E617" i="3"/>
  <c r="F617" i="3"/>
  <c r="G617" i="3"/>
  <c r="B618" i="3"/>
  <c r="C618" i="3"/>
  <c r="D618" i="3"/>
  <c r="E618" i="3"/>
  <c r="F618" i="3"/>
  <c r="G618" i="3"/>
  <c r="B619" i="3"/>
  <c r="C619" i="3"/>
  <c r="D619" i="3"/>
  <c r="E619" i="3"/>
  <c r="F619" i="3"/>
  <c r="G619" i="3"/>
  <c r="B620" i="3"/>
  <c r="C620" i="3"/>
  <c r="D620" i="3"/>
  <c r="E620" i="3"/>
  <c r="F620" i="3"/>
  <c r="G620" i="3"/>
  <c r="B621" i="3"/>
  <c r="C621" i="3"/>
  <c r="D621" i="3"/>
  <c r="E621" i="3"/>
  <c r="F621" i="3"/>
  <c r="G621" i="3"/>
  <c r="B622" i="3"/>
  <c r="C622" i="3"/>
  <c r="D622" i="3"/>
  <c r="E622" i="3"/>
  <c r="F622" i="3"/>
  <c r="G622" i="3"/>
  <c r="B623" i="3"/>
  <c r="C623" i="3"/>
  <c r="D623" i="3"/>
  <c r="E623" i="3"/>
  <c r="F623" i="3"/>
  <c r="G623" i="3"/>
  <c r="B624" i="3"/>
  <c r="C624" i="3"/>
  <c r="D624" i="3"/>
  <c r="E624" i="3"/>
  <c r="F624" i="3"/>
  <c r="G624" i="3"/>
  <c r="B625" i="3"/>
  <c r="C625" i="3"/>
  <c r="D625" i="3"/>
  <c r="E625" i="3"/>
  <c r="F625" i="3"/>
  <c r="G625" i="3"/>
  <c r="B626" i="3"/>
  <c r="C626" i="3"/>
  <c r="D626" i="3"/>
  <c r="E626" i="3"/>
  <c r="F626" i="3"/>
  <c r="G626" i="3"/>
  <c r="B627" i="3"/>
  <c r="C627" i="3"/>
  <c r="D627" i="3"/>
  <c r="E627" i="3"/>
  <c r="F627" i="3"/>
  <c r="G627" i="3"/>
  <c r="B628" i="3"/>
  <c r="C628" i="3"/>
  <c r="D628" i="3"/>
  <c r="E628" i="3"/>
  <c r="F628" i="3"/>
  <c r="G628" i="3"/>
  <c r="B629" i="3"/>
  <c r="C629" i="3"/>
  <c r="D629" i="3"/>
  <c r="E629" i="3"/>
  <c r="F629" i="3"/>
  <c r="G629" i="3"/>
  <c r="B630" i="3"/>
  <c r="C630" i="3"/>
  <c r="D630" i="3"/>
  <c r="E630" i="3"/>
  <c r="F630" i="3"/>
  <c r="G630" i="3"/>
  <c r="B631" i="3"/>
  <c r="C631" i="3"/>
  <c r="D631" i="3"/>
  <c r="E631" i="3"/>
  <c r="F631" i="3"/>
  <c r="G631" i="3"/>
  <c r="B632" i="3"/>
  <c r="C632" i="3"/>
  <c r="D632" i="3"/>
  <c r="E632" i="3"/>
  <c r="F632" i="3"/>
  <c r="G632" i="3"/>
  <c r="B633" i="3"/>
  <c r="C633" i="3"/>
  <c r="D633" i="3"/>
  <c r="E633" i="3"/>
  <c r="F633" i="3"/>
  <c r="G633" i="3"/>
  <c r="B634" i="3"/>
  <c r="C634" i="3"/>
  <c r="D634" i="3"/>
  <c r="E634" i="3"/>
  <c r="F634" i="3"/>
  <c r="G634" i="3"/>
  <c r="B635" i="3"/>
  <c r="C635" i="3"/>
  <c r="D635" i="3"/>
  <c r="E635" i="3"/>
  <c r="F635" i="3"/>
  <c r="G635" i="3"/>
  <c r="B636" i="3"/>
  <c r="C636" i="3"/>
  <c r="D636" i="3"/>
  <c r="E636" i="3"/>
  <c r="F636" i="3"/>
  <c r="G636" i="3"/>
  <c r="B637" i="3"/>
  <c r="C637" i="3"/>
  <c r="D637" i="3"/>
  <c r="E637" i="3"/>
  <c r="F637" i="3"/>
  <c r="G637" i="3"/>
  <c r="B638" i="3"/>
  <c r="C638" i="3"/>
  <c r="D638" i="3"/>
  <c r="E638" i="3"/>
  <c r="F638" i="3"/>
  <c r="G638" i="3"/>
  <c r="B639" i="3"/>
  <c r="C639" i="3"/>
  <c r="D639" i="3"/>
  <c r="E639" i="3"/>
  <c r="F639" i="3"/>
  <c r="G639" i="3"/>
  <c r="B640" i="3"/>
  <c r="C640" i="3"/>
  <c r="D640" i="3"/>
  <c r="E640" i="3"/>
  <c r="F640" i="3"/>
  <c r="G640" i="3"/>
  <c r="B641" i="3"/>
  <c r="C641" i="3"/>
  <c r="D641" i="3"/>
  <c r="E641" i="3"/>
  <c r="F641" i="3"/>
  <c r="G641" i="3"/>
  <c r="B642" i="3"/>
  <c r="C642" i="3"/>
  <c r="D642" i="3"/>
  <c r="E642" i="3"/>
  <c r="F642" i="3"/>
  <c r="G642" i="3"/>
  <c r="B643" i="3"/>
  <c r="C643" i="3"/>
  <c r="D643" i="3"/>
  <c r="E643" i="3"/>
  <c r="F643" i="3"/>
  <c r="G643" i="3"/>
  <c r="B644" i="3"/>
  <c r="C644" i="3"/>
  <c r="D644" i="3"/>
  <c r="E644" i="3"/>
  <c r="F644" i="3"/>
  <c r="G644" i="3"/>
  <c r="B645" i="3"/>
  <c r="C645" i="3"/>
  <c r="D645" i="3"/>
  <c r="E645" i="3"/>
  <c r="F645" i="3"/>
  <c r="G645" i="3"/>
  <c r="B646" i="3"/>
  <c r="C646" i="3"/>
  <c r="D646" i="3"/>
  <c r="E646" i="3"/>
  <c r="F646" i="3"/>
  <c r="G646" i="3"/>
  <c r="B647" i="3"/>
  <c r="C647" i="3"/>
  <c r="D647" i="3"/>
  <c r="E647" i="3"/>
  <c r="F647" i="3"/>
  <c r="G647" i="3"/>
  <c r="B648" i="3"/>
  <c r="C648" i="3"/>
  <c r="D648" i="3"/>
  <c r="E648" i="3"/>
  <c r="F648" i="3"/>
  <c r="G648" i="3"/>
  <c r="B649" i="3"/>
  <c r="C649" i="3"/>
  <c r="D649" i="3"/>
  <c r="E649" i="3"/>
  <c r="F649" i="3"/>
  <c r="G649" i="3"/>
  <c r="B650" i="3"/>
  <c r="C650" i="3"/>
  <c r="D650" i="3"/>
  <c r="E650" i="3"/>
  <c r="F650" i="3"/>
  <c r="G650" i="3"/>
  <c r="B651" i="3"/>
  <c r="C651" i="3"/>
  <c r="D651" i="3"/>
  <c r="E651" i="3"/>
  <c r="F651" i="3"/>
  <c r="G651" i="3"/>
  <c r="B652" i="3"/>
  <c r="C652" i="3"/>
  <c r="D652" i="3"/>
  <c r="E652" i="3"/>
  <c r="F652" i="3"/>
  <c r="G652" i="3"/>
  <c r="B653" i="3"/>
  <c r="C653" i="3"/>
  <c r="D653" i="3"/>
  <c r="E653" i="3"/>
  <c r="F653" i="3"/>
  <c r="G653" i="3"/>
  <c r="B654" i="3"/>
  <c r="C654" i="3"/>
  <c r="D654" i="3"/>
  <c r="E654" i="3"/>
  <c r="F654" i="3"/>
  <c r="G654" i="3"/>
  <c r="B655" i="3"/>
  <c r="C655" i="3"/>
  <c r="D655" i="3"/>
  <c r="E655" i="3"/>
  <c r="F655" i="3"/>
  <c r="G655" i="3"/>
  <c r="B656" i="3"/>
  <c r="C656" i="3"/>
  <c r="D656" i="3"/>
  <c r="E656" i="3"/>
  <c r="F656" i="3"/>
  <c r="G656" i="3"/>
  <c r="B657" i="3"/>
  <c r="C657" i="3"/>
  <c r="D657" i="3"/>
  <c r="E657" i="3"/>
  <c r="F657" i="3"/>
  <c r="G657" i="3"/>
  <c r="B658" i="3"/>
  <c r="C658" i="3"/>
  <c r="D658" i="3"/>
  <c r="E658" i="3"/>
  <c r="F658" i="3"/>
  <c r="G658" i="3"/>
  <c r="B659" i="3"/>
  <c r="C659" i="3"/>
  <c r="D659" i="3"/>
  <c r="E659" i="3"/>
  <c r="F659" i="3"/>
  <c r="G659" i="3"/>
  <c r="B660" i="3"/>
  <c r="C660" i="3"/>
  <c r="D660" i="3"/>
  <c r="E660" i="3"/>
  <c r="F660" i="3"/>
  <c r="G660" i="3"/>
  <c r="B661" i="3"/>
  <c r="C661" i="3"/>
  <c r="D661" i="3"/>
  <c r="E661" i="3"/>
  <c r="F661" i="3"/>
  <c r="G661" i="3"/>
  <c r="B662" i="3"/>
  <c r="C662" i="3"/>
  <c r="D662" i="3"/>
  <c r="E662" i="3"/>
  <c r="F662" i="3"/>
  <c r="G662" i="3"/>
  <c r="B663" i="3"/>
  <c r="C663" i="3"/>
  <c r="D663" i="3"/>
  <c r="E663" i="3"/>
  <c r="F663" i="3"/>
  <c r="G663" i="3"/>
  <c r="B664" i="3"/>
  <c r="C664" i="3"/>
  <c r="D664" i="3"/>
  <c r="E664" i="3"/>
  <c r="F664" i="3"/>
  <c r="G664" i="3"/>
  <c r="B665" i="3"/>
  <c r="C665" i="3"/>
  <c r="D665" i="3"/>
  <c r="E665" i="3"/>
  <c r="F665" i="3"/>
  <c r="G665" i="3"/>
  <c r="B666" i="3"/>
  <c r="C666" i="3"/>
  <c r="D666" i="3"/>
  <c r="E666" i="3"/>
  <c r="F666" i="3"/>
  <c r="G666" i="3"/>
  <c r="B667" i="3"/>
  <c r="C667" i="3"/>
  <c r="D667" i="3"/>
  <c r="E667" i="3"/>
  <c r="F667" i="3"/>
  <c r="G667" i="3"/>
  <c r="B668" i="3"/>
  <c r="C668" i="3"/>
  <c r="D668" i="3"/>
  <c r="E668" i="3"/>
  <c r="F668" i="3"/>
  <c r="G668" i="3"/>
  <c r="B669" i="3"/>
  <c r="C669" i="3"/>
  <c r="D669" i="3"/>
  <c r="E669" i="3"/>
  <c r="F669" i="3"/>
  <c r="G669" i="3"/>
  <c r="B670" i="3"/>
  <c r="C670" i="3"/>
  <c r="D670" i="3"/>
  <c r="E670" i="3"/>
  <c r="F670" i="3"/>
  <c r="G670" i="3"/>
  <c r="B671" i="3"/>
  <c r="C671" i="3"/>
  <c r="D671" i="3"/>
  <c r="E671" i="3"/>
  <c r="F671" i="3"/>
  <c r="G671" i="3"/>
  <c r="B672" i="3"/>
  <c r="C672" i="3"/>
  <c r="D672" i="3"/>
  <c r="E672" i="3"/>
  <c r="F672" i="3"/>
  <c r="G672" i="3"/>
  <c r="B673" i="3"/>
  <c r="C673" i="3"/>
  <c r="D673" i="3"/>
  <c r="E673" i="3"/>
  <c r="F673" i="3"/>
  <c r="G673" i="3"/>
  <c r="B674" i="3"/>
  <c r="C674" i="3"/>
  <c r="D674" i="3"/>
  <c r="E674" i="3"/>
  <c r="F674" i="3"/>
  <c r="G674" i="3"/>
  <c r="B675" i="3"/>
  <c r="C675" i="3"/>
  <c r="D675" i="3"/>
  <c r="E675" i="3"/>
  <c r="F675" i="3"/>
  <c r="G675" i="3"/>
  <c r="B676" i="3"/>
  <c r="C676" i="3"/>
  <c r="D676" i="3"/>
  <c r="E676" i="3"/>
  <c r="F676" i="3"/>
  <c r="G676" i="3"/>
  <c r="B677" i="3"/>
  <c r="C677" i="3"/>
  <c r="D677" i="3"/>
  <c r="E677" i="3"/>
  <c r="F677" i="3"/>
  <c r="G677" i="3"/>
  <c r="B678" i="3"/>
  <c r="C678" i="3"/>
  <c r="D678" i="3"/>
  <c r="E678" i="3"/>
  <c r="F678" i="3"/>
  <c r="G678" i="3"/>
  <c r="B679" i="3"/>
  <c r="C679" i="3"/>
  <c r="D679" i="3"/>
  <c r="E679" i="3"/>
  <c r="F679" i="3"/>
  <c r="G679" i="3"/>
  <c r="B680" i="3"/>
  <c r="C680" i="3"/>
  <c r="D680" i="3"/>
  <c r="E680" i="3"/>
  <c r="F680" i="3"/>
  <c r="G680" i="3"/>
  <c r="B681" i="3"/>
  <c r="C681" i="3"/>
  <c r="D681" i="3"/>
  <c r="E681" i="3"/>
  <c r="F681" i="3"/>
  <c r="G681" i="3"/>
  <c r="B682" i="3"/>
  <c r="C682" i="3"/>
  <c r="D682" i="3"/>
  <c r="E682" i="3"/>
  <c r="F682" i="3"/>
  <c r="G682" i="3"/>
  <c r="B683" i="3"/>
  <c r="C683" i="3"/>
  <c r="D683" i="3"/>
  <c r="E683" i="3"/>
  <c r="F683" i="3"/>
  <c r="G683" i="3"/>
  <c r="B684" i="3"/>
  <c r="C684" i="3"/>
  <c r="D684" i="3"/>
  <c r="E684" i="3"/>
  <c r="F684" i="3"/>
  <c r="G684" i="3"/>
  <c r="B685" i="3"/>
  <c r="C685" i="3"/>
  <c r="D685" i="3"/>
  <c r="E685" i="3"/>
  <c r="F685" i="3"/>
  <c r="G685" i="3"/>
  <c r="B686" i="3"/>
  <c r="C686" i="3"/>
  <c r="D686" i="3"/>
  <c r="E686" i="3"/>
  <c r="F686" i="3"/>
  <c r="G686" i="3"/>
  <c r="B687" i="3"/>
  <c r="C687" i="3"/>
  <c r="D687" i="3"/>
  <c r="E687" i="3"/>
  <c r="F687" i="3"/>
  <c r="G687" i="3"/>
  <c r="B688" i="3"/>
  <c r="C688" i="3"/>
  <c r="D688" i="3"/>
  <c r="E688" i="3"/>
  <c r="F688" i="3"/>
  <c r="G688" i="3"/>
  <c r="B689" i="3"/>
  <c r="C689" i="3"/>
  <c r="D689" i="3"/>
  <c r="E689" i="3"/>
  <c r="F689" i="3"/>
  <c r="G689" i="3"/>
  <c r="B690" i="3"/>
  <c r="C690" i="3"/>
  <c r="D690" i="3"/>
  <c r="E690" i="3"/>
  <c r="F690" i="3"/>
  <c r="G690" i="3"/>
  <c r="B691" i="3"/>
  <c r="C691" i="3"/>
  <c r="D691" i="3"/>
  <c r="E691" i="3"/>
  <c r="F691" i="3"/>
  <c r="G691" i="3"/>
  <c r="B692" i="3"/>
  <c r="C692" i="3"/>
  <c r="D692" i="3"/>
  <c r="E692" i="3"/>
  <c r="F692" i="3"/>
  <c r="G692" i="3"/>
  <c r="B693" i="3"/>
  <c r="C693" i="3"/>
  <c r="D693" i="3"/>
  <c r="E693" i="3"/>
  <c r="F693" i="3"/>
  <c r="G693" i="3"/>
  <c r="B694" i="3"/>
  <c r="C694" i="3"/>
  <c r="D694" i="3"/>
  <c r="E694" i="3"/>
  <c r="F694" i="3"/>
  <c r="G694" i="3"/>
  <c r="B695" i="3"/>
  <c r="C695" i="3"/>
  <c r="D695" i="3"/>
  <c r="E695" i="3"/>
  <c r="F695" i="3"/>
  <c r="G695" i="3"/>
  <c r="B696" i="3"/>
  <c r="C696" i="3"/>
  <c r="D696" i="3"/>
  <c r="E696" i="3"/>
  <c r="F696" i="3"/>
  <c r="G696" i="3"/>
  <c r="B697" i="3"/>
  <c r="C697" i="3"/>
  <c r="D697" i="3"/>
  <c r="E697" i="3"/>
  <c r="F697" i="3"/>
  <c r="G697" i="3"/>
  <c r="B698" i="3"/>
  <c r="C698" i="3"/>
  <c r="D698" i="3"/>
  <c r="E698" i="3"/>
  <c r="F698" i="3"/>
  <c r="G698" i="3"/>
  <c r="B699" i="3"/>
  <c r="C699" i="3"/>
  <c r="D699" i="3"/>
  <c r="E699" i="3"/>
  <c r="F699" i="3"/>
  <c r="G699" i="3"/>
  <c r="B700" i="3"/>
  <c r="C700" i="3"/>
  <c r="D700" i="3"/>
  <c r="E700" i="3"/>
  <c r="F700" i="3"/>
  <c r="G700" i="3"/>
  <c r="B701" i="3"/>
  <c r="C701" i="3"/>
  <c r="D701" i="3"/>
  <c r="E701" i="3"/>
  <c r="F701" i="3"/>
  <c r="G701" i="3"/>
  <c r="B702" i="3"/>
  <c r="C702" i="3"/>
  <c r="D702" i="3"/>
  <c r="E702" i="3"/>
  <c r="F702" i="3"/>
  <c r="G702" i="3"/>
  <c r="B703" i="3"/>
  <c r="C703" i="3"/>
  <c r="D703" i="3"/>
  <c r="E703" i="3"/>
  <c r="F703" i="3"/>
  <c r="G703" i="3"/>
  <c r="B704" i="3"/>
  <c r="C704" i="3"/>
  <c r="D704" i="3"/>
  <c r="E704" i="3"/>
  <c r="F704" i="3"/>
  <c r="G704" i="3"/>
  <c r="B705" i="3"/>
  <c r="C705" i="3"/>
  <c r="D705" i="3"/>
  <c r="E705" i="3"/>
  <c r="F705" i="3"/>
  <c r="G705" i="3"/>
  <c r="B706" i="3"/>
  <c r="C706" i="3"/>
  <c r="D706" i="3"/>
  <c r="E706" i="3"/>
  <c r="F706" i="3"/>
  <c r="G706" i="3"/>
  <c r="B707" i="3"/>
  <c r="C707" i="3"/>
  <c r="D707" i="3"/>
  <c r="E707" i="3"/>
  <c r="F707" i="3"/>
  <c r="G707" i="3"/>
  <c r="B708" i="3"/>
  <c r="C708" i="3"/>
  <c r="D708" i="3"/>
  <c r="E708" i="3"/>
  <c r="F708" i="3"/>
  <c r="G708" i="3"/>
  <c r="B709" i="3"/>
  <c r="C709" i="3"/>
  <c r="D709" i="3"/>
  <c r="E709" i="3"/>
  <c r="F709" i="3"/>
  <c r="G709" i="3"/>
  <c r="B710" i="3"/>
  <c r="C710" i="3"/>
  <c r="D710" i="3"/>
  <c r="E710" i="3"/>
  <c r="F710" i="3"/>
  <c r="G710" i="3"/>
  <c r="B711" i="3"/>
  <c r="C711" i="3"/>
  <c r="D711" i="3"/>
  <c r="E711" i="3"/>
  <c r="F711" i="3"/>
  <c r="G711" i="3"/>
  <c r="B712" i="3"/>
  <c r="C712" i="3"/>
  <c r="D712" i="3"/>
  <c r="E712" i="3"/>
  <c r="F712" i="3"/>
  <c r="G712" i="3"/>
  <c r="B713" i="3"/>
  <c r="C713" i="3"/>
  <c r="D713" i="3"/>
  <c r="E713" i="3"/>
  <c r="F713" i="3"/>
  <c r="G713" i="3"/>
  <c r="B714" i="3"/>
  <c r="C714" i="3"/>
  <c r="D714" i="3"/>
  <c r="E714" i="3"/>
  <c r="F714" i="3"/>
  <c r="G714" i="3"/>
  <c r="B715" i="3"/>
  <c r="C715" i="3"/>
  <c r="D715" i="3"/>
  <c r="E715" i="3"/>
  <c r="F715" i="3"/>
  <c r="G715" i="3"/>
  <c r="B716" i="3"/>
  <c r="C716" i="3"/>
  <c r="D716" i="3"/>
  <c r="E716" i="3"/>
  <c r="F716" i="3"/>
  <c r="G716" i="3"/>
  <c r="B717" i="3"/>
  <c r="C717" i="3"/>
  <c r="D717" i="3"/>
  <c r="E717" i="3"/>
  <c r="F717" i="3"/>
  <c r="G717" i="3"/>
  <c r="B718" i="3"/>
  <c r="C718" i="3"/>
  <c r="D718" i="3"/>
  <c r="E718" i="3"/>
  <c r="F718" i="3"/>
  <c r="G718" i="3"/>
  <c r="B719" i="3"/>
  <c r="C719" i="3"/>
  <c r="D719" i="3"/>
  <c r="E719" i="3"/>
  <c r="F719" i="3"/>
  <c r="G719" i="3"/>
  <c r="B720" i="3"/>
  <c r="C720" i="3"/>
  <c r="D720" i="3"/>
  <c r="E720" i="3"/>
  <c r="F720" i="3"/>
  <c r="G720" i="3"/>
  <c r="B721" i="3"/>
  <c r="C721" i="3"/>
  <c r="D721" i="3"/>
  <c r="E721" i="3"/>
  <c r="F721" i="3"/>
  <c r="G721" i="3"/>
  <c r="B722" i="3"/>
  <c r="C722" i="3"/>
  <c r="D722" i="3"/>
  <c r="E722" i="3"/>
  <c r="F722" i="3"/>
  <c r="G722" i="3"/>
  <c r="B723" i="3"/>
  <c r="C723" i="3"/>
  <c r="D723" i="3"/>
  <c r="E723" i="3"/>
  <c r="F723" i="3"/>
  <c r="G723" i="3"/>
  <c r="B724" i="3"/>
  <c r="C724" i="3"/>
  <c r="D724" i="3"/>
  <c r="E724" i="3"/>
  <c r="F724" i="3"/>
  <c r="G724" i="3"/>
  <c r="B725" i="3"/>
  <c r="C725" i="3"/>
  <c r="D725" i="3"/>
  <c r="E725" i="3"/>
  <c r="F725" i="3"/>
  <c r="G725" i="3"/>
  <c r="B726" i="3"/>
  <c r="C726" i="3"/>
  <c r="D726" i="3"/>
  <c r="E726" i="3"/>
  <c r="F726" i="3"/>
  <c r="G726" i="3"/>
  <c r="B727" i="3"/>
  <c r="C727" i="3"/>
  <c r="D727" i="3"/>
  <c r="E727" i="3"/>
  <c r="F727" i="3"/>
  <c r="G727" i="3"/>
  <c r="B728" i="3"/>
  <c r="C728" i="3"/>
  <c r="D728" i="3"/>
  <c r="E728" i="3"/>
  <c r="F728" i="3"/>
  <c r="G728" i="3"/>
  <c r="B729" i="3"/>
  <c r="C729" i="3"/>
  <c r="D729" i="3"/>
  <c r="E729" i="3"/>
  <c r="F729" i="3"/>
  <c r="G729" i="3"/>
  <c r="B730" i="3"/>
  <c r="C730" i="3"/>
  <c r="D730" i="3"/>
  <c r="E730" i="3"/>
  <c r="F730" i="3"/>
  <c r="G730" i="3"/>
  <c r="B731" i="3"/>
  <c r="C731" i="3"/>
  <c r="D731" i="3"/>
  <c r="E731" i="3"/>
  <c r="F731" i="3"/>
  <c r="G731" i="3"/>
  <c r="B732" i="3"/>
  <c r="C732" i="3"/>
  <c r="D732" i="3"/>
  <c r="E732" i="3"/>
  <c r="F732" i="3"/>
  <c r="G732" i="3"/>
  <c r="B733" i="3"/>
  <c r="C733" i="3"/>
  <c r="D733" i="3"/>
  <c r="E733" i="3"/>
  <c r="F733" i="3"/>
  <c r="G733" i="3"/>
  <c r="B734" i="3"/>
  <c r="C734" i="3"/>
  <c r="D734" i="3"/>
  <c r="E734" i="3"/>
  <c r="F734" i="3"/>
  <c r="G734" i="3"/>
  <c r="B735" i="3"/>
  <c r="C735" i="3"/>
  <c r="D735" i="3"/>
  <c r="E735" i="3"/>
  <c r="F735" i="3"/>
  <c r="G735" i="3"/>
  <c r="B736" i="3"/>
  <c r="C736" i="3"/>
  <c r="D736" i="3"/>
  <c r="E736" i="3"/>
  <c r="F736" i="3"/>
  <c r="G736" i="3"/>
  <c r="B737" i="3"/>
  <c r="C737" i="3"/>
  <c r="D737" i="3"/>
  <c r="E737" i="3"/>
  <c r="F737" i="3"/>
  <c r="G737" i="3"/>
  <c r="B738" i="3"/>
  <c r="C738" i="3"/>
  <c r="D738" i="3"/>
  <c r="E738" i="3"/>
  <c r="F738" i="3"/>
  <c r="G738" i="3"/>
  <c r="B739" i="3"/>
  <c r="C739" i="3"/>
  <c r="D739" i="3"/>
  <c r="E739" i="3"/>
  <c r="F739" i="3"/>
  <c r="G739" i="3"/>
  <c r="B740" i="3"/>
  <c r="C740" i="3"/>
  <c r="D740" i="3"/>
  <c r="E740" i="3"/>
  <c r="F740" i="3"/>
  <c r="G740" i="3"/>
  <c r="B741" i="3"/>
  <c r="C741" i="3"/>
  <c r="D741" i="3"/>
  <c r="E741" i="3"/>
  <c r="F741" i="3"/>
  <c r="G741" i="3"/>
  <c r="B742" i="3"/>
  <c r="C742" i="3"/>
  <c r="D742" i="3"/>
  <c r="E742" i="3"/>
  <c r="F742" i="3"/>
  <c r="G742" i="3"/>
  <c r="B743" i="3"/>
  <c r="C743" i="3"/>
  <c r="D743" i="3"/>
  <c r="E743" i="3"/>
  <c r="F743" i="3"/>
  <c r="G743" i="3"/>
  <c r="B744" i="3"/>
  <c r="C744" i="3"/>
  <c r="D744" i="3"/>
  <c r="E744" i="3"/>
  <c r="F744" i="3"/>
  <c r="G744" i="3"/>
  <c r="B745" i="3"/>
  <c r="C745" i="3"/>
  <c r="D745" i="3"/>
  <c r="E745" i="3"/>
  <c r="F745" i="3"/>
  <c r="G745" i="3"/>
  <c r="B746" i="3"/>
  <c r="C746" i="3"/>
  <c r="D746" i="3"/>
  <c r="E746" i="3"/>
  <c r="F746" i="3"/>
  <c r="G746" i="3"/>
  <c r="B747" i="3"/>
  <c r="C747" i="3"/>
  <c r="D747" i="3"/>
  <c r="E747" i="3"/>
  <c r="F747" i="3"/>
  <c r="G747" i="3"/>
  <c r="B748" i="3"/>
  <c r="C748" i="3"/>
  <c r="D748" i="3"/>
  <c r="E748" i="3"/>
  <c r="F748" i="3"/>
  <c r="G748" i="3"/>
  <c r="B749" i="3"/>
  <c r="C749" i="3"/>
  <c r="D749" i="3"/>
  <c r="E749" i="3"/>
  <c r="F749" i="3"/>
  <c r="G749" i="3"/>
  <c r="B750" i="3"/>
  <c r="C750" i="3"/>
  <c r="D750" i="3"/>
  <c r="E750" i="3"/>
  <c r="F750" i="3"/>
  <c r="G750" i="3"/>
  <c r="B751" i="3"/>
  <c r="C751" i="3"/>
  <c r="D751" i="3"/>
  <c r="E751" i="3"/>
  <c r="F751" i="3"/>
  <c r="G751" i="3"/>
  <c r="B752" i="3"/>
  <c r="C752" i="3"/>
  <c r="D752" i="3"/>
  <c r="E752" i="3"/>
  <c r="F752" i="3"/>
  <c r="G752" i="3"/>
  <c r="B753" i="3"/>
  <c r="C753" i="3"/>
  <c r="D753" i="3"/>
  <c r="E753" i="3"/>
  <c r="F753" i="3"/>
  <c r="G753" i="3"/>
  <c r="B754" i="3"/>
  <c r="C754" i="3"/>
  <c r="D754" i="3"/>
  <c r="E754" i="3"/>
  <c r="F754" i="3"/>
  <c r="G754" i="3"/>
  <c r="B755" i="3"/>
  <c r="C755" i="3"/>
  <c r="D755" i="3"/>
  <c r="E755" i="3"/>
  <c r="F755" i="3"/>
  <c r="G755" i="3"/>
  <c r="B756" i="3"/>
  <c r="C756" i="3"/>
  <c r="D756" i="3"/>
  <c r="E756" i="3"/>
  <c r="F756" i="3"/>
  <c r="G756" i="3"/>
  <c r="B757" i="3"/>
  <c r="C757" i="3"/>
  <c r="D757" i="3"/>
  <c r="E757" i="3"/>
  <c r="F757" i="3"/>
  <c r="G757" i="3"/>
  <c r="B758" i="3"/>
  <c r="C758" i="3"/>
  <c r="D758" i="3"/>
  <c r="E758" i="3"/>
  <c r="F758" i="3"/>
  <c r="G758" i="3"/>
  <c r="B759" i="3"/>
  <c r="C759" i="3"/>
  <c r="D759" i="3"/>
  <c r="E759" i="3"/>
  <c r="F759" i="3"/>
  <c r="G759" i="3"/>
  <c r="B760" i="3"/>
  <c r="C760" i="3"/>
  <c r="D760" i="3"/>
  <c r="E760" i="3"/>
  <c r="F760" i="3"/>
  <c r="G760" i="3"/>
  <c r="B761" i="3"/>
  <c r="C761" i="3"/>
  <c r="D761" i="3"/>
  <c r="E761" i="3"/>
  <c r="F761" i="3"/>
  <c r="G761" i="3"/>
  <c r="B762" i="3"/>
  <c r="C762" i="3"/>
  <c r="D762" i="3"/>
  <c r="E762" i="3"/>
  <c r="F762" i="3"/>
  <c r="G762" i="3"/>
  <c r="B763" i="3"/>
  <c r="C763" i="3"/>
  <c r="D763" i="3"/>
  <c r="E763" i="3"/>
  <c r="F763" i="3"/>
  <c r="G763" i="3"/>
  <c r="B764" i="3"/>
  <c r="C764" i="3"/>
  <c r="D764" i="3"/>
  <c r="E764" i="3"/>
  <c r="F764" i="3"/>
  <c r="G764" i="3"/>
  <c r="B765" i="3"/>
  <c r="C765" i="3"/>
  <c r="D765" i="3"/>
  <c r="E765" i="3"/>
  <c r="F765" i="3"/>
  <c r="G765" i="3"/>
  <c r="B766" i="3"/>
  <c r="C766" i="3"/>
  <c r="D766" i="3"/>
  <c r="E766" i="3"/>
  <c r="F766" i="3"/>
  <c r="G766" i="3"/>
  <c r="B767" i="3"/>
  <c r="C767" i="3"/>
  <c r="D767" i="3"/>
  <c r="E767" i="3"/>
  <c r="F767" i="3"/>
  <c r="G767" i="3"/>
  <c r="B768" i="3"/>
  <c r="C768" i="3"/>
  <c r="D768" i="3"/>
  <c r="E768" i="3"/>
  <c r="F768" i="3"/>
  <c r="G768" i="3"/>
  <c r="B769" i="3"/>
  <c r="C769" i="3"/>
  <c r="D769" i="3"/>
  <c r="E769" i="3"/>
  <c r="F769" i="3"/>
  <c r="G769" i="3"/>
  <c r="B770" i="3"/>
  <c r="C770" i="3"/>
  <c r="D770" i="3"/>
  <c r="E770" i="3"/>
  <c r="F770" i="3"/>
  <c r="G770" i="3"/>
  <c r="B771" i="3"/>
  <c r="C771" i="3"/>
  <c r="D771" i="3"/>
  <c r="E771" i="3"/>
  <c r="F771" i="3"/>
  <c r="G771" i="3"/>
  <c r="B772" i="3"/>
  <c r="C772" i="3"/>
  <c r="D772" i="3"/>
  <c r="E772" i="3"/>
  <c r="F772" i="3"/>
  <c r="G772" i="3"/>
  <c r="B773" i="3"/>
  <c r="C773" i="3"/>
  <c r="D773" i="3"/>
  <c r="E773" i="3"/>
  <c r="F773" i="3"/>
  <c r="G773" i="3"/>
  <c r="B774" i="3"/>
  <c r="C774" i="3"/>
  <c r="D774" i="3"/>
  <c r="E774" i="3"/>
  <c r="F774" i="3"/>
  <c r="G774" i="3"/>
  <c r="B775" i="3"/>
  <c r="C775" i="3"/>
  <c r="D775" i="3"/>
  <c r="E775" i="3"/>
  <c r="F775" i="3"/>
  <c r="G775" i="3"/>
  <c r="B776" i="3"/>
  <c r="C776" i="3"/>
  <c r="D776" i="3"/>
  <c r="E776" i="3"/>
  <c r="F776" i="3"/>
  <c r="G776" i="3"/>
  <c r="B777" i="3"/>
  <c r="C777" i="3"/>
  <c r="D777" i="3"/>
  <c r="E777" i="3"/>
  <c r="F777" i="3"/>
  <c r="G777" i="3"/>
  <c r="B778" i="3"/>
  <c r="C778" i="3"/>
  <c r="D778" i="3"/>
  <c r="E778" i="3"/>
  <c r="F778" i="3"/>
  <c r="G778" i="3"/>
  <c r="B779" i="3"/>
  <c r="C779" i="3"/>
  <c r="D779" i="3"/>
  <c r="E779" i="3"/>
  <c r="F779" i="3"/>
  <c r="G779" i="3"/>
  <c r="B780" i="3"/>
  <c r="C780" i="3"/>
  <c r="D780" i="3"/>
  <c r="E780" i="3"/>
  <c r="F780" i="3"/>
  <c r="G780" i="3"/>
  <c r="B781" i="3"/>
  <c r="C781" i="3"/>
  <c r="D781" i="3"/>
  <c r="E781" i="3"/>
  <c r="F781" i="3"/>
  <c r="G781" i="3"/>
  <c r="B782" i="3"/>
  <c r="C782" i="3"/>
  <c r="D782" i="3"/>
  <c r="E782" i="3"/>
  <c r="F782" i="3"/>
  <c r="G782" i="3"/>
  <c r="B783" i="3"/>
  <c r="C783" i="3"/>
  <c r="D783" i="3"/>
  <c r="E783" i="3"/>
  <c r="F783" i="3"/>
  <c r="G783" i="3"/>
  <c r="B784" i="3"/>
  <c r="C784" i="3"/>
  <c r="D784" i="3"/>
  <c r="E784" i="3"/>
  <c r="F784" i="3"/>
  <c r="G784" i="3"/>
  <c r="B785" i="3"/>
  <c r="C785" i="3"/>
  <c r="D785" i="3"/>
  <c r="E785" i="3"/>
  <c r="F785" i="3"/>
  <c r="G785" i="3"/>
  <c r="F1307" i="2"/>
  <c r="E1307" i="2"/>
  <c r="D1307" i="2"/>
  <c r="C1307" i="2"/>
  <c r="B1307" i="2"/>
  <c r="F1306" i="2"/>
  <c r="E1306" i="2"/>
  <c r="D1306" i="2"/>
  <c r="C1306" i="2"/>
  <c r="B1306" i="2"/>
  <c r="F1305" i="2"/>
  <c r="E1305" i="2"/>
  <c r="D1305" i="2"/>
  <c r="C1305" i="2"/>
  <c r="B1305" i="2"/>
  <c r="F1304" i="2"/>
  <c r="E1304" i="2"/>
  <c r="D1304" i="2"/>
  <c r="C1304" i="2"/>
  <c r="B1304" i="2"/>
  <c r="F1303" i="2"/>
  <c r="E1303" i="2"/>
  <c r="D1303" i="2"/>
  <c r="C1303" i="2"/>
  <c r="B1303" i="2"/>
  <c r="F1302" i="2"/>
  <c r="E1302" i="2"/>
  <c r="D1302" i="2"/>
  <c r="C1302" i="2"/>
  <c r="B1302" i="2"/>
  <c r="F1301" i="2"/>
  <c r="E1301" i="2"/>
  <c r="D1301" i="2"/>
  <c r="C1301" i="2"/>
  <c r="B1301" i="2"/>
  <c r="F1300" i="2"/>
  <c r="E1300" i="2"/>
  <c r="D1300" i="2"/>
  <c r="C1300" i="2"/>
  <c r="B1300" i="2"/>
  <c r="F1299" i="2"/>
  <c r="E1299" i="2"/>
  <c r="D1299" i="2"/>
  <c r="C1299" i="2"/>
  <c r="B1299" i="2"/>
  <c r="F1298" i="2"/>
  <c r="E1298" i="2"/>
  <c r="D1298" i="2"/>
  <c r="C1298" i="2"/>
  <c r="B1298" i="2"/>
  <c r="F1297" i="2"/>
  <c r="E1297" i="2"/>
  <c r="D1297" i="2"/>
  <c r="C1297" i="2"/>
  <c r="B1297" i="2"/>
  <c r="F1296" i="2"/>
  <c r="E1296" i="2"/>
  <c r="D1296" i="2"/>
  <c r="C1296" i="2"/>
  <c r="B1296" i="2"/>
  <c r="F1295" i="2"/>
  <c r="E1295" i="2"/>
  <c r="D1295" i="2"/>
  <c r="C1295" i="2"/>
  <c r="B1295" i="2"/>
  <c r="F1294" i="2"/>
  <c r="E1294" i="2"/>
  <c r="D1294" i="2"/>
  <c r="C1294" i="2"/>
  <c r="B1294" i="2"/>
  <c r="F1293" i="2"/>
  <c r="E1293" i="2"/>
  <c r="D1293" i="2"/>
  <c r="C1293" i="2"/>
  <c r="B1293" i="2"/>
  <c r="F1292" i="2"/>
  <c r="E1292" i="2"/>
  <c r="D1292" i="2"/>
  <c r="C1292" i="2"/>
  <c r="B1292" i="2"/>
  <c r="F1291" i="2"/>
  <c r="E1291" i="2"/>
  <c r="D1291" i="2"/>
  <c r="C1291" i="2"/>
  <c r="B1291" i="2"/>
  <c r="F1290" i="2"/>
  <c r="E1290" i="2"/>
  <c r="D1290" i="2"/>
  <c r="C1290" i="2"/>
  <c r="B1290" i="2"/>
  <c r="F1289" i="2"/>
  <c r="E1289" i="2"/>
  <c r="D1289" i="2"/>
  <c r="C1289" i="2"/>
  <c r="B1289" i="2"/>
  <c r="F1288" i="2"/>
  <c r="E1288" i="2"/>
  <c r="D1288" i="2"/>
  <c r="C1288" i="2"/>
  <c r="B1288" i="2"/>
  <c r="F1287" i="2"/>
  <c r="E1287" i="2"/>
  <c r="D1287" i="2"/>
  <c r="C1287" i="2"/>
  <c r="B1287" i="2"/>
  <c r="F1286" i="2"/>
  <c r="E1286" i="2"/>
  <c r="D1286" i="2"/>
  <c r="C1286" i="2"/>
  <c r="B1286" i="2"/>
  <c r="F1285" i="2"/>
  <c r="E1285" i="2"/>
  <c r="D1285" i="2"/>
  <c r="C1285" i="2"/>
  <c r="B1285" i="2"/>
  <c r="F1284" i="2"/>
  <c r="E1284" i="2"/>
  <c r="D1284" i="2"/>
  <c r="C1284" i="2"/>
  <c r="B1284" i="2"/>
  <c r="F1283" i="2"/>
  <c r="E1283" i="2"/>
  <c r="D1283" i="2"/>
  <c r="C1283" i="2"/>
  <c r="B1283" i="2"/>
  <c r="F1282" i="2"/>
  <c r="E1282" i="2"/>
  <c r="D1282" i="2"/>
  <c r="C1282" i="2"/>
  <c r="B1282" i="2"/>
  <c r="F1281" i="2"/>
  <c r="E1281" i="2"/>
  <c r="D1281" i="2"/>
  <c r="C1281" i="2"/>
  <c r="B1281" i="2"/>
  <c r="F1280" i="2"/>
  <c r="E1280" i="2"/>
  <c r="D1280" i="2"/>
  <c r="C1280" i="2"/>
  <c r="B1280" i="2"/>
  <c r="F1279" i="2"/>
  <c r="E1279" i="2"/>
  <c r="D1279" i="2"/>
  <c r="C1279" i="2"/>
  <c r="B1279" i="2"/>
  <c r="F1278" i="2"/>
  <c r="E1278" i="2"/>
  <c r="D1278" i="2"/>
  <c r="C1278" i="2"/>
  <c r="B1278" i="2"/>
  <c r="F1277" i="2"/>
  <c r="E1277" i="2"/>
  <c r="D1277" i="2"/>
  <c r="C1277" i="2"/>
  <c r="B1277" i="2"/>
  <c r="F1276" i="2"/>
  <c r="E1276" i="2"/>
  <c r="D1276" i="2"/>
  <c r="C1276" i="2"/>
  <c r="B1276" i="2"/>
  <c r="F1275" i="2"/>
  <c r="E1275" i="2"/>
  <c r="D1275" i="2"/>
  <c r="C1275" i="2"/>
  <c r="B1275" i="2"/>
  <c r="F1274" i="2"/>
  <c r="E1274" i="2"/>
  <c r="D1274" i="2"/>
  <c r="C1274" i="2"/>
  <c r="B1274" i="2"/>
  <c r="F1273" i="2"/>
  <c r="E1273" i="2"/>
  <c r="D1273" i="2"/>
  <c r="C1273" i="2"/>
  <c r="B1273" i="2"/>
  <c r="F1272" i="2"/>
  <c r="E1272" i="2"/>
  <c r="D1272" i="2"/>
  <c r="C1272" i="2"/>
  <c r="B1272" i="2"/>
  <c r="F1271" i="2"/>
  <c r="E1271" i="2"/>
  <c r="D1271" i="2"/>
  <c r="C1271" i="2"/>
  <c r="B1271" i="2"/>
  <c r="F1270" i="2"/>
  <c r="E1270" i="2"/>
  <c r="D1270" i="2"/>
  <c r="C1270" i="2"/>
  <c r="B1270" i="2"/>
  <c r="F1269" i="2"/>
  <c r="E1269" i="2"/>
  <c r="D1269" i="2"/>
  <c r="C1269" i="2"/>
  <c r="B1269" i="2"/>
  <c r="F1268" i="2"/>
  <c r="E1268" i="2"/>
  <c r="D1268" i="2"/>
  <c r="C1268" i="2"/>
  <c r="B1268" i="2"/>
  <c r="F1267" i="2"/>
  <c r="E1267" i="2"/>
  <c r="D1267" i="2"/>
  <c r="C1267" i="2"/>
  <c r="B1267" i="2"/>
  <c r="F1266" i="2"/>
  <c r="E1266" i="2"/>
  <c r="D1266" i="2"/>
  <c r="C1266" i="2"/>
  <c r="B1266" i="2"/>
  <c r="F1265" i="2"/>
  <c r="E1265" i="2"/>
  <c r="D1265" i="2"/>
  <c r="C1265" i="2"/>
  <c r="B1265" i="2"/>
  <c r="F1264" i="2"/>
  <c r="E1264" i="2"/>
  <c r="D1264" i="2"/>
  <c r="C1264" i="2"/>
  <c r="B1264" i="2"/>
  <c r="F1263" i="2"/>
  <c r="E1263" i="2"/>
  <c r="D1263" i="2"/>
  <c r="C1263" i="2"/>
  <c r="B1263" i="2"/>
  <c r="F1262" i="2"/>
  <c r="E1262" i="2"/>
  <c r="D1262" i="2"/>
  <c r="C1262" i="2"/>
  <c r="B1262" i="2"/>
  <c r="F1261" i="2"/>
  <c r="E1261" i="2"/>
  <c r="D1261" i="2"/>
  <c r="C1261" i="2"/>
  <c r="B1261" i="2"/>
  <c r="F1260" i="2"/>
  <c r="E1260" i="2"/>
  <c r="D1260" i="2"/>
  <c r="C1260" i="2"/>
  <c r="B1260" i="2"/>
  <c r="F1259" i="2"/>
  <c r="E1259" i="2"/>
  <c r="D1259" i="2"/>
  <c r="C1259" i="2"/>
  <c r="B1259" i="2"/>
  <c r="F1258" i="2"/>
  <c r="E1258" i="2"/>
  <c r="D1258" i="2"/>
  <c r="C1258" i="2"/>
  <c r="B1258" i="2"/>
  <c r="F1257" i="2"/>
  <c r="E1257" i="2"/>
  <c r="D1257" i="2"/>
  <c r="C1257" i="2"/>
  <c r="B1257" i="2"/>
  <c r="F1256" i="2"/>
  <c r="E1256" i="2"/>
  <c r="D1256" i="2"/>
  <c r="C1256" i="2"/>
  <c r="B1256" i="2"/>
  <c r="F1255" i="2"/>
  <c r="E1255" i="2"/>
  <c r="D1255" i="2"/>
  <c r="C1255" i="2"/>
  <c r="B1255" i="2"/>
  <c r="F1254" i="2"/>
  <c r="E1254" i="2"/>
  <c r="D1254" i="2"/>
  <c r="C1254" i="2"/>
  <c r="B1254" i="2"/>
  <c r="F1253" i="2"/>
  <c r="E1253" i="2"/>
  <c r="D1253" i="2"/>
  <c r="C1253" i="2"/>
  <c r="B1253" i="2"/>
  <c r="F1252" i="2"/>
  <c r="E1252" i="2"/>
  <c r="D1252" i="2"/>
  <c r="C1252" i="2"/>
  <c r="B1252" i="2"/>
  <c r="F1251" i="2"/>
  <c r="E1251" i="2"/>
  <c r="D1251" i="2"/>
  <c r="C1251" i="2"/>
  <c r="B1251" i="2"/>
  <c r="F1250" i="2"/>
  <c r="E1250" i="2"/>
  <c r="D1250" i="2"/>
  <c r="C1250" i="2"/>
  <c r="B1250" i="2"/>
  <c r="F1249" i="2"/>
  <c r="E1249" i="2"/>
  <c r="D1249" i="2"/>
  <c r="C1249" i="2"/>
  <c r="B1249" i="2"/>
  <c r="F1248" i="2"/>
  <c r="E1248" i="2"/>
  <c r="D1248" i="2"/>
  <c r="C1248" i="2"/>
  <c r="B1248" i="2"/>
  <c r="F1247" i="2"/>
  <c r="E1247" i="2"/>
  <c r="D1247" i="2"/>
  <c r="C1247" i="2"/>
  <c r="B1247" i="2"/>
  <c r="F1246" i="2"/>
  <c r="E1246" i="2"/>
  <c r="D1246" i="2"/>
  <c r="C1246" i="2"/>
  <c r="B1246" i="2"/>
  <c r="F1245" i="2"/>
  <c r="E1245" i="2"/>
  <c r="D1245" i="2"/>
  <c r="C1245" i="2"/>
  <c r="B1245" i="2"/>
  <c r="F1244" i="2"/>
  <c r="E1244" i="2"/>
  <c r="D1244" i="2"/>
  <c r="C1244" i="2"/>
  <c r="B1244" i="2"/>
  <c r="F1243" i="2"/>
  <c r="E1243" i="2"/>
  <c r="D1243" i="2"/>
  <c r="C1243" i="2"/>
  <c r="B1243" i="2"/>
  <c r="F1242" i="2"/>
  <c r="E1242" i="2"/>
  <c r="D1242" i="2"/>
  <c r="C1242" i="2"/>
  <c r="B1242" i="2"/>
  <c r="F1241" i="2"/>
  <c r="E1241" i="2"/>
  <c r="D1241" i="2"/>
  <c r="C1241" i="2"/>
  <c r="B1241" i="2"/>
  <c r="F1240" i="2"/>
  <c r="E1240" i="2"/>
  <c r="D1240" i="2"/>
  <c r="C1240" i="2"/>
  <c r="B1240" i="2"/>
  <c r="F1239" i="2"/>
  <c r="E1239" i="2"/>
  <c r="D1239" i="2"/>
  <c r="C1239" i="2"/>
  <c r="B1239" i="2"/>
  <c r="F1238" i="2"/>
  <c r="E1238" i="2"/>
  <c r="D1238" i="2"/>
  <c r="C1238" i="2"/>
  <c r="B1238" i="2"/>
  <c r="F1237" i="2"/>
  <c r="E1237" i="2"/>
  <c r="D1237" i="2"/>
  <c r="C1237" i="2"/>
  <c r="B1237" i="2"/>
  <c r="F1236" i="2"/>
  <c r="E1236" i="2"/>
  <c r="D1236" i="2"/>
  <c r="C1236" i="2"/>
  <c r="B1236" i="2"/>
  <c r="F1235" i="2"/>
  <c r="E1235" i="2"/>
  <c r="D1235" i="2"/>
  <c r="C1235" i="2"/>
  <c r="B1235" i="2"/>
  <c r="F1234" i="2"/>
  <c r="E1234" i="2"/>
  <c r="D1234" i="2"/>
  <c r="C1234" i="2"/>
  <c r="B1234" i="2"/>
  <c r="F1233" i="2"/>
  <c r="E1233" i="2"/>
  <c r="D1233" i="2"/>
  <c r="C1233" i="2"/>
  <c r="B1233" i="2"/>
  <c r="F1232" i="2"/>
  <c r="E1232" i="2"/>
  <c r="D1232" i="2"/>
  <c r="C1232" i="2"/>
  <c r="B1232" i="2"/>
  <c r="F1231" i="2"/>
  <c r="E1231" i="2"/>
  <c r="D1231" i="2"/>
  <c r="C1231" i="2"/>
  <c r="B1231" i="2"/>
  <c r="F1230" i="2"/>
  <c r="E1230" i="2"/>
  <c r="D1230" i="2"/>
  <c r="C1230" i="2"/>
  <c r="B1230" i="2"/>
  <c r="F1229" i="2"/>
  <c r="E1229" i="2"/>
  <c r="D1229" i="2"/>
  <c r="C1229" i="2"/>
  <c r="B1229" i="2"/>
  <c r="F1228" i="2"/>
  <c r="E1228" i="2"/>
  <c r="D1228" i="2"/>
  <c r="C1228" i="2"/>
  <c r="B1228" i="2"/>
  <c r="F1227" i="2"/>
  <c r="E1227" i="2"/>
  <c r="D1227" i="2"/>
  <c r="C1227" i="2"/>
  <c r="B1227" i="2"/>
  <c r="F1226" i="2"/>
  <c r="E1226" i="2"/>
  <c r="D1226" i="2"/>
  <c r="C1226" i="2"/>
  <c r="B1226" i="2"/>
  <c r="F1225" i="2"/>
  <c r="E1225" i="2"/>
  <c r="D1225" i="2"/>
  <c r="C1225" i="2"/>
  <c r="B1225" i="2"/>
  <c r="F1224" i="2"/>
  <c r="E1224" i="2"/>
  <c r="D1224" i="2"/>
  <c r="C1224" i="2"/>
  <c r="B1224" i="2"/>
  <c r="F1223" i="2"/>
  <c r="E1223" i="2"/>
  <c r="D1223" i="2"/>
  <c r="C1223" i="2"/>
  <c r="B1223" i="2"/>
  <c r="F1222" i="2"/>
  <c r="E1222" i="2"/>
  <c r="D1222" i="2"/>
  <c r="C1222" i="2"/>
  <c r="B1222" i="2"/>
  <c r="F1221" i="2"/>
  <c r="E1221" i="2"/>
  <c r="D1221" i="2"/>
  <c r="C1221" i="2"/>
  <c r="B1221" i="2"/>
  <c r="F1220" i="2"/>
  <c r="E1220" i="2"/>
  <c r="D1220" i="2"/>
  <c r="C1220" i="2"/>
  <c r="B1220" i="2"/>
  <c r="F1219" i="2"/>
  <c r="E1219" i="2"/>
  <c r="D1219" i="2"/>
  <c r="C1219" i="2"/>
  <c r="B1219" i="2"/>
  <c r="F1218" i="2"/>
  <c r="E1218" i="2"/>
  <c r="D1218" i="2"/>
  <c r="C1218" i="2"/>
  <c r="B1218" i="2"/>
  <c r="F1217" i="2"/>
  <c r="E1217" i="2"/>
  <c r="D1217" i="2"/>
  <c r="C1217" i="2"/>
  <c r="B1217" i="2"/>
  <c r="F1216" i="2"/>
  <c r="E1216" i="2"/>
  <c r="D1216" i="2"/>
  <c r="C1216" i="2"/>
  <c r="B1216" i="2"/>
  <c r="F1215" i="2"/>
  <c r="E1215" i="2"/>
  <c r="D1215" i="2"/>
  <c r="C1215" i="2"/>
  <c r="B1215" i="2"/>
  <c r="F1214" i="2"/>
  <c r="E1214" i="2"/>
  <c r="D1214" i="2"/>
  <c r="C1214" i="2"/>
  <c r="B1214" i="2"/>
  <c r="F1213" i="2"/>
  <c r="E1213" i="2"/>
  <c r="D1213" i="2"/>
  <c r="C1213" i="2"/>
  <c r="B1213" i="2"/>
  <c r="F1212" i="2"/>
  <c r="E1212" i="2"/>
  <c r="D1212" i="2"/>
  <c r="C1212" i="2"/>
  <c r="B1212" i="2"/>
  <c r="F1211" i="2"/>
  <c r="E1211" i="2"/>
  <c r="D1211" i="2"/>
  <c r="C1211" i="2"/>
  <c r="B1211" i="2"/>
  <c r="F1210" i="2"/>
  <c r="E1210" i="2"/>
  <c r="D1210" i="2"/>
  <c r="C1210" i="2"/>
  <c r="B1210" i="2"/>
  <c r="F1209" i="2"/>
  <c r="E1209" i="2"/>
  <c r="D1209" i="2"/>
  <c r="C1209" i="2"/>
  <c r="B1209" i="2"/>
  <c r="F1208" i="2"/>
  <c r="E1208" i="2"/>
  <c r="D1208" i="2"/>
  <c r="C1208" i="2"/>
  <c r="B1208" i="2"/>
  <c r="F1207" i="2"/>
  <c r="E1207" i="2"/>
  <c r="D1207" i="2"/>
  <c r="C1207" i="2"/>
  <c r="B1207" i="2"/>
  <c r="F1206" i="2"/>
  <c r="E1206" i="2"/>
  <c r="D1206" i="2"/>
  <c r="C1206" i="2"/>
  <c r="B1206" i="2"/>
  <c r="F1205" i="2"/>
  <c r="E1205" i="2"/>
  <c r="D1205" i="2"/>
  <c r="C1205" i="2"/>
  <c r="B1205" i="2"/>
  <c r="F1204" i="2"/>
  <c r="E1204" i="2"/>
  <c r="D1204" i="2"/>
  <c r="C1204" i="2"/>
  <c r="B1204" i="2"/>
  <c r="F1203" i="2"/>
  <c r="E1203" i="2"/>
  <c r="D1203" i="2"/>
  <c r="C1203" i="2"/>
  <c r="B1203" i="2"/>
  <c r="F1202" i="2"/>
  <c r="E1202" i="2"/>
  <c r="D1202" i="2"/>
  <c r="C1202" i="2"/>
  <c r="B1202" i="2"/>
  <c r="F1201" i="2"/>
  <c r="E1201" i="2"/>
  <c r="D1201" i="2"/>
  <c r="C1201" i="2"/>
  <c r="B1201" i="2"/>
  <c r="F1200" i="2"/>
  <c r="E1200" i="2"/>
  <c r="D1200" i="2"/>
  <c r="C1200" i="2"/>
  <c r="B1200" i="2"/>
  <c r="F1199" i="2"/>
  <c r="E1199" i="2"/>
  <c r="D1199" i="2"/>
  <c r="C1199" i="2"/>
  <c r="B1199" i="2"/>
  <c r="F1198" i="2"/>
  <c r="E1198" i="2"/>
  <c r="D1198" i="2"/>
  <c r="C1198" i="2"/>
  <c r="B1198" i="2"/>
  <c r="F1197" i="2"/>
  <c r="E1197" i="2"/>
  <c r="D1197" i="2"/>
  <c r="C1197" i="2"/>
  <c r="B1197" i="2"/>
  <c r="F1196" i="2"/>
  <c r="E1196" i="2"/>
  <c r="D1196" i="2"/>
  <c r="C1196" i="2"/>
  <c r="B1196" i="2"/>
  <c r="F1195" i="2"/>
  <c r="E1195" i="2"/>
  <c r="D1195" i="2"/>
  <c r="C1195" i="2"/>
  <c r="B1195" i="2"/>
  <c r="F1194" i="2"/>
  <c r="E1194" i="2"/>
  <c r="D1194" i="2"/>
  <c r="C1194" i="2"/>
  <c r="B1194" i="2"/>
  <c r="F1193" i="2"/>
  <c r="E1193" i="2"/>
  <c r="D1193" i="2"/>
  <c r="C1193" i="2"/>
  <c r="B1193" i="2"/>
  <c r="F1192" i="2"/>
  <c r="E1192" i="2"/>
  <c r="D1192" i="2"/>
  <c r="C1192" i="2"/>
  <c r="B1192" i="2"/>
  <c r="F1191" i="2"/>
  <c r="E1191" i="2"/>
  <c r="D1191" i="2"/>
  <c r="C1191" i="2"/>
  <c r="B1191" i="2"/>
  <c r="F1190" i="2"/>
  <c r="E1190" i="2"/>
  <c r="D1190" i="2"/>
  <c r="C1190" i="2"/>
  <c r="B1190" i="2"/>
  <c r="F1189" i="2"/>
  <c r="E1189" i="2"/>
  <c r="D1189" i="2"/>
  <c r="C1189" i="2"/>
  <c r="B1189" i="2"/>
  <c r="F1188" i="2"/>
  <c r="E1188" i="2"/>
  <c r="D1188" i="2"/>
  <c r="C1188" i="2"/>
  <c r="B1188" i="2"/>
  <c r="F1187" i="2"/>
  <c r="E1187" i="2"/>
  <c r="D1187" i="2"/>
  <c r="C1187" i="2"/>
  <c r="B1187" i="2"/>
  <c r="F1186" i="2"/>
  <c r="E1186" i="2"/>
  <c r="D1186" i="2"/>
  <c r="C1186" i="2"/>
  <c r="B1186" i="2"/>
  <c r="F1185" i="2"/>
  <c r="E1185" i="2"/>
  <c r="D1185" i="2"/>
  <c r="C1185" i="2"/>
  <c r="B1185" i="2"/>
  <c r="F1184" i="2"/>
  <c r="E1184" i="2"/>
  <c r="D1184" i="2"/>
  <c r="C1184" i="2"/>
  <c r="B1184" i="2"/>
  <c r="F1183" i="2"/>
  <c r="E1183" i="2"/>
  <c r="D1183" i="2"/>
  <c r="C1183" i="2"/>
  <c r="B1183" i="2"/>
  <c r="F1182" i="2"/>
  <c r="E1182" i="2"/>
  <c r="D1182" i="2"/>
  <c r="C1182" i="2"/>
  <c r="B1182" i="2"/>
  <c r="F1181" i="2"/>
  <c r="E1181" i="2"/>
  <c r="D1181" i="2"/>
  <c r="C1181" i="2"/>
  <c r="B1181" i="2"/>
  <c r="F1180" i="2"/>
  <c r="E1180" i="2"/>
  <c r="D1180" i="2"/>
  <c r="C1180" i="2"/>
  <c r="B1180" i="2"/>
  <c r="F1179" i="2"/>
  <c r="E1179" i="2"/>
  <c r="D1179" i="2"/>
  <c r="C1179" i="2"/>
  <c r="B1179" i="2"/>
  <c r="F1178" i="2"/>
  <c r="E1178" i="2"/>
  <c r="D1178" i="2"/>
  <c r="C1178" i="2"/>
  <c r="B1178" i="2"/>
  <c r="F1177" i="2"/>
  <c r="E1177" i="2"/>
  <c r="D1177" i="2"/>
  <c r="C1177" i="2"/>
  <c r="B1177" i="2"/>
  <c r="F1176" i="2"/>
  <c r="E1176" i="2"/>
  <c r="D1176" i="2"/>
  <c r="C1176" i="2"/>
  <c r="B1176" i="2"/>
  <c r="F1175" i="2"/>
  <c r="E1175" i="2"/>
  <c r="D1175" i="2"/>
  <c r="C1175" i="2"/>
  <c r="B1175" i="2"/>
  <c r="F1174" i="2"/>
  <c r="E1174" i="2"/>
  <c r="D1174" i="2"/>
  <c r="C1174" i="2"/>
  <c r="B1174" i="2"/>
  <c r="F1173" i="2"/>
  <c r="E1173" i="2"/>
  <c r="D1173" i="2"/>
  <c r="C1173" i="2"/>
  <c r="B1173" i="2"/>
  <c r="F1172" i="2"/>
  <c r="E1172" i="2"/>
  <c r="D1172" i="2"/>
  <c r="C1172" i="2"/>
  <c r="B1172" i="2"/>
  <c r="F1171" i="2"/>
  <c r="E1171" i="2"/>
  <c r="D1171" i="2"/>
  <c r="C1171" i="2"/>
  <c r="B1171" i="2"/>
  <c r="F1170" i="2"/>
  <c r="E1170" i="2"/>
  <c r="D1170" i="2"/>
  <c r="C1170" i="2"/>
  <c r="B1170" i="2"/>
  <c r="F1169" i="2"/>
  <c r="E1169" i="2"/>
  <c r="D1169" i="2"/>
  <c r="C1169" i="2"/>
  <c r="B1169" i="2"/>
  <c r="F1168" i="2"/>
  <c r="E1168" i="2"/>
  <c r="D1168" i="2"/>
  <c r="C1168" i="2"/>
  <c r="B1168" i="2"/>
  <c r="F1167" i="2"/>
  <c r="E1167" i="2"/>
  <c r="D1167" i="2"/>
  <c r="C1167" i="2"/>
  <c r="B1167" i="2"/>
  <c r="F1166" i="2"/>
  <c r="E1166" i="2"/>
  <c r="D1166" i="2"/>
  <c r="C1166" i="2"/>
  <c r="B1166" i="2"/>
  <c r="F1165" i="2"/>
  <c r="E1165" i="2"/>
  <c r="D1165" i="2"/>
  <c r="C1165" i="2"/>
  <c r="B1165" i="2"/>
  <c r="F1164" i="2"/>
  <c r="E1164" i="2"/>
  <c r="D1164" i="2"/>
  <c r="C1164" i="2"/>
  <c r="B1164" i="2"/>
  <c r="F1163" i="2"/>
  <c r="E1163" i="2"/>
  <c r="D1163" i="2"/>
  <c r="C1163" i="2"/>
  <c r="B1163" i="2"/>
  <c r="F1162" i="2"/>
  <c r="E1162" i="2"/>
  <c r="D1162" i="2"/>
  <c r="C1162" i="2"/>
  <c r="B1162" i="2"/>
  <c r="F1161" i="2"/>
  <c r="E1161" i="2"/>
  <c r="D1161" i="2"/>
  <c r="C1161" i="2"/>
  <c r="B1161" i="2"/>
  <c r="F1160" i="2"/>
  <c r="E1160" i="2"/>
  <c r="D1160" i="2"/>
  <c r="C1160" i="2"/>
  <c r="B1160" i="2"/>
  <c r="F1159" i="2"/>
  <c r="E1159" i="2"/>
  <c r="D1159" i="2"/>
  <c r="C1159" i="2"/>
  <c r="B1159" i="2"/>
  <c r="F1158" i="2"/>
  <c r="E1158" i="2"/>
  <c r="D1158" i="2"/>
  <c r="C1158" i="2"/>
  <c r="B1158" i="2"/>
  <c r="F1157" i="2"/>
  <c r="E1157" i="2"/>
  <c r="D1157" i="2"/>
  <c r="C1157" i="2"/>
  <c r="B1157" i="2"/>
  <c r="F1156" i="2"/>
  <c r="E1156" i="2"/>
  <c r="D1156" i="2"/>
  <c r="C1156" i="2"/>
  <c r="B1156" i="2"/>
  <c r="F1155" i="2"/>
  <c r="E1155" i="2"/>
  <c r="D1155" i="2"/>
  <c r="C1155" i="2"/>
  <c r="B1155" i="2"/>
  <c r="F1154" i="2"/>
  <c r="E1154" i="2"/>
  <c r="D1154" i="2"/>
  <c r="C1154" i="2"/>
  <c r="B1154" i="2"/>
  <c r="F1153" i="2"/>
  <c r="E1153" i="2"/>
  <c r="D1153" i="2"/>
  <c r="C1153" i="2"/>
  <c r="B1153" i="2"/>
  <c r="F1152" i="2"/>
  <c r="E1152" i="2"/>
  <c r="D1152" i="2"/>
  <c r="C1152" i="2"/>
  <c r="B1152" i="2"/>
  <c r="F1151" i="2"/>
  <c r="E1151" i="2"/>
  <c r="D1151" i="2"/>
  <c r="C1151" i="2"/>
  <c r="B1151" i="2"/>
  <c r="F1150" i="2"/>
  <c r="E1150" i="2"/>
  <c r="D1150" i="2"/>
  <c r="C1150" i="2"/>
  <c r="B1150" i="2"/>
  <c r="F1149" i="2"/>
  <c r="E1149" i="2"/>
  <c r="D1149" i="2"/>
  <c r="C1149" i="2"/>
  <c r="B1149" i="2"/>
  <c r="F1148" i="2"/>
  <c r="E1148" i="2"/>
  <c r="D1148" i="2"/>
  <c r="C1148" i="2"/>
  <c r="B1148" i="2"/>
  <c r="F1147" i="2"/>
  <c r="E1147" i="2"/>
  <c r="D1147" i="2"/>
  <c r="C1147" i="2"/>
  <c r="B1147" i="2"/>
  <c r="F1146" i="2"/>
  <c r="E1146" i="2"/>
  <c r="D1146" i="2"/>
  <c r="C1146" i="2"/>
  <c r="B1146" i="2"/>
  <c r="F1145" i="2"/>
  <c r="E1145" i="2"/>
  <c r="D1145" i="2"/>
  <c r="C1145" i="2"/>
  <c r="B1145" i="2"/>
  <c r="F1144" i="2"/>
  <c r="E1144" i="2"/>
  <c r="D1144" i="2"/>
  <c r="C1144" i="2"/>
  <c r="B1144" i="2"/>
  <c r="F1143" i="2"/>
  <c r="E1143" i="2"/>
  <c r="D1143" i="2"/>
  <c r="C1143" i="2"/>
  <c r="B1143" i="2"/>
  <c r="F1142" i="2"/>
  <c r="E1142" i="2"/>
  <c r="D1142" i="2"/>
  <c r="C1142" i="2"/>
  <c r="B1142" i="2"/>
  <c r="F1141" i="2"/>
  <c r="E1141" i="2"/>
  <c r="D1141" i="2"/>
  <c r="C1141" i="2"/>
  <c r="B1141" i="2"/>
  <c r="F1140" i="2"/>
  <c r="E1140" i="2"/>
  <c r="D1140" i="2"/>
  <c r="C1140" i="2"/>
  <c r="B1140" i="2"/>
  <c r="F1139" i="2"/>
  <c r="E1139" i="2"/>
  <c r="D1139" i="2"/>
  <c r="C1139" i="2"/>
  <c r="B1139" i="2"/>
  <c r="F1138" i="2"/>
  <c r="E1138" i="2"/>
  <c r="D1138" i="2"/>
  <c r="C1138" i="2"/>
  <c r="B1138" i="2"/>
  <c r="F1137" i="2"/>
  <c r="E1137" i="2"/>
  <c r="D1137" i="2"/>
  <c r="C1137" i="2"/>
  <c r="B1137" i="2"/>
  <c r="F1136" i="2"/>
  <c r="E1136" i="2"/>
  <c r="D1136" i="2"/>
  <c r="C1136" i="2"/>
  <c r="B1136" i="2"/>
  <c r="F1135" i="2"/>
  <c r="E1135" i="2"/>
  <c r="D1135" i="2"/>
  <c r="C1135" i="2"/>
  <c r="B1135" i="2"/>
  <c r="F1134" i="2"/>
  <c r="E1134" i="2"/>
  <c r="D1134" i="2"/>
  <c r="C1134" i="2"/>
  <c r="B1134" i="2"/>
  <c r="F1133" i="2"/>
  <c r="E1133" i="2"/>
  <c r="D1133" i="2"/>
  <c r="C1133" i="2"/>
  <c r="B1133" i="2"/>
  <c r="F1132" i="2"/>
  <c r="E1132" i="2"/>
  <c r="D1132" i="2"/>
  <c r="C1132" i="2"/>
  <c r="B1132" i="2"/>
  <c r="F1131" i="2"/>
  <c r="E1131" i="2"/>
  <c r="D1131" i="2"/>
  <c r="C1131" i="2"/>
  <c r="B1131" i="2"/>
  <c r="F1130" i="2"/>
  <c r="E1130" i="2"/>
  <c r="D1130" i="2"/>
  <c r="C1130" i="2"/>
  <c r="B1130" i="2"/>
  <c r="F1129" i="2"/>
  <c r="E1129" i="2"/>
  <c r="D1129" i="2"/>
  <c r="C1129" i="2"/>
  <c r="B1129" i="2"/>
  <c r="F1128" i="2"/>
  <c r="E1128" i="2"/>
  <c r="D1128" i="2"/>
  <c r="C1128" i="2"/>
  <c r="B1128" i="2"/>
  <c r="F1127" i="2"/>
  <c r="E1127" i="2"/>
  <c r="D1127" i="2"/>
  <c r="C1127" i="2"/>
  <c r="B1127" i="2"/>
  <c r="F1126" i="2"/>
  <c r="E1126" i="2"/>
  <c r="D1126" i="2"/>
  <c r="C1126" i="2"/>
  <c r="B1126" i="2"/>
  <c r="F1125" i="2"/>
  <c r="E1125" i="2"/>
  <c r="D1125" i="2"/>
  <c r="C1125" i="2"/>
  <c r="B1125" i="2"/>
  <c r="F1124" i="2"/>
  <c r="E1124" i="2"/>
  <c r="D1124" i="2"/>
  <c r="C1124" i="2"/>
  <c r="B1124" i="2"/>
  <c r="F1123" i="2"/>
  <c r="E1123" i="2"/>
  <c r="D1123" i="2"/>
  <c r="C1123" i="2"/>
  <c r="B1123" i="2"/>
  <c r="F1122" i="2"/>
  <c r="E1122" i="2"/>
  <c r="D1122" i="2"/>
  <c r="C1122" i="2"/>
  <c r="B1122" i="2"/>
  <c r="F1121" i="2"/>
  <c r="E1121" i="2"/>
  <c r="D1121" i="2"/>
  <c r="C1121" i="2"/>
  <c r="B1121" i="2"/>
  <c r="F1120" i="2"/>
  <c r="E1120" i="2"/>
  <c r="D1120" i="2"/>
  <c r="C1120" i="2"/>
  <c r="B1120" i="2"/>
  <c r="F1119" i="2"/>
  <c r="E1119" i="2"/>
  <c r="D1119" i="2"/>
  <c r="C1119" i="2"/>
  <c r="B1119" i="2"/>
  <c r="F1118" i="2"/>
  <c r="E1118" i="2"/>
  <c r="D1118" i="2"/>
  <c r="C1118" i="2"/>
  <c r="B1118" i="2"/>
  <c r="F1117" i="2"/>
  <c r="E1117" i="2"/>
  <c r="D1117" i="2"/>
  <c r="C1117" i="2"/>
  <c r="B1117" i="2"/>
  <c r="F1116" i="2"/>
  <c r="E1116" i="2"/>
  <c r="D1116" i="2"/>
  <c r="C1116" i="2"/>
  <c r="B1116" i="2"/>
  <c r="F1115" i="2"/>
  <c r="E1115" i="2"/>
  <c r="D1115" i="2"/>
  <c r="C1115" i="2"/>
  <c r="B1115" i="2"/>
  <c r="F1114" i="2"/>
  <c r="E1114" i="2"/>
  <c r="D1114" i="2"/>
  <c r="C1114" i="2"/>
  <c r="B1114" i="2"/>
  <c r="F1113" i="2"/>
  <c r="E1113" i="2"/>
  <c r="D1113" i="2"/>
  <c r="C1113" i="2"/>
  <c r="B1113" i="2"/>
  <c r="F1112" i="2"/>
  <c r="E1112" i="2"/>
  <c r="D1112" i="2"/>
  <c r="C1112" i="2"/>
  <c r="B1112" i="2"/>
  <c r="F1111" i="2"/>
  <c r="E1111" i="2"/>
  <c r="D1111" i="2"/>
  <c r="C1111" i="2"/>
  <c r="B1111" i="2"/>
  <c r="F1110" i="2"/>
  <c r="E1110" i="2"/>
  <c r="D1110" i="2"/>
  <c r="C1110" i="2"/>
  <c r="B1110" i="2"/>
  <c r="F1109" i="2"/>
  <c r="E1109" i="2"/>
  <c r="D1109" i="2"/>
  <c r="C1109" i="2"/>
  <c r="B1109" i="2"/>
  <c r="F1108" i="2"/>
  <c r="E1108" i="2"/>
  <c r="D1108" i="2"/>
  <c r="C1108" i="2"/>
  <c r="B1108" i="2"/>
  <c r="F1107" i="2"/>
  <c r="E1107" i="2"/>
  <c r="D1107" i="2"/>
  <c r="C1107" i="2"/>
  <c r="B1107" i="2"/>
  <c r="F1106" i="2"/>
  <c r="E1106" i="2"/>
  <c r="D1106" i="2"/>
  <c r="C1106" i="2"/>
  <c r="B1106" i="2"/>
  <c r="F1105" i="2"/>
  <c r="E1105" i="2"/>
  <c r="D1105" i="2"/>
  <c r="C1105" i="2"/>
  <c r="B1105" i="2"/>
  <c r="F1104" i="2"/>
  <c r="E1104" i="2"/>
  <c r="D1104" i="2"/>
  <c r="C1104" i="2"/>
  <c r="B1104" i="2"/>
  <c r="F1103" i="2"/>
  <c r="E1103" i="2"/>
  <c r="D1103" i="2"/>
  <c r="C1103" i="2"/>
  <c r="B1103" i="2"/>
  <c r="F1102" i="2"/>
  <c r="E1102" i="2"/>
  <c r="D1102" i="2"/>
  <c r="C1102" i="2"/>
  <c r="B1102" i="2"/>
  <c r="F1101" i="2"/>
  <c r="E1101" i="2"/>
  <c r="D1101" i="2"/>
  <c r="C1101" i="2"/>
  <c r="B1101" i="2"/>
  <c r="F1100" i="2"/>
  <c r="E1100" i="2"/>
  <c r="D1100" i="2"/>
  <c r="C1100" i="2"/>
  <c r="B1100" i="2"/>
  <c r="F1099" i="2"/>
  <c r="E1099" i="2"/>
  <c r="D1099" i="2"/>
  <c r="C1099" i="2"/>
  <c r="B1099" i="2"/>
  <c r="F1098" i="2"/>
  <c r="E1098" i="2"/>
  <c r="D1098" i="2"/>
  <c r="C1098" i="2"/>
  <c r="B1098" i="2"/>
  <c r="F1097" i="2"/>
  <c r="E1097" i="2"/>
  <c r="D1097" i="2"/>
  <c r="C1097" i="2"/>
  <c r="B1097" i="2"/>
  <c r="F1096" i="2"/>
  <c r="E1096" i="2"/>
  <c r="D1096" i="2"/>
  <c r="C1096" i="2"/>
  <c r="B1096" i="2"/>
  <c r="F1095" i="2"/>
  <c r="E1095" i="2"/>
  <c r="D1095" i="2"/>
  <c r="C1095" i="2"/>
  <c r="B1095" i="2"/>
  <c r="F1094" i="2"/>
  <c r="E1094" i="2"/>
  <c r="D1094" i="2"/>
  <c r="C1094" i="2"/>
  <c r="B1094" i="2"/>
  <c r="F1093" i="2"/>
  <c r="E1093" i="2"/>
  <c r="D1093" i="2"/>
  <c r="C1093" i="2"/>
  <c r="B1093" i="2"/>
  <c r="F1092" i="2"/>
  <c r="E1092" i="2"/>
  <c r="D1092" i="2"/>
  <c r="C1092" i="2"/>
  <c r="B1092" i="2"/>
  <c r="F1091" i="2"/>
  <c r="E1091" i="2"/>
  <c r="D1091" i="2"/>
  <c r="C1091" i="2"/>
  <c r="B1091" i="2"/>
  <c r="F1090" i="2"/>
  <c r="E1090" i="2"/>
  <c r="D1090" i="2"/>
  <c r="C1090" i="2"/>
  <c r="B1090" i="2"/>
  <c r="F1089" i="2"/>
  <c r="E1089" i="2"/>
  <c r="D1089" i="2"/>
  <c r="C1089" i="2"/>
  <c r="B1089" i="2"/>
  <c r="F1088" i="2"/>
  <c r="E1088" i="2"/>
  <c r="D1088" i="2"/>
  <c r="C1088" i="2"/>
  <c r="B1088" i="2"/>
  <c r="F1087" i="2"/>
  <c r="E1087" i="2"/>
  <c r="D1087" i="2"/>
  <c r="C1087" i="2"/>
  <c r="B1087" i="2"/>
  <c r="F1086" i="2"/>
  <c r="E1086" i="2"/>
  <c r="D1086" i="2"/>
  <c r="C1086" i="2"/>
  <c r="B1086" i="2"/>
  <c r="F1085" i="2"/>
  <c r="E1085" i="2"/>
  <c r="D1085" i="2"/>
  <c r="C1085" i="2"/>
  <c r="B1085" i="2"/>
  <c r="F1084" i="2"/>
  <c r="E1084" i="2"/>
  <c r="D1084" i="2"/>
  <c r="C1084" i="2"/>
  <c r="B1084" i="2"/>
  <c r="F1083" i="2"/>
  <c r="E1083" i="2"/>
  <c r="D1083" i="2"/>
  <c r="C1083" i="2"/>
  <c r="B1083" i="2"/>
  <c r="F1082" i="2"/>
  <c r="E1082" i="2"/>
  <c r="D1082" i="2"/>
  <c r="C1082" i="2"/>
  <c r="B1082" i="2"/>
  <c r="F1081" i="2"/>
  <c r="E1081" i="2"/>
  <c r="D1081" i="2"/>
  <c r="C1081" i="2"/>
  <c r="B1081" i="2"/>
  <c r="F1080" i="2"/>
  <c r="E1080" i="2"/>
  <c r="D1080" i="2"/>
  <c r="C1080" i="2"/>
  <c r="B1080" i="2"/>
  <c r="F1079" i="2"/>
  <c r="E1079" i="2"/>
  <c r="D1079" i="2"/>
  <c r="C1079" i="2"/>
  <c r="B1079" i="2"/>
  <c r="F1078" i="2"/>
  <c r="E1078" i="2"/>
  <c r="D1078" i="2"/>
  <c r="C1078" i="2"/>
  <c r="B1078" i="2"/>
  <c r="F1077" i="2"/>
  <c r="E1077" i="2"/>
  <c r="D1077" i="2"/>
  <c r="C1077" i="2"/>
  <c r="B1077" i="2"/>
  <c r="F1076" i="2"/>
  <c r="E1076" i="2"/>
  <c r="D1076" i="2"/>
  <c r="C1076" i="2"/>
  <c r="B1076" i="2"/>
  <c r="F1075" i="2"/>
  <c r="E1075" i="2"/>
  <c r="D1075" i="2"/>
  <c r="C1075" i="2"/>
  <c r="B1075" i="2"/>
  <c r="F1074" i="2"/>
  <c r="E1074" i="2"/>
  <c r="D1074" i="2"/>
  <c r="C1074" i="2"/>
  <c r="B1074" i="2"/>
  <c r="F1073" i="2"/>
  <c r="E1073" i="2"/>
  <c r="D1073" i="2"/>
  <c r="C1073" i="2"/>
  <c r="B1073" i="2"/>
  <c r="F1072" i="2"/>
  <c r="E1072" i="2"/>
  <c r="D1072" i="2"/>
  <c r="C1072" i="2"/>
  <c r="B1072" i="2"/>
  <c r="F1071" i="2"/>
  <c r="E1071" i="2"/>
  <c r="D1071" i="2"/>
  <c r="C1071" i="2"/>
  <c r="B1071" i="2"/>
  <c r="F1070" i="2"/>
  <c r="E1070" i="2"/>
  <c r="D1070" i="2"/>
  <c r="C1070" i="2"/>
  <c r="B1070" i="2"/>
  <c r="F1069" i="2"/>
  <c r="E1069" i="2"/>
  <c r="D1069" i="2"/>
  <c r="C1069" i="2"/>
  <c r="B1069" i="2"/>
  <c r="F1068" i="2"/>
  <c r="E1068" i="2"/>
  <c r="D1068" i="2"/>
  <c r="C1068" i="2"/>
  <c r="B1068" i="2"/>
  <c r="F1067" i="2"/>
  <c r="E1067" i="2"/>
  <c r="D1067" i="2"/>
  <c r="C1067" i="2"/>
  <c r="B1067" i="2"/>
  <c r="F1066" i="2"/>
  <c r="E1066" i="2"/>
  <c r="D1066" i="2"/>
  <c r="C1066" i="2"/>
  <c r="B1066" i="2"/>
  <c r="F1065" i="2"/>
  <c r="E1065" i="2"/>
  <c r="D1065" i="2"/>
  <c r="C1065" i="2"/>
  <c r="B1065" i="2"/>
  <c r="F1064" i="2"/>
  <c r="E1064" i="2"/>
  <c r="D1064" i="2"/>
  <c r="C1064" i="2"/>
  <c r="B1064" i="2"/>
  <c r="F1063" i="2"/>
  <c r="E1063" i="2"/>
  <c r="D1063" i="2"/>
  <c r="C1063" i="2"/>
  <c r="B1063" i="2"/>
  <c r="F1062" i="2"/>
  <c r="E1062" i="2"/>
  <c r="D1062" i="2"/>
  <c r="C1062" i="2"/>
  <c r="B1062" i="2"/>
  <c r="F1061" i="2"/>
  <c r="E1061" i="2"/>
  <c r="D1061" i="2"/>
  <c r="C1061" i="2"/>
  <c r="B1061" i="2"/>
  <c r="F1060" i="2"/>
  <c r="E1060" i="2"/>
  <c r="D1060" i="2"/>
  <c r="C1060" i="2"/>
  <c r="B1060" i="2"/>
  <c r="F1059" i="2"/>
  <c r="E1059" i="2"/>
  <c r="D1059" i="2"/>
  <c r="C1059" i="2"/>
  <c r="B1059" i="2"/>
  <c r="F1058" i="2"/>
  <c r="E1058" i="2"/>
  <c r="D1058" i="2"/>
  <c r="C1058" i="2"/>
  <c r="B1058" i="2"/>
  <c r="F1057" i="2"/>
  <c r="E1057" i="2"/>
  <c r="D1057" i="2"/>
  <c r="C1057" i="2"/>
  <c r="B1057" i="2"/>
  <c r="F1056" i="2"/>
  <c r="E1056" i="2"/>
  <c r="D1056" i="2"/>
  <c r="C1056" i="2"/>
  <c r="B1056" i="2"/>
  <c r="F1055" i="2"/>
  <c r="E1055" i="2"/>
  <c r="D1055" i="2"/>
  <c r="C1055" i="2"/>
  <c r="B1055" i="2"/>
  <c r="F1054" i="2"/>
  <c r="E1054" i="2"/>
  <c r="D1054" i="2"/>
  <c r="C1054" i="2"/>
  <c r="B1054" i="2"/>
  <c r="F1053" i="2"/>
  <c r="E1053" i="2"/>
  <c r="D1053" i="2"/>
  <c r="C1053" i="2"/>
  <c r="B1053" i="2"/>
  <c r="F1052" i="2"/>
  <c r="E1052" i="2"/>
  <c r="D1052" i="2"/>
  <c r="C1052" i="2"/>
  <c r="B1052" i="2"/>
  <c r="F1051" i="2"/>
  <c r="E1051" i="2"/>
  <c r="D1051" i="2"/>
  <c r="C1051" i="2"/>
  <c r="B1051" i="2"/>
  <c r="F1050" i="2"/>
  <c r="E1050" i="2"/>
  <c r="D1050" i="2"/>
  <c r="C1050" i="2"/>
  <c r="B1050" i="2"/>
  <c r="F1049" i="2"/>
  <c r="E1049" i="2"/>
  <c r="D1049" i="2"/>
  <c r="C1049" i="2"/>
  <c r="B1049" i="2"/>
  <c r="F1048" i="2"/>
  <c r="E1048" i="2"/>
  <c r="D1048" i="2"/>
  <c r="C1048" i="2"/>
  <c r="B1048" i="2"/>
  <c r="F1047" i="2"/>
  <c r="E1047" i="2"/>
  <c r="D1047" i="2"/>
  <c r="C1047" i="2"/>
  <c r="B1047" i="2"/>
  <c r="F1046" i="2"/>
  <c r="E1046" i="2"/>
  <c r="D1046" i="2"/>
  <c r="C1046" i="2"/>
  <c r="B1046" i="2"/>
  <c r="F1045" i="2"/>
  <c r="E1045" i="2"/>
  <c r="D1045" i="2"/>
  <c r="C1045" i="2"/>
  <c r="B1045" i="2"/>
  <c r="F1044" i="2"/>
  <c r="E1044" i="2"/>
  <c r="D1044" i="2"/>
  <c r="C1044" i="2"/>
  <c r="B1044" i="2"/>
  <c r="F1043" i="2"/>
  <c r="E1043" i="2"/>
  <c r="D1043" i="2"/>
  <c r="C1043" i="2"/>
  <c r="B1043" i="2"/>
  <c r="F1042" i="2"/>
  <c r="E1042" i="2"/>
  <c r="D1042" i="2"/>
  <c r="C1042" i="2"/>
  <c r="B1042" i="2"/>
  <c r="F1041" i="2"/>
  <c r="E1041" i="2"/>
  <c r="D1041" i="2"/>
  <c r="C1041" i="2"/>
  <c r="B1041" i="2"/>
  <c r="F1040" i="2"/>
  <c r="E1040" i="2"/>
  <c r="D1040" i="2"/>
  <c r="C1040" i="2"/>
  <c r="B1040" i="2"/>
  <c r="F1039" i="2"/>
  <c r="E1039" i="2"/>
  <c r="D1039" i="2"/>
  <c r="C1039" i="2"/>
  <c r="B1039" i="2"/>
  <c r="F1038" i="2"/>
  <c r="E1038" i="2"/>
  <c r="D1038" i="2"/>
  <c r="C1038" i="2"/>
  <c r="B1038" i="2"/>
  <c r="F1037" i="2"/>
  <c r="E1037" i="2"/>
  <c r="D1037" i="2"/>
  <c r="C1037" i="2"/>
  <c r="B1037" i="2"/>
  <c r="F1036" i="2"/>
  <c r="E1036" i="2"/>
  <c r="D1036" i="2"/>
  <c r="C1036" i="2"/>
  <c r="B1036" i="2"/>
  <c r="F1035" i="2"/>
  <c r="E1035" i="2"/>
  <c r="D1035" i="2"/>
  <c r="C1035" i="2"/>
  <c r="B1035" i="2"/>
  <c r="F1034" i="2"/>
  <c r="E1034" i="2"/>
  <c r="D1034" i="2"/>
  <c r="C1034" i="2"/>
  <c r="B1034" i="2"/>
  <c r="F1033" i="2"/>
  <c r="E1033" i="2"/>
  <c r="D1033" i="2"/>
  <c r="C1033" i="2"/>
  <c r="B1033" i="2"/>
  <c r="F1032" i="2"/>
  <c r="E1032" i="2"/>
  <c r="D1032" i="2"/>
  <c r="C1032" i="2"/>
  <c r="B1032" i="2"/>
  <c r="F1031" i="2"/>
  <c r="E1031" i="2"/>
  <c r="D1031" i="2"/>
  <c r="C1031" i="2"/>
  <c r="B1031" i="2"/>
  <c r="F1030" i="2"/>
  <c r="E1030" i="2"/>
  <c r="D1030" i="2"/>
  <c r="C1030" i="2"/>
  <c r="B1030" i="2"/>
  <c r="F1029" i="2"/>
  <c r="E1029" i="2"/>
  <c r="D1029" i="2"/>
  <c r="C1029" i="2"/>
  <c r="B1029" i="2"/>
  <c r="F1028" i="2"/>
  <c r="E1028" i="2"/>
  <c r="D1028" i="2"/>
  <c r="C1028" i="2"/>
  <c r="B1028" i="2"/>
  <c r="F1027" i="2"/>
  <c r="E1027" i="2"/>
  <c r="D1027" i="2"/>
  <c r="C1027" i="2"/>
  <c r="B1027" i="2"/>
  <c r="F1026" i="2"/>
  <c r="E1026" i="2"/>
  <c r="D1026" i="2"/>
  <c r="C1026" i="2"/>
  <c r="B1026" i="2"/>
  <c r="F1025" i="2"/>
  <c r="E1025" i="2"/>
  <c r="D1025" i="2"/>
  <c r="C1025" i="2"/>
  <c r="B1025" i="2"/>
  <c r="F1024" i="2"/>
  <c r="E1024" i="2"/>
  <c r="D1024" i="2"/>
  <c r="C1024" i="2"/>
  <c r="B1024" i="2"/>
  <c r="F1023" i="2"/>
  <c r="E1023" i="2"/>
  <c r="D1023" i="2"/>
  <c r="C1023" i="2"/>
  <c r="B1023" i="2"/>
  <c r="F1022" i="2"/>
  <c r="E1022" i="2"/>
  <c r="D1022" i="2"/>
  <c r="C1022" i="2"/>
  <c r="B1022" i="2"/>
  <c r="F1021" i="2"/>
  <c r="E1021" i="2"/>
  <c r="D1021" i="2"/>
  <c r="C1021" i="2"/>
  <c r="B1021" i="2"/>
  <c r="F1020" i="2"/>
  <c r="E1020" i="2"/>
  <c r="D1020" i="2"/>
  <c r="C1020" i="2"/>
  <c r="B1020" i="2"/>
  <c r="F1019" i="2"/>
  <c r="E1019" i="2"/>
  <c r="D1019" i="2"/>
  <c r="C1019" i="2"/>
  <c r="B1019" i="2"/>
  <c r="F1018" i="2"/>
  <c r="E1018" i="2"/>
  <c r="D1018" i="2"/>
  <c r="C1018" i="2"/>
  <c r="B1018" i="2"/>
  <c r="F1017" i="2"/>
  <c r="E1017" i="2"/>
  <c r="D1017" i="2"/>
  <c r="C1017" i="2"/>
  <c r="B1017" i="2"/>
  <c r="F1016" i="2"/>
  <c r="E1016" i="2"/>
  <c r="D1016" i="2"/>
  <c r="C1016" i="2"/>
  <c r="B1016" i="2"/>
  <c r="F1015" i="2"/>
  <c r="E1015" i="2"/>
  <c r="D1015" i="2"/>
  <c r="C1015" i="2"/>
  <c r="B1015" i="2"/>
  <c r="F1014" i="2"/>
  <c r="E1014" i="2"/>
  <c r="D1014" i="2"/>
  <c r="C1014" i="2"/>
  <c r="B1014" i="2"/>
  <c r="F1013" i="2"/>
  <c r="E1013" i="2"/>
  <c r="D1013" i="2"/>
  <c r="C1013" i="2"/>
  <c r="B1013" i="2"/>
  <c r="F1012" i="2"/>
  <c r="E1012" i="2"/>
  <c r="D1012" i="2"/>
  <c r="C1012" i="2"/>
  <c r="B1012" i="2"/>
  <c r="F1011" i="2"/>
  <c r="E1011" i="2"/>
  <c r="D1011" i="2"/>
  <c r="C1011" i="2"/>
  <c r="B1011" i="2"/>
  <c r="F1010" i="2"/>
  <c r="E1010" i="2"/>
  <c r="D1010" i="2"/>
  <c r="C1010" i="2"/>
  <c r="B1010" i="2"/>
  <c r="F1009" i="2"/>
  <c r="E1009" i="2"/>
  <c r="D1009" i="2"/>
  <c r="C1009" i="2"/>
  <c r="B1009" i="2"/>
  <c r="F1008" i="2"/>
  <c r="E1008" i="2"/>
  <c r="D1008" i="2"/>
  <c r="C1008" i="2"/>
  <c r="B1008" i="2"/>
  <c r="F1007" i="2"/>
  <c r="E1007" i="2"/>
  <c r="D1007" i="2"/>
  <c r="C1007" i="2"/>
  <c r="B1007" i="2"/>
  <c r="F1006" i="2"/>
  <c r="E1006" i="2"/>
  <c r="D1006" i="2"/>
  <c r="C1006" i="2"/>
  <c r="B1006" i="2"/>
  <c r="F1005" i="2"/>
  <c r="E1005" i="2"/>
  <c r="D1005" i="2"/>
  <c r="C1005" i="2"/>
  <c r="B1005" i="2"/>
  <c r="F1004" i="2"/>
  <c r="E1004" i="2"/>
  <c r="D1004" i="2"/>
  <c r="C1004" i="2"/>
  <c r="B1004" i="2"/>
  <c r="F1003" i="2"/>
  <c r="E1003" i="2"/>
  <c r="D1003" i="2"/>
  <c r="C1003" i="2"/>
  <c r="B1003" i="2"/>
  <c r="F1002" i="2"/>
  <c r="E1002" i="2"/>
  <c r="D1002" i="2"/>
  <c r="C1002" i="2"/>
  <c r="B1002" i="2"/>
  <c r="F1001" i="2"/>
  <c r="E1001" i="2"/>
  <c r="D1001" i="2"/>
  <c r="C1001" i="2"/>
  <c r="B1001" i="2"/>
  <c r="F1000" i="2"/>
  <c r="E1000" i="2"/>
  <c r="D1000" i="2"/>
  <c r="C1000" i="2"/>
  <c r="B1000" i="2"/>
  <c r="F999" i="2"/>
  <c r="E999" i="2"/>
  <c r="D999" i="2"/>
  <c r="C999" i="2"/>
  <c r="B999" i="2"/>
  <c r="F998" i="2"/>
  <c r="E998" i="2"/>
  <c r="D998" i="2"/>
  <c r="C998" i="2"/>
  <c r="B998" i="2"/>
  <c r="F997" i="2"/>
  <c r="E997" i="2"/>
  <c r="D997" i="2"/>
  <c r="C997" i="2"/>
  <c r="B997" i="2"/>
  <c r="F996" i="2"/>
  <c r="E996" i="2"/>
  <c r="D996" i="2"/>
  <c r="C996" i="2"/>
  <c r="B996" i="2"/>
  <c r="F995" i="2"/>
  <c r="E995" i="2"/>
  <c r="D995" i="2"/>
  <c r="C995" i="2"/>
  <c r="B995" i="2"/>
  <c r="F994" i="2"/>
  <c r="E994" i="2"/>
  <c r="D994" i="2"/>
  <c r="C994" i="2"/>
  <c r="B994" i="2"/>
  <c r="F993" i="2"/>
  <c r="E993" i="2"/>
  <c r="D993" i="2"/>
  <c r="C993" i="2"/>
  <c r="B993" i="2"/>
  <c r="F992" i="2"/>
  <c r="E992" i="2"/>
  <c r="D992" i="2"/>
  <c r="C992" i="2"/>
  <c r="B992" i="2"/>
  <c r="F991" i="2"/>
  <c r="E991" i="2"/>
  <c r="D991" i="2"/>
  <c r="C991" i="2"/>
  <c r="B991" i="2"/>
  <c r="F990" i="2"/>
  <c r="E990" i="2"/>
  <c r="D990" i="2"/>
  <c r="C990" i="2"/>
  <c r="B990" i="2"/>
  <c r="F989" i="2"/>
  <c r="E989" i="2"/>
  <c r="D989" i="2"/>
  <c r="C989" i="2"/>
  <c r="B989" i="2"/>
  <c r="F988" i="2"/>
  <c r="E988" i="2"/>
  <c r="D988" i="2"/>
  <c r="C988" i="2"/>
  <c r="B988" i="2"/>
  <c r="F987" i="2"/>
  <c r="E987" i="2"/>
  <c r="D987" i="2"/>
  <c r="C987" i="2"/>
  <c r="B987" i="2"/>
  <c r="F986" i="2"/>
  <c r="E986" i="2"/>
  <c r="D986" i="2"/>
  <c r="C986" i="2"/>
  <c r="B986" i="2"/>
  <c r="F985" i="2"/>
  <c r="E985" i="2"/>
  <c r="D985" i="2"/>
  <c r="C985" i="2"/>
  <c r="B985" i="2"/>
  <c r="F984" i="2"/>
  <c r="E984" i="2"/>
  <c r="D984" i="2"/>
  <c r="C984" i="2"/>
  <c r="B984" i="2"/>
  <c r="F983" i="2"/>
  <c r="E983" i="2"/>
  <c r="D983" i="2"/>
  <c r="C983" i="2"/>
  <c r="B983" i="2"/>
  <c r="F982" i="2"/>
  <c r="E982" i="2"/>
  <c r="D982" i="2"/>
  <c r="C982" i="2"/>
  <c r="B982" i="2"/>
  <c r="F981" i="2"/>
  <c r="E981" i="2"/>
  <c r="D981" i="2"/>
  <c r="C981" i="2"/>
  <c r="B981" i="2"/>
  <c r="F980" i="2"/>
  <c r="E980" i="2"/>
  <c r="D980" i="2"/>
  <c r="C980" i="2"/>
  <c r="B980" i="2"/>
  <c r="F979" i="2"/>
  <c r="E979" i="2"/>
  <c r="D979" i="2"/>
  <c r="C979" i="2"/>
  <c r="B979" i="2"/>
  <c r="F978" i="2"/>
  <c r="E978" i="2"/>
  <c r="D978" i="2"/>
  <c r="C978" i="2"/>
  <c r="B978" i="2"/>
  <c r="F977" i="2"/>
  <c r="E977" i="2"/>
  <c r="D977" i="2"/>
  <c r="C977" i="2"/>
  <c r="B977" i="2"/>
  <c r="F976" i="2"/>
  <c r="E976" i="2"/>
  <c r="D976" i="2"/>
  <c r="C976" i="2"/>
  <c r="B976" i="2"/>
  <c r="F975" i="2"/>
  <c r="E975" i="2"/>
  <c r="D975" i="2"/>
  <c r="C975" i="2"/>
  <c r="B975" i="2"/>
  <c r="F974" i="2"/>
  <c r="E974" i="2"/>
  <c r="D974" i="2"/>
  <c r="C974" i="2"/>
  <c r="B974" i="2"/>
  <c r="F973" i="2"/>
  <c r="E973" i="2"/>
  <c r="D973" i="2"/>
  <c r="C973" i="2"/>
  <c r="B973" i="2"/>
  <c r="F972" i="2"/>
  <c r="E972" i="2"/>
  <c r="D972" i="2"/>
  <c r="C972" i="2"/>
  <c r="B972" i="2"/>
  <c r="F971" i="2"/>
  <c r="E971" i="2"/>
  <c r="D971" i="2"/>
  <c r="C971" i="2"/>
  <c r="B971" i="2"/>
  <c r="F970" i="2"/>
  <c r="E970" i="2"/>
  <c r="D970" i="2"/>
  <c r="C970" i="2"/>
  <c r="B970" i="2"/>
  <c r="F969" i="2"/>
  <c r="E969" i="2"/>
  <c r="D969" i="2"/>
  <c r="C969" i="2"/>
  <c r="B969" i="2"/>
  <c r="F968" i="2"/>
  <c r="E968" i="2"/>
  <c r="D968" i="2"/>
  <c r="C968" i="2"/>
  <c r="B968" i="2"/>
  <c r="F967" i="2"/>
  <c r="E967" i="2"/>
  <c r="D967" i="2"/>
  <c r="C967" i="2"/>
  <c r="B967" i="2"/>
  <c r="F966" i="2"/>
  <c r="E966" i="2"/>
  <c r="D966" i="2"/>
  <c r="C966" i="2"/>
  <c r="B966" i="2"/>
  <c r="F965" i="2"/>
  <c r="E965" i="2"/>
  <c r="D965" i="2"/>
  <c r="C965" i="2"/>
  <c r="B965" i="2"/>
  <c r="F964" i="2"/>
  <c r="E964" i="2"/>
  <c r="D964" i="2"/>
  <c r="C964" i="2"/>
  <c r="B964" i="2"/>
  <c r="F963" i="2"/>
  <c r="E963" i="2"/>
  <c r="D963" i="2"/>
  <c r="C963" i="2"/>
  <c r="B963" i="2"/>
  <c r="F962" i="2"/>
  <c r="E962" i="2"/>
  <c r="D962" i="2"/>
  <c r="C962" i="2"/>
  <c r="B962" i="2"/>
  <c r="F961" i="2"/>
  <c r="E961" i="2"/>
  <c r="D961" i="2"/>
  <c r="C961" i="2"/>
  <c r="B961" i="2"/>
  <c r="F960" i="2"/>
  <c r="E960" i="2"/>
  <c r="D960" i="2"/>
  <c r="C960" i="2"/>
  <c r="B960" i="2"/>
  <c r="F959" i="2"/>
  <c r="E959" i="2"/>
  <c r="D959" i="2"/>
  <c r="C959" i="2"/>
  <c r="B959" i="2"/>
  <c r="F958" i="2"/>
  <c r="E958" i="2"/>
  <c r="D958" i="2"/>
  <c r="C958" i="2"/>
  <c r="B958" i="2"/>
  <c r="F957" i="2"/>
  <c r="E957" i="2"/>
  <c r="D957" i="2"/>
  <c r="C957" i="2"/>
  <c r="B957" i="2"/>
  <c r="F956" i="2"/>
  <c r="E956" i="2"/>
  <c r="D956" i="2"/>
  <c r="C956" i="2"/>
  <c r="B956" i="2"/>
  <c r="F955" i="2"/>
  <c r="E955" i="2"/>
  <c r="D955" i="2"/>
  <c r="C955" i="2"/>
  <c r="B955" i="2"/>
  <c r="F954" i="2"/>
  <c r="E954" i="2"/>
  <c r="D954" i="2"/>
  <c r="C954" i="2"/>
  <c r="B954" i="2"/>
  <c r="F953" i="2"/>
  <c r="E953" i="2"/>
  <c r="D953" i="2"/>
  <c r="C953" i="2"/>
  <c r="B953" i="2"/>
  <c r="F952" i="2"/>
  <c r="E952" i="2"/>
  <c r="D952" i="2"/>
  <c r="C952" i="2"/>
  <c r="B952" i="2"/>
  <c r="F951" i="2"/>
  <c r="E951" i="2"/>
  <c r="D951" i="2"/>
  <c r="C951" i="2"/>
  <c r="B951" i="2"/>
  <c r="F950" i="2"/>
  <c r="E950" i="2"/>
  <c r="D950" i="2"/>
  <c r="C950" i="2"/>
  <c r="B950" i="2"/>
  <c r="F949" i="2"/>
  <c r="E949" i="2"/>
  <c r="D949" i="2"/>
  <c r="C949" i="2"/>
  <c r="B949" i="2"/>
  <c r="F948" i="2"/>
  <c r="E948" i="2"/>
  <c r="D948" i="2"/>
  <c r="C948" i="2"/>
  <c r="B948" i="2"/>
  <c r="F947" i="2"/>
  <c r="E947" i="2"/>
  <c r="D947" i="2"/>
  <c r="C947" i="2"/>
  <c r="B947" i="2"/>
  <c r="F946" i="2"/>
  <c r="E946" i="2"/>
  <c r="D946" i="2"/>
  <c r="C946" i="2"/>
  <c r="B946" i="2"/>
  <c r="F945" i="2"/>
  <c r="E945" i="2"/>
  <c r="D945" i="2"/>
  <c r="C945" i="2"/>
  <c r="B945" i="2"/>
  <c r="F944" i="2"/>
  <c r="E944" i="2"/>
  <c r="D944" i="2"/>
  <c r="C944" i="2"/>
  <c r="B944" i="2"/>
  <c r="F943" i="2"/>
  <c r="E943" i="2"/>
  <c r="D943" i="2"/>
  <c r="C943" i="2"/>
  <c r="B943" i="2"/>
  <c r="F942" i="2"/>
  <c r="E942" i="2"/>
  <c r="D942" i="2"/>
  <c r="C942" i="2"/>
  <c r="B942" i="2"/>
  <c r="F941" i="2"/>
  <c r="E941" i="2"/>
  <c r="D941" i="2"/>
  <c r="C941" i="2"/>
  <c r="B941" i="2"/>
  <c r="F940" i="2"/>
  <c r="E940" i="2"/>
  <c r="D940" i="2"/>
  <c r="C940" i="2"/>
  <c r="B940" i="2"/>
  <c r="F939" i="2"/>
  <c r="E939" i="2"/>
  <c r="D939" i="2"/>
  <c r="C939" i="2"/>
  <c r="B939" i="2"/>
  <c r="F938" i="2"/>
  <c r="E938" i="2"/>
  <c r="D938" i="2"/>
  <c r="C938" i="2"/>
  <c r="B938" i="2"/>
  <c r="F937" i="2"/>
  <c r="E937" i="2"/>
  <c r="D937" i="2"/>
  <c r="C937" i="2"/>
  <c r="B937" i="2"/>
  <c r="F936" i="2"/>
  <c r="E936" i="2"/>
  <c r="D936" i="2"/>
  <c r="C936" i="2"/>
  <c r="B936" i="2"/>
  <c r="F935" i="2"/>
  <c r="E935" i="2"/>
  <c r="D935" i="2"/>
  <c r="C935" i="2"/>
  <c r="B935" i="2"/>
  <c r="F934" i="2"/>
  <c r="E934" i="2"/>
  <c r="D934" i="2"/>
  <c r="C934" i="2"/>
  <c r="B934" i="2"/>
  <c r="F933" i="2"/>
  <c r="E933" i="2"/>
  <c r="D933" i="2"/>
  <c r="C933" i="2"/>
  <c r="B933" i="2"/>
  <c r="F932" i="2"/>
  <c r="E932" i="2"/>
  <c r="D932" i="2"/>
  <c r="C932" i="2"/>
  <c r="B932" i="2"/>
  <c r="F931" i="2"/>
  <c r="E931" i="2"/>
  <c r="D931" i="2"/>
  <c r="C931" i="2"/>
  <c r="B931" i="2"/>
  <c r="F930" i="2"/>
  <c r="E930" i="2"/>
  <c r="D930" i="2"/>
  <c r="C930" i="2"/>
  <c r="B930" i="2"/>
  <c r="F929" i="2"/>
  <c r="E929" i="2"/>
  <c r="D929" i="2"/>
  <c r="C929" i="2"/>
  <c r="B929" i="2"/>
  <c r="F928" i="2"/>
  <c r="E928" i="2"/>
  <c r="D928" i="2"/>
  <c r="C928" i="2"/>
  <c r="B928" i="2"/>
  <c r="F927" i="2"/>
  <c r="E927" i="2"/>
  <c r="D927" i="2"/>
  <c r="C927" i="2"/>
  <c r="B927" i="2"/>
  <c r="F926" i="2"/>
  <c r="E926" i="2"/>
  <c r="D926" i="2"/>
  <c r="C926" i="2"/>
  <c r="B926" i="2"/>
  <c r="F925" i="2"/>
  <c r="E925" i="2"/>
  <c r="D925" i="2"/>
  <c r="C925" i="2"/>
  <c r="B925" i="2"/>
  <c r="F924" i="2"/>
  <c r="E924" i="2"/>
  <c r="D924" i="2"/>
  <c r="C924" i="2"/>
  <c r="B924" i="2"/>
  <c r="F923" i="2"/>
  <c r="E923" i="2"/>
  <c r="D923" i="2"/>
  <c r="C923" i="2"/>
  <c r="B923" i="2"/>
  <c r="F922" i="2"/>
  <c r="E922" i="2"/>
  <c r="D922" i="2"/>
  <c r="C922" i="2"/>
  <c r="B922" i="2"/>
  <c r="F921" i="2"/>
  <c r="E921" i="2"/>
  <c r="D921" i="2"/>
  <c r="C921" i="2"/>
  <c r="B921" i="2"/>
  <c r="F920" i="2"/>
  <c r="E920" i="2"/>
  <c r="D920" i="2"/>
  <c r="C920" i="2"/>
  <c r="B920" i="2"/>
  <c r="F919" i="2"/>
  <c r="E919" i="2"/>
  <c r="D919" i="2"/>
  <c r="C919" i="2"/>
  <c r="B919" i="2"/>
  <c r="F918" i="2"/>
  <c r="E918" i="2"/>
  <c r="D918" i="2"/>
  <c r="C918" i="2"/>
  <c r="B918" i="2"/>
  <c r="F917" i="2"/>
  <c r="E917" i="2"/>
  <c r="D917" i="2"/>
  <c r="C917" i="2"/>
  <c r="B917" i="2"/>
  <c r="F916" i="2"/>
  <c r="E916" i="2"/>
  <c r="D916" i="2"/>
  <c r="C916" i="2"/>
  <c r="B916" i="2"/>
  <c r="F915" i="2"/>
  <c r="E915" i="2"/>
  <c r="D915" i="2"/>
  <c r="C915" i="2"/>
  <c r="B915" i="2"/>
  <c r="F914" i="2"/>
  <c r="E914" i="2"/>
  <c r="D914" i="2"/>
  <c r="C914" i="2"/>
  <c r="B914" i="2"/>
  <c r="F913" i="2"/>
  <c r="E913" i="2"/>
  <c r="D913" i="2"/>
  <c r="C913" i="2"/>
  <c r="B913" i="2"/>
  <c r="F912" i="2"/>
  <c r="E912" i="2"/>
  <c r="D912" i="2"/>
  <c r="C912" i="2"/>
  <c r="B912" i="2"/>
  <c r="F911" i="2"/>
  <c r="E911" i="2"/>
  <c r="D911" i="2"/>
  <c r="C911" i="2"/>
  <c r="B911" i="2"/>
  <c r="F910" i="2"/>
  <c r="E910" i="2"/>
  <c r="D910" i="2"/>
  <c r="C910" i="2"/>
  <c r="B910" i="2"/>
  <c r="F909" i="2"/>
  <c r="E909" i="2"/>
  <c r="D909" i="2"/>
  <c r="C909" i="2"/>
  <c r="B909" i="2"/>
  <c r="F908" i="2"/>
  <c r="E908" i="2"/>
  <c r="D908" i="2"/>
  <c r="C908" i="2"/>
  <c r="B908" i="2"/>
  <c r="F907" i="2"/>
  <c r="E907" i="2"/>
  <c r="D907" i="2"/>
  <c r="C907" i="2"/>
  <c r="B907" i="2"/>
  <c r="F906" i="2"/>
  <c r="E906" i="2"/>
  <c r="D906" i="2"/>
  <c r="C906" i="2"/>
  <c r="B906" i="2"/>
  <c r="F905" i="2"/>
  <c r="E905" i="2"/>
  <c r="D905" i="2"/>
  <c r="C905" i="2"/>
  <c r="B905" i="2"/>
  <c r="F904" i="2"/>
  <c r="E904" i="2"/>
  <c r="D904" i="2"/>
  <c r="C904" i="2"/>
  <c r="B904" i="2"/>
  <c r="F903" i="2"/>
  <c r="E903" i="2"/>
  <c r="D903" i="2"/>
  <c r="C903" i="2"/>
  <c r="B903" i="2"/>
  <c r="F902" i="2"/>
  <c r="E902" i="2"/>
  <c r="D902" i="2"/>
  <c r="C902" i="2"/>
  <c r="B902" i="2"/>
  <c r="F901" i="2"/>
  <c r="E901" i="2"/>
  <c r="D901" i="2"/>
  <c r="C901" i="2"/>
  <c r="B901" i="2"/>
  <c r="F900" i="2"/>
  <c r="E900" i="2"/>
  <c r="D900" i="2"/>
  <c r="C900" i="2"/>
  <c r="B900" i="2"/>
  <c r="F899" i="2"/>
  <c r="E899" i="2"/>
  <c r="D899" i="2"/>
  <c r="C899" i="2"/>
  <c r="B899" i="2"/>
  <c r="F898" i="2"/>
  <c r="E898" i="2"/>
  <c r="D898" i="2"/>
  <c r="C898" i="2"/>
  <c r="B898" i="2"/>
  <c r="F897" i="2"/>
  <c r="E897" i="2"/>
  <c r="D897" i="2"/>
  <c r="C897" i="2"/>
  <c r="B897" i="2"/>
  <c r="F896" i="2"/>
  <c r="E896" i="2"/>
  <c r="D896" i="2"/>
  <c r="C896" i="2"/>
  <c r="B896" i="2"/>
  <c r="F895" i="2"/>
  <c r="E895" i="2"/>
  <c r="D895" i="2"/>
  <c r="C895" i="2"/>
  <c r="B895" i="2"/>
  <c r="F894" i="2"/>
  <c r="E894" i="2"/>
  <c r="D894" i="2"/>
  <c r="C894" i="2"/>
  <c r="B894" i="2"/>
  <c r="F893" i="2"/>
  <c r="E893" i="2"/>
  <c r="D893" i="2"/>
  <c r="C893" i="2"/>
  <c r="B893" i="2"/>
  <c r="F892" i="2"/>
  <c r="E892" i="2"/>
  <c r="D892" i="2"/>
  <c r="C892" i="2"/>
  <c r="B892" i="2"/>
  <c r="F891" i="2"/>
  <c r="E891" i="2"/>
  <c r="D891" i="2"/>
  <c r="C891" i="2"/>
  <c r="B891" i="2"/>
  <c r="F890" i="2"/>
  <c r="E890" i="2"/>
  <c r="D890" i="2"/>
  <c r="C890" i="2"/>
  <c r="B890" i="2"/>
  <c r="F889" i="2"/>
  <c r="E889" i="2"/>
  <c r="D889" i="2"/>
  <c r="C889" i="2"/>
  <c r="B889" i="2"/>
  <c r="F888" i="2"/>
  <c r="E888" i="2"/>
  <c r="D888" i="2"/>
  <c r="C888" i="2"/>
  <c r="B888" i="2"/>
  <c r="F887" i="2"/>
  <c r="E887" i="2"/>
  <c r="D887" i="2"/>
  <c r="C887" i="2"/>
  <c r="B887" i="2"/>
  <c r="F886" i="2"/>
  <c r="E886" i="2"/>
  <c r="D886" i="2"/>
  <c r="C886" i="2"/>
  <c r="B886" i="2"/>
  <c r="F885" i="2"/>
  <c r="E885" i="2"/>
  <c r="D885" i="2"/>
  <c r="C885" i="2"/>
  <c r="B885" i="2"/>
  <c r="F884" i="2"/>
  <c r="E884" i="2"/>
  <c r="D884" i="2"/>
  <c r="C884" i="2"/>
  <c r="B884" i="2"/>
  <c r="F883" i="2"/>
  <c r="E883" i="2"/>
  <c r="D883" i="2"/>
  <c r="C883" i="2"/>
  <c r="B883" i="2"/>
  <c r="F882" i="2"/>
  <c r="E882" i="2"/>
  <c r="D882" i="2"/>
  <c r="C882" i="2"/>
  <c r="B882" i="2"/>
  <c r="F881" i="2"/>
  <c r="E881" i="2"/>
  <c r="D881" i="2"/>
  <c r="C881" i="2"/>
  <c r="B881" i="2"/>
  <c r="F880" i="2"/>
  <c r="E880" i="2"/>
  <c r="D880" i="2"/>
  <c r="C880" i="2"/>
  <c r="B880" i="2"/>
  <c r="F879" i="2"/>
  <c r="E879" i="2"/>
  <c r="D879" i="2"/>
  <c r="C879" i="2"/>
  <c r="B879" i="2"/>
  <c r="F878" i="2"/>
  <c r="E878" i="2"/>
  <c r="D878" i="2"/>
  <c r="C878" i="2"/>
  <c r="B878" i="2"/>
  <c r="F877" i="2"/>
  <c r="E877" i="2"/>
  <c r="D877" i="2"/>
  <c r="C877" i="2"/>
  <c r="B877" i="2"/>
  <c r="F876" i="2"/>
  <c r="E876" i="2"/>
  <c r="D876" i="2"/>
  <c r="C876" i="2"/>
  <c r="B876" i="2"/>
  <c r="F875" i="2"/>
  <c r="E875" i="2"/>
  <c r="D875" i="2"/>
  <c r="C875" i="2"/>
  <c r="B875" i="2"/>
  <c r="F874" i="2"/>
  <c r="E874" i="2"/>
  <c r="D874" i="2"/>
  <c r="C874" i="2"/>
  <c r="B874" i="2"/>
  <c r="F873" i="2"/>
  <c r="E873" i="2"/>
  <c r="D873" i="2"/>
  <c r="C873" i="2"/>
  <c r="B873" i="2"/>
  <c r="F872" i="2"/>
  <c r="E872" i="2"/>
  <c r="D872" i="2"/>
  <c r="C872" i="2"/>
  <c r="B872" i="2"/>
  <c r="F871" i="2"/>
  <c r="E871" i="2"/>
  <c r="D871" i="2"/>
  <c r="C871" i="2"/>
  <c r="B871" i="2"/>
  <c r="F870" i="2"/>
  <c r="E870" i="2"/>
  <c r="D870" i="2"/>
  <c r="C870" i="2"/>
  <c r="B870" i="2"/>
  <c r="F869" i="2"/>
  <c r="E869" i="2"/>
  <c r="D869" i="2"/>
  <c r="C869" i="2"/>
  <c r="B869" i="2"/>
  <c r="F868" i="2"/>
  <c r="E868" i="2"/>
  <c r="D868" i="2"/>
  <c r="C868" i="2"/>
  <c r="B868" i="2"/>
  <c r="F867" i="2"/>
  <c r="E867" i="2"/>
  <c r="D867" i="2"/>
  <c r="C867" i="2"/>
  <c r="B867" i="2"/>
  <c r="F866" i="2"/>
  <c r="E866" i="2"/>
  <c r="D866" i="2"/>
  <c r="C866" i="2"/>
  <c r="B866" i="2"/>
  <c r="F865" i="2"/>
  <c r="E865" i="2"/>
  <c r="D865" i="2"/>
  <c r="C865" i="2"/>
  <c r="B865" i="2"/>
  <c r="F864" i="2"/>
  <c r="E864" i="2"/>
  <c r="D864" i="2"/>
  <c r="C864" i="2"/>
  <c r="B864" i="2"/>
  <c r="F863" i="2"/>
  <c r="E863" i="2"/>
  <c r="D863" i="2"/>
  <c r="C863" i="2"/>
  <c r="B863" i="2"/>
  <c r="F862" i="2"/>
  <c r="E862" i="2"/>
  <c r="D862" i="2"/>
  <c r="C862" i="2"/>
  <c r="B862" i="2"/>
  <c r="F861" i="2"/>
  <c r="E861" i="2"/>
  <c r="D861" i="2"/>
  <c r="C861" i="2"/>
  <c r="B861" i="2"/>
  <c r="F860" i="2"/>
  <c r="E860" i="2"/>
  <c r="D860" i="2"/>
  <c r="C860" i="2"/>
  <c r="B860" i="2"/>
  <c r="F859" i="2"/>
  <c r="E859" i="2"/>
  <c r="D859" i="2"/>
  <c r="C859" i="2"/>
  <c r="B859" i="2"/>
  <c r="F858" i="2"/>
  <c r="E858" i="2"/>
  <c r="D858" i="2"/>
  <c r="C858" i="2"/>
  <c r="B858" i="2"/>
  <c r="F857" i="2"/>
  <c r="E857" i="2"/>
  <c r="D857" i="2"/>
  <c r="C857" i="2"/>
  <c r="B857" i="2"/>
  <c r="F856" i="2"/>
  <c r="E856" i="2"/>
  <c r="D856" i="2"/>
  <c r="C856" i="2"/>
  <c r="B856" i="2"/>
  <c r="F855" i="2"/>
  <c r="E855" i="2"/>
  <c r="D855" i="2"/>
  <c r="C855" i="2"/>
  <c r="B855" i="2"/>
  <c r="F854" i="2"/>
  <c r="E854" i="2"/>
  <c r="D854" i="2"/>
  <c r="C854" i="2"/>
  <c r="B854" i="2"/>
  <c r="F853" i="2"/>
  <c r="E853" i="2"/>
  <c r="D853" i="2"/>
  <c r="C853" i="2"/>
  <c r="B853" i="2"/>
  <c r="F852" i="2"/>
  <c r="E852" i="2"/>
  <c r="D852" i="2"/>
  <c r="C852" i="2"/>
  <c r="B852" i="2"/>
  <c r="F851" i="2"/>
  <c r="E851" i="2"/>
  <c r="D851" i="2"/>
  <c r="C851" i="2"/>
  <c r="B851" i="2"/>
  <c r="F850" i="2"/>
  <c r="E850" i="2"/>
  <c r="D850" i="2"/>
  <c r="C850" i="2"/>
  <c r="B850" i="2"/>
  <c r="F849" i="2"/>
  <c r="E849" i="2"/>
  <c r="D849" i="2"/>
  <c r="C849" i="2"/>
  <c r="B849" i="2"/>
  <c r="F848" i="2"/>
  <c r="E848" i="2"/>
  <c r="D848" i="2"/>
  <c r="C848" i="2"/>
  <c r="B848" i="2"/>
  <c r="F847" i="2"/>
  <c r="E847" i="2"/>
  <c r="D847" i="2"/>
  <c r="C847" i="2"/>
  <c r="B847" i="2"/>
  <c r="F846" i="2"/>
  <c r="E846" i="2"/>
  <c r="D846" i="2"/>
  <c r="C846" i="2"/>
  <c r="B846" i="2"/>
  <c r="F845" i="2"/>
  <c r="E845" i="2"/>
  <c r="D845" i="2"/>
  <c r="C845" i="2"/>
  <c r="B845" i="2"/>
  <c r="F844" i="2"/>
  <c r="E844" i="2"/>
  <c r="D844" i="2"/>
  <c r="C844" i="2"/>
  <c r="B844" i="2"/>
  <c r="F843" i="2"/>
  <c r="E843" i="2"/>
  <c r="D843" i="2"/>
  <c r="C843" i="2"/>
  <c r="B843" i="2"/>
  <c r="F842" i="2"/>
  <c r="E842" i="2"/>
  <c r="D842" i="2"/>
  <c r="C842" i="2"/>
  <c r="B842" i="2"/>
  <c r="F841" i="2"/>
  <c r="E841" i="2"/>
  <c r="D841" i="2"/>
  <c r="C841" i="2"/>
  <c r="B841" i="2"/>
  <c r="F840" i="2"/>
  <c r="E840" i="2"/>
  <c r="D840" i="2"/>
  <c r="C840" i="2"/>
  <c r="B840" i="2"/>
  <c r="F839" i="2"/>
  <c r="E839" i="2"/>
  <c r="D839" i="2"/>
  <c r="C839" i="2"/>
  <c r="B839" i="2"/>
  <c r="F838" i="2"/>
  <c r="E838" i="2"/>
  <c r="D838" i="2"/>
  <c r="C838" i="2"/>
  <c r="B838" i="2"/>
  <c r="F837" i="2"/>
  <c r="E837" i="2"/>
  <c r="D837" i="2"/>
  <c r="C837" i="2"/>
  <c r="B837" i="2"/>
  <c r="F836" i="2"/>
  <c r="E836" i="2"/>
  <c r="D836" i="2"/>
  <c r="C836" i="2"/>
  <c r="B836" i="2"/>
  <c r="F835" i="2"/>
  <c r="E835" i="2"/>
  <c r="D835" i="2"/>
  <c r="C835" i="2"/>
  <c r="B835" i="2"/>
  <c r="F834" i="2"/>
  <c r="E834" i="2"/>
  <c r="D834" i="2"/>
  <c r="C834" i="2"/>
  <c r="B834" i="2"/>
  <c r="F833" i="2"/>
  <c r="E833" i="2"/>
  <c r="D833" i="2"/>
  <c r="C833" i="2"/>
  <c r="B833" i="2"/>
  <c r="F832" i="2"/>
  <c r="E832" i="2"/>
  <c r="D832" i="2"/>
  <c r="C832" i="2"/>
  <c r="B832" i="2"/>
  <c r="F831" i="2"/>
  <c r="E831" i="2"/>
  <c r="D831" i="2"/>
  <c r="C831" i="2"/>
  <c r="B831" i="2"/>
  <c r="F830" i="2"/>
  <c r="E830" i="2"/>
  <c r="D830" i="2"/>
  <c r="C830" i="2"/>
  <c r="B830" i="2"/>
  <c r="F829" i="2"/>
  <c r="E829" i="2"/>
  <c r="D829" i="2"/>
  <c r="C829" i="2"/>
  <c r="B829" i="2"/>
  <c r="F828" i="2"/>
  <c r="E828" i="2"/>
  <c r="D828" i="2"/>
  <c r="C828" i="2"/>
  <c r="B828" i="2"/>
  <c r="F827" i="2"/>
  <c r="E827" i="2"/>
  <c r="D827" i="2"/>
  <c r="C827" i="2"/>
  <c r="B827" i="2"/>
  <c r="F826" i="2"/>
  <c r="E826" i="2"/>
  <c r="D826" i="2"/>
  <c r="C826" i="2"/>
  <c r="B826" i="2"/>
  <c r="F825" i="2"/>
  <c r="E825" i="2"/>
  <c r="D825" i="2"/>
  <c r="C825" i="2"/>
  <c r="B825" i="2"/>
  <c r="F824" i="2"/>
  <c r="E824" i="2"/>
  <c r="D824" i="2"/>
  <c r="C824" i="2"/>
  <c r="B824" i="2"/>
  <c r="F823" i="2"/>
  <c r="E823" i="2"/>
  <c r="D823" i="2"/>
  <c r="C823" i="2"/>
  <c r="B823" i="2"/>
  <c r="F822" i="2"/>
  <c r="E822" i="2"/>
  <c r="D822" i="2"/>
  <c r="C822" i="2"/>
  <c r="B822" i="2"/>
  <c r="F821" i="2"/>
  <c r="E821" i="2"/>
  <c r="D821" i="2"/>
  <c r="C821" i="2"/>
  <c r="B821" i="2"/>
  <c r="F820" i="2"/>
  <c r="E820" i="2"/>
  <c r="D820" i="2"/>
  <c r="C820" i="2"/>
  <c r="B820" i="2"/>
  <c r="F819" i="2"/>
  <c r="E819" i="2"/>
  <c r="D819" i="2"/>
  <c r="C819" i="2"/>
  <c r="B819" i="2"/>
  <c r="F818" i="2"/>
  <c r="E818" i="2"/>
  <c r="D818" i="2"/>
  <c r="C818" i="2"/>
  <c r="B818" i="2"/>
  <c r="F817" i="2"/>
  <c r="E817" i="2"/>
  <c r="D817" i="2"/>
  <c r="C817" i="2"/>
  <c r="B817" i="2"/>
  <c r="F816" i="2"/>
  <c r="E816" i="2"/>
  <c r="D816" i="2"/>
  <c r="C816" i="2"/>
  <c r="B816" i="2"/>
  <c r="F815" i="2"/>
  <c r="E815" i="2"/>
  <c r="D815" i="2"/>
  <c r="C815" i="2"/>
  <c r="B815" i="2"/>
  <c r="F814" i="2"/>
  <c r="E814" i="2"/>
  <c r="D814" i="2"/>
  <c r="C814" i="2"/>
  <c r="B814" i="2"/>
  <c r="F813" i="2"/>
  <c r="E813" i="2"/>
  <c r="D813" i="2"/>
  <c r="C813" i="2"/>
  <c r="B813" i="2"/>
  <c r="F812" i="2"/>
  <c r="E812" i="2"/>
  <c r="D812" i="2"/>
  <c r="C812" i="2"/>
  <c r="B812" i="2"/>
  <c r="F811" i="2"/>
  <c r="E811" i="2"/>
  <c r="D811" i="2"/>
  <c r="C811" i="2"/>
  <c r="B811" i="2"/>
  <c r="F810" i="2"/>
  <c r="E810" i="2"/>
  <c r="D810" i="2"/>
  <c r="C810" i="2"/>
  <c r="B810" i="2"/>
  <c r="F809" i="2"/>
  <c r="E809" i="2"/>
  <c r="D809" i="2"/>
  <c r="C809" i="2"/>
  <c r="B809" i="2"/>
  <c r="F808" i="2"/>
  <c r="E808" i="2"/>
  <c r="D808" i="2"/>
  <c r="C808" i="2"/>
  <c r="B808" i="2"/>
  <c r="F807" i="2"/>
  <c r="E807" i="2"/>
  <c r="D807" i="2"/>
  <c r="C807" i="2"/>
  <c r="B807" i="2"/>
  <c r="F806" i="2"/>
  <c r="E806" i="2"/>
  <c r="D806" i="2"/>
  <c r="C806" i="2"/>
  <c r="B806" i="2"/>
  <c r="F805" i="2"/>
  <c r="E805" i="2"/>
  <c r="D805" i="2"/>
  <c r="C805" i="2"/>
  <c r="B805" i="2"/>
  <c r="F804" i="2"/>
  <c r="E804" i="2"/>
  <c r="D804" i="2"/>
  <c r="C804" i="2"/>
  <c r="B804" i="2"/>
  <c r="F803" i="2"/>
  <c r="E803" i="2"/>
  <c r="D803" i="2"/>
  <c r="C803" i="2"/>
  <c r="B803" i="2"/>
  <c r="F802" i="2"/>
  <c r="E802" i="2"/>
  <c r="D802" i="2"/>
  <c r="C802" i="2"/>
  <c r="B802" i="2"/>
  <c r="F801" i="2"/>
  <c r="E801" i="2"/>
  <c r="D801" i="2"/>
  <c r="C801" i="2"/>
  <c r="B801" i="2"/>
  <c r="F800" i="2"/>
  <c r="E800" i="2"/>
  <c r="D800" i="2"/>
  <c r="C800" i="2"/>
  <c r="B800" i="2"/>
  <c r="F799" i="2"/>
  <c r="E799" i="2"/>
  <c r="D799" i="2"/>
  <c r="C799" i="2"/>
  <c r="B799" i="2"/>
  <c r="F798" i="2"/>
  <c r="E798" i="2"/>
  <c r="D798" i="2"/>
  <c r="C798" i="2"/>
  <c r="B798" i="2"/>
  <c r="F797" i="2"/>
  <c r="E797" i="2"/>
  <c r="D797" i="2"/>
  <c r="C797" i="2"/>
  <c r="B797" i="2"/>
  <c r="F796" i="2"/>
  <c r="E796" i="2"/>
  <c r="D796" i="2"/>
  <c r="C796" i="2"/>
  <c r="B796" i="2"/>
  <c r="F795" i="2"/>
  <c r="E795" i="2"/>
  <c r="D795" i="2"/>
  <c r="C795" i="2"/>
  <c r="B795" i="2"/>
  <c r="F794" i="2"/>
  <c r="E794" i="2"/>
  <c r="D794" i="2"/>
  <c r="C794" i="2"/>
  <c r="B794" i="2"/>
  <c r="F793" i="2"/>
  <c r="E793" i="2"/>
  <c r="D793" i="2"/>
  <c r="C793" i="2"/>
  <c r="B793" i="2"/>
  <c r="F792" i="2"/>
  <c r="E792" i="2"/>
  <c r="D792" i="2"/>
  <c r="C792" i="2"/>
  <c r="B792" i="2"/>
  <c r="F791" i="2"/>
  <c r="E791" i="2"/>
  <c r="D791" i="2"/>
  <c r="C791" i="2"/>
  <c r="B791" i="2"/>
  <c r="F790" i="2"/>
  <c r="E790" i="2"/>
  <c r="D790" i="2"/>
  <c r="C790" i="2"/>
  <c r="B790" i="2"/>
  <c r="F789" i="2"/>
  <c r="E789" i="2"/>
  <c r="D789" i="2"/>
  <c r="C789" i="2"/>
  <c r="B789" i="2"/>
  <c r="F788" i="2"/>
  <c r="E788" i="2"/>
  <c r="D788" i="2"/>
  <c r="C788" i="2"/>
  <c r="B788" i="2"/>
  <c r="F787" i="2"/>
  <c r="E787" i="2"/>
  <c r="D787" i="2"/>
  <c r="C787" i="2"/>
  <c r="B787" i="2"/>
  <c r="F786" i="2"/>
  <c r="E786" i="2"/>
  <c r="D786" i="2"/>
  <c r="C786" i="2"/>
  <c r="B786" i="2"/>
  <c r="F785" i="2"/>
  <c r="E785" i="2"/>
  <c r="D785" i="2"/>
  <c r="C785" i="2"/>
  <c r="B785" i="2"/>
  <c r="F784" i="2"/>
  <c r="E784" i="2"/>
  <c r="D784" i="2"/>
  <c r="C784" i="2"/>
  <c r="B784" i="2"/>
  <c r="F783" i="2"/>
  <c r="E783" i="2"/>
  <c r="D783" i="2"/>
  <c r="C783" i="2"/>
  <c r="B783" i="2"/>
  <c r="F782" i="2"/>
  <c r="E782" i="2"/>
  <c r="D782" i="2"/>
  <c r="C782" i="2"/>
  <c r="B782" i="2"/>
  <c r="F781" i="2"/>
  <c r="E781" i="2"/>
  <c r="D781" i="2"/>
  <c r="C781" i="2"/>
  <c r="B781" i="2"/>
  <c r="F780" i="2"/>
  <c r="E780" i="2"/>
  <c r="D780" i="2"/>
  <c r="C780" i="2"/>
  <c r="B780" i="2"/>
  <c r="F779" i="2"/>
  <c r="E779" i="2"/>
  <c r="D779" i="2"/>
  <c r="C779" i="2"/>
  <c r="B779" i="2"/>
  <c r="F778" i="2"/>
  <c r="E778" i="2"/>
  <c r="D778" i="2"/>
  <c r="C778" i="2"/>
  <c r="B778" i="2"/>
  <c r="F777" i="2"/>
  <c r="E777" i="2"/>
  <c r="D777" i="2"/>
  <c r="C777" i="2"/>
  <c r="B777" i="2"/>
  <c r="F776" i="2"/>
  <c r="E776" i="2"/>
  <c r="D776" i="2"/>
  <c r="C776" i="2"/>
  <c r="B776" i="2"/>
  <c r="F775" i="2"/>
  <c r="E775" i="2"/>
  <c r="D775" i="2"/>
  <c r="C775" i="2"/>
  <c r="B775" i="2"/>
  <c r="F774" i="2"/>
  <c r="E774" i="2"/>
  <c r="D774" i="2"/>
  <c r="C774" i="2"/>
  <c r="B774" i="2"/>
  <c r="F773" i="2"/>
  <c r="E773" i="2"/>
  <c r="D773" i="2"/>
  <c r="C773" i="2"/>
  <c r="B773" i="2"/>
  <c r="F772" i="2"/>
  <c r="E772" i="2"/>
  <c r="D772" i="2"/>
  <c r="C772" i="2"/>
  <c r="B772" i="2"/>
  <c r="F771" i="2"/>
  <c r="E771" i="2"/>
  <c r="D771" i="2"/>
  <c r="C771" i="2"/>
  <c r="B771" i="2"/>
  <c r="F770" i="2"/>
  <c r="E770" i="2"/>
  <c r="D770" i="2"/>
  <c r="C770" i="2"/>
  <c r="B770" i="2"/>
  <c r="F769" i="2"/>
  <c r="E769" i="2"/>
  <c r="D769" i="2"/>
  <c r="C769" i="2"/>
  <c r="B769" i="2"/>
  <c r="F768" i="2"/>
  <c r="E768" i="2"/>
  <c r="D768" i="2"/>
  <c r="C768" i="2"/>
  <c r="B768" i="2"/>
  <c r="F767" i="2"/>
  <c r="E767" i="2"/>
  <c r="D767" i="2"/>
  <c r="C767" i="2"/>
  <c r="B767" i="2"/>
  <c r="F766" i="2"/>
  <c r="E766" i="2"/>
  <c r="D766" i="2"/>
  <c r="C766" i="2"/>
  <c r="B766" i="2"/>
  <c r="F765" i="2"/>
  <c r="E765" i="2"/>
  <c r="D765" i="2"/>
  <c r="C765" i="2"/>
  <c r="B765" i="2"/>
  <c r="F764" i="2"/>
  <c r="E764" i="2"/>
  <c r="D764" i="2"/>
  <c r="C764" i="2"/>
  <c r="B764" i="2"/>
  <c r="F763" i="2"/>
  <c r="E763" i="2"/>
  <c r="D763" i="2"/>
  <c r="C763" i="2"/>
  <c r="B763" i="2"/>
  <c r="F762" i="2"/>
  <c r="E762" i="2"/>
  <c r="D762" i="2"/>
  <c r="C762" i="2"/>
  <c r="B762" i="2"/>
  <c r="F761" i="2"/>
  <c r="E761" i="2"/>
  <c r="D761" i="2"/>
  <c r="C761" i="2"/>
  <c r="B761" i="2"/>
  <c r="F760" i="2"/>
  <c r="E760" i="2"/>
  <c r="D760" i="2"/>
  <c r="C760" i="2"/>
  <c r="B760" i="2"/>
  <c r="F759" i="2"/>
  <c r="E759" i="2"/>
  <c r="D759" i="2"/>
  <c r="C759" i="2"/>
  <c r="B759" i="2"/>
  <c r="F758" i="2"/>
  <c r="E758" i="2"/>
  <c r="D758" i="2"/>
  <c r="C758" i="2"/>
  <c r="B758" i="2"/>
  <c r="F757" i="2"/>
  <c r="E757" i="2"/>
  <c r="D757" i="2"/>
  <c r="C757" i="2"/>
  <c r="B757" i="2"/>
  <c r="F756" i="2"/>
  <c r="E756" i="2"/>
  <c r="D756" i="2"/>
  <c r="C756" i="2"/>
  <c r="B756" i="2"/>
  <c r="F755" i="2"/>
  <c r="E755" i="2"/>
  <c r="D755" i="2"/>
  <c r="C755" i="2"/>
  <c r="B755" i="2"/>
  <c r="F754" i="2"/>
  <c r="E754" i="2"/>
  <c r="D754" i="2"/>
  <c r="C754" i="2"/>
  <c r="B754" i="2"/>
  <c r="F753" i="2"/>
  <c r="E753" i="2"/>
  <c r="D753" i="2"/>
  <c r="C753" i="2"/>
  <c r="B753" i="2"/>
  <c r="F752" i="2"/>
  <c r="E752" i="2"/>
  <c r="D752" i="2"/>
  <c r="C752" i="2"/>
  <c r="B752" i="2"/>
  <c r="F751" i="2"/>
  <c r="E751" i="2"/>
  <c r="D751" i="2"/>
  <c r="C751" i="2"/>
  <c r="B751" i="2"/>
  <c r="F750" i="2"/>
  <c r="E750" i="2"/>
  <c r="D750" i="2"/>
  <c r="C750" i="2"/>
  <c r="B750" i="2"/>
  <c r="F749" i="2"/>
  <c r="E749" i="2"/>
  <c r="D749" i="2"/>
  <c r="C749" i="2"/>
  <c r="B749" i="2"/>
  <c r="F748" i="2"/>
  <c r="E748" i="2"/>
  <c r="D748" i="2"/>
  <c r="C748" i="2"/>
  <c r="B748" i="2"/>
  <c r="F747" i="2"/>
  <c r="E747" i="2"/>
  <c r="D747" i="2"/>
  <c r="C747" i="2"/>
  <c r="B747" i="2"/>
  <c r="F746" i="2"/>
  <c r="E746" i="2"/>
  <c r="D746" i="2"/>
  <c r="C746" i="2"/>
  <c r="B746" i="2"/>
  <c r="F745" i="2"/>
  <c r="E745" i="2"/>
  <c r="D745" i="2"/>
  <c r="C745" i="2"/>
  <c r="B745" i="2"/>
  <c r="F744" i="2"/>
  <c r="E744" i="2"/>
  <c r="D744" i="2"/>
  <c r="C744" i="2"/>
  <c r="B744" i="2"/>
  <c r="F743" i="2"/>
  <c r="E743" i="2"/>
  <c r="D743" i="2"/>
  <c r="C743" i="2"/>
  <c r="B743" i="2"/>
  <c r="F742" i="2"/>
  <c r="E742" i="2"/>
  <c r="D742" i="2"/>
  <c r="C742" i="2"/>
  <c r="B742" i="2"/>
  <c r="F741" i="2"/>
  <c r="E741" i="2"/>
  <c r="D741" i="2"/>
  <c r="C741" i="2"/>
  <c r="B741" i="2"/>
  <c r="F740" i="2"/>
  <c r="E740" i="2"/>
  <c r="D740" i="2"/>
  <c r="C740" i="2"/>
  <c r="B740" i="2"/>
  <c r="F739" i="2"/>
  <c r="E739" i="2"/>
  <c r="D739" i="2"/>
  <c r="C739" i="2"/>
  <c r="B739" i="2"/>
  <c r="F738" i="2"/>
  <c r="E738" i="2"/>
  <c r="D738" i="2"/>
  <c r="C738" i="2"/>
  <c r="B738" i="2"/>
  <c r="F737" i="2"/>
  <c r="E737" i="2"/>
  <c r="D737" i="2"/>
  <c r="C737" i="2"/>
  <c r="B737" i="2"/>
  <c r="F736" i="2"/>
  <c r="E736" i="2"/>
  <c r="D736" i="2"/>
  <c r="C736" i="2"/>
  <c r="B736" i="2"/>
  <c r="F735" i="2"/>
  <c r="E735" i="2"/>
  <c r="D735" i="2"/>
  <c r="C735" i="2"/>
  <c r="B735" i="2"/>
  <c r="F734" i="2"/>
  <c r="E734" i="2"/>
  <c r="D734" i="2"/>
  <c r="C734" i="2"/>
  <c r="B734" i="2"/>
  <c r="F733" i="2"/>
  <c r="E733" i="2"/>
  <c r="D733" i="2"/>
  <c r="C733" i="2"/>
  <c r="B733" i="2"/>
  <c r="F732" i="2"/>
  <c r="E732" i="2"/>
  <c r="D732" i="2"/>
  <c r="C732" i="2"/>
  <c r="B732" i="2"/>
  <c r="F731" i="2"/>
  <c r="E731" i="2"/>
  <c r="D731" i="2"/>
  <c r="C731" i="2"/>
  <c r="B731" i="2"/>
  <c r="F730" i="2"/>
  <c r="E730" i="2"/>
  <c r="D730" i="2"/>
  <c r="C730" i="2"/>
  <c r="B730" i="2"/>
  <c r="F729" i="2"/>
  <c r="E729" i="2"/>
  <c r="D729" i="2"/>
  <c r="C729" i="2"/>
  <c r="B729" i="2"/>
  <c r="F728" i="2"/>
  <c r="E728" i="2"/>
  <c r="D728" i="2"/>
  <c r="C728" i="2"/>
  <c r="B728" i="2"/>
  <c r="F727" i="2"/>
  <c r="E727" i="2"/>
  <c r="D727" i="2"/>
  <c r="C727" i="2"/>
  <c r="B727" i="2"/>
  <c r="F726" i="2"/>
  <c r="E726" i="2"/>
  <c r="D726" i="2"/>
  <c r="C726" i="2"/>
  <c r="B726" i="2"/>
  <c r="F725" i="2"/>
  <c r="E725" i="2"/>
  <c r="D725" i="2"/>
  <c r="C725" i="2"/>
  <c r="B725" i="2"/>
  <c r="F724" i="2"/>
  <c r="E724" i="2"/>
  <c r="D724" i="2"/>
  <c r="C724" i="2"/>
  <c r="B724" i="2"/>
  <c r="F723" i="2"/>
  <c r="E723" i="2"/>
  <c r="D723" i="2"/>
  <c r="C723" i="2"/>
  <c r="B723" i="2"/>
  <c r="F722" i="2"/>
  <c r="E722" i="2"/>
  <c r="D722" i="2"/>
  <c r="C722" i="2"/>
  <c r="B722" i="2"/>
  <c r="F721" i="2"/>
  <c r="E721" i="2"/>
  <c r="D721" i="2"/>
  <c r="C721" i="2"/>
  <c r="B721" i="2"/>
  <c r="F720" i="2"/>
  <c r="E720" i="2"/>
  <c r="D720" i="2"/>
  <c r="C720" i="2"/>
  <c r="B720" i="2"/>
  <c r="F719" i="2"/>
  <c r="E719" i="2"/>
  <c r="D719" i="2"/>
  <c r="C719" i="2"/>
  <c r="B719" i="2"/>
  <c r="F718" i="2"/>
  <c r="E718" i="2"/>
  <c r="D718" i="2"/>
  <c r="C718" i="2"/>
  <c r="B718" i="2"/>
  <c r="F717" i="2"/>
  <c r="E717" i="2"/>
  <c r="D717" i="2"/>
  <c r="C717" i="2"/>
  <c r="B717" i="2"/>
  <c r="F716" i="2"/>
  <c r="E716" i="2"/>
  <c r="D716" i="2"/>
  <c r="C716" i="2"/>
  <c r="B716" i="2"/>
  <c r="F715" i="2"/>
  <c r="E715" i="2"/>
  <c r="D715" i="2"/>
  <c r="C715" i="2"/>
  <c r="B715" i="2"/>
  <c r="F714" i="2"/>
  <c r="E714" i="2"/>
  <c r="D714" i="2"/>
  <c r="C714" i="2"/>
  <c r="B714" i="2"/>
  <c r="F713" i="2"/>
  <c r="E713" i="2"/>
  <c r="D713" i="2"/>
  <c r="C713" i="2"/>
  <c r="B713" i="2"/>
  <c r="F712" i="2"/>
  <c r="E712" i="2"/>
  <c r="D712" i="2"/>
  <c r="C712" i="2"/>
  <c r="B712" i="2"/>
  <c r="F711" i="2"/>
  <c r="E711" i="2"/>
  <c r="D711" i="2"/>
  <c r="C711" i="2"/>
  <c r="B711" i="2"/>
  <c r="F710" i="2"/>
  <c r="E710" i="2"/>
  <c r="D710" i="2"/>
  <c r="C710" i="2"/>
  <c r="B710" i="2"/>
  <c r="F709" i="2"/>
  <c r="E709" i="2"/>
  <c r="D709" i="2"/>
  <c r="C709" i="2"/>
  <c r="B709" i="2"/>
  <c r="F708" i="2"/>
  <c r="E708" i="2"/>
  <c r="D708" i="2"/>
  <c r="C708" i="2"/>
  <c r="B708" i="2"/>
  <c r="F707" i="2"/>
  <c r="E707" i="2"/>
  <c r="D707" i="2"/>
  <c r="C707" i="2"/>
  <c r="B707" i="2"/>
  <c r="F706" i="2"/>
  <c r="E706" i="2"/>
  <c r="D706" i="2"/>
  <c r="C706" i="2"/>
  <c r="B706" i="2"/>
  <c r="F705" i="2"/>
  <c r="E705" i="2"/>
  <c r="D705" i="2"/>
  <c r="C705" i="2"/>
  <c r="B705" i="2"/>
  <c r="F704" i="2"/>
  <c r="E704" i="2"/>
  <c r="D704" i="2"/>
  <c r="C704" i="2"/>
  <c r="B704" i="2"/>
  <c r="F703" i="2"/>
  <c r="E703" i="2"/>
  <c r="D703" i="2"/>
  <c r="C703" i="2"/>
  <c r="B703" i="2"/>
  <c r="F702" i="2"/>
  <c r="E702" i="2"/>
  <c r="D702" i="2"/>
  <c r="C702" i="2"/>
  <c r="B702" i="2"/>
  <c r="F701" i="2"/>
  <c r="E701" i="2"/>
  <c r="D701" i="2"/>
  <c r="C701" i="2"/>
  <c r="B701" i="2"/>
  <c r="F700" i="2"/>
  <c r="E700" i="2"/>
  <c r="D700" i="2"/>
  <c r="C700" i="2"/>
  <c r="B700" i="2"/>
  <c r="F699" i="2"/>
  <c r="E699" i="2"/>
  <c r="D699" i="2"/>
  <c r="C699" i="2"/>
  <c r="B699" i="2"/>
  <c r="F698" i="2"/>
  <c r="E698" i="2"/>
  <c r="D698" i="2"/>
  <c r="C698" i="2"/>
  <c r="B698" i="2"/>
  <c r="F697" i="2"/>
  <c r="E697" i="2"/>
  <c r="D697" i="2"/>
  <c r="C697" i="2"/>
  <c r="B697" i="2"/>
  <c r="F696" i="2"/>
  <c r="E696" i="2"/>
  <c r="D696" i="2"/>
  <c r="C696" i="2"/>
  <c r="B696" i="2"/>
  <c r="F695" i="2"/>
  <c r="E695" i="2"/>
  <c r="D695" i="2"/>
  <c r="C695" i="2"/>
  <c r="B695" i="2"/>
  <c r="F694" i="2"/>
  <c r="E694" i="2"/>
  <c r="D694" i="2"/>
  <c r="C694" i="2"/>
  <c r="B694" i="2"/>
  <c r="F693" i="2"/>
  <c r="E693" i="2"/>
  <c r="D693" i="2"/>
  <c r="C693" i="2"/>
  <c r="B693" i="2"/>
  <c r="F692" i="2"/>
  <c r="E692" i="2"/>
  <c r="D692" i="2"/>
  <c r="C692" i="2"/>
  <c r="B692" i="2"/>
  <c r="F691" i="2"/>
  <c r="E691" i="2"/>
  <c r="D691" i="2"/>
  <c r="C691" i="2"/>
  <c r="B691" i="2"/>
  <c r="F690" i="2"/>
  <c r="E690" i="2"/>
  <c r="D690" i="2"/>
  <c r="C690" i="2"/>
  <c r="B690" i="2"/>
  <c r="F689" i="2"/>
  <c r="E689" i="2"/>
  <c r="D689" i="2"/>
  <c r="C689" i="2"/>
  <c r="B689" i="2"/>
  <c r="F688" i="2"/>
  <c r="E688" i="2"/>
  <c r="D688" i="2"/>
  <c r="C688" i="2"/>
  <c r="B688" i="2"/>
  <c r="F687" i="2"/>
  <c r="E687" i="2"/>
  <c r="D687" i="2"/>
  <c r="C687" i="2"/>
  <c r="B687" i="2"/>
  <c r="F686" i="2"/>
  <c r="E686" i="2"/>
  <c r="D686" i="2"/>
  <c r="C686" i="2"/>
  <c r="B686" i="2"/>
  <c r="F685" i="2"/>
  <c r="E685" i="2"/>
  <c r="D685" i="2"/>
  <c r="C685" i="2"/>
  <c r="B685" i="2"/>
  <c r="F684" i="2"/>
  <c r="E684" i="2"/>
  <c r="D684" i="2"/>
  <c r="C684" i="2"/>
  <c r="B684" i="2"/>
  <c r="F683" i="2"/>
  <c r="E683" i="2"/>
  <c r="D683" i="2"/>
  <c r="C683" i="2"/>
  <c r="B683" i="2"/>
  <c r="F682" i="2"/>
  <c r="E682" i="2"/>
  <c r="D682" i="2"/>
  <c r="C682" i="2"/>
  <c r="B682" i="2"/>
  <c r="F681" i="2"/>
  <c r="E681" i="2"/>
  <c r="D681" i="2"/>
  <c r="C681" i="2"/>
  <c r="B681" i="2"/>
  <c r="F680" i="2"/>
  <c r="E680" i="2"/>
  <c r="D680" i="2"/>
  <c r="C680" i="2"/>
  <c r="B680" i="2"/>
  <c r="F679" i="2"/>
  <c r="E679" i="2"/>
  <c r="D679" i="2"/>
  <c r="C679" i="2"/>
  <c r="B679" i="2"/>
  <c r="F678" i="2"/>
  <c r="E678" i="2"/>
  <c r="D678" i="2"/>
  <c r="C678" i="2"/>
  <c r="B678" i="2"/>
  <c r="F677" i="2"/>
  <c r="E677" i="2"/>
  <c r="D677" i="2"/>
  <c r="C677" i="2"/>
  <c r="B677" i="2"/>
  <c r="F676" i="2"/>
  <c r="E676" i="2"/>
  <c r="D676" i="2"/>
  <c r="C676" i="2"/>
  <c r="B676" i="2"/>
  <c r="F675" i="2"/>
  <c r="E675" i="2"/>
  <c r="D675" i="2"/>
  <c r="C675" i="2"/>
  <c r="B675" i="2"/>
  <c r="F674" i="2"/>
  <c r="E674" i="2"/>
  <c r="D674" i="2"/>
  <c r="C674" i="2"/>
  <c r="B674" i="2"/>
  <c r="F673" i="2"/>
  <c r="E673" i="2"/>
  <c r="D673" i="2"/>
  <c r="C673" i="2"/>
  <c r="B673" i="2"/>
  <c r="F672" i="2"/>
  <c r="E672" i="2"/>
  <c r="D672" i="2"/>
  <c r="C672" i="2"/>
  <c r="B672" i="2"/>
  <c r="F671" i="2"/>
  <c r="E671" i="2"/>
  <c r="D671" i="2"/>
  <c r="C671" i="2"/>
  <c r="B671" i="2"/>
  <c r="F670" i="2"/>
  <c r="E670" i="2"/>
  <c r="D670" i="2"/>
  <c r="C670" i="2"/>
  <c r="B670" i="2"/>
  <c r="F669" i="2"/>
  <c r="E669" i="2"/>
  <c r="D669" i="2"/>
  <c r="C669" i="2"/>
  <c r="B669" i="2"/>
  <c r="F668" i="2"/>
  <c r="E668" i="2"/>
  <c r="D668" i="2"/>
  <c r="C668" i="2"/>
  <c r="B668" i="2"/>
  <c r="F667" i="2"/>
  <c r="E667" i="2"/>
  <c r="D667" i="2"/>
  <c r="C667" i="2"/>
  <c r="B667" i="2"/>
  <c r="F666" i="2"/>
  <c r="E666" i="2"/>
  <c r="D666" i="2"/>
  <c r="C666" i="2"/>
  <c r="B666" i="2"/>
  <c r="F665" i="2"/>
  <c r="E665" i="2"/>
  <c r="D665" i="2"/>
  <c r="C665" i="2"/>
  <c r="B665" i="2"/>
  <c r="F664" i="2"/>
  <c r="E664" i="2"/>
  <c r="D664" i="2"/>
  <c r="C664" i="2"/>
  <c r="B664" i="2"/>
  <c r="F663" i="2"/>
  <c r="E663" i="2"/>
  <c r="D663" i="2"/>
  <c r="C663" i="2"/>
  <c r="B663" i="2"/>
  <c r="F662" i="2"/>
  <c r="E662" i="2"/>
  <c r="D662" i="2"/>
  <c r="C662" i="2"/>
  <c r="B662" i="2"/>
  <c r="F661" i="2"/>
  <c r="E661" i="2"/>
  <c r="D661" i="2"/>
  <c r="C661" i="2"/>
  <c r="B661" i="2"/>
  <c r="F660" i="2"/>
  <c r="E660" i="2"/>
  <c r="D660" i="2"/>
  <c r="C660" i="2"/>
  <c r="B660" i="2"/>
  <c r="F659" i="2"/>
  <c r="E659" i="2"/>
  <c r="D659" i="2"/>
  <c r="C659" i="2"/>
  <c r="B659" i="2"/>
  <c r="F658" i="2"/>
  <c r="E658" i="2"/>
  <c r="D658" i="2"/>
  <c r="C658" i="2"/>
  <c r="B658" i="2"/>
  <c r="F657" i="2"/>
  <c r="E657" i="2"/>
  <c r="D657" i="2"/>
  <c r="C657" i="2"/>
  <c r="B657" i="2"/>
  <c r="F656" i="2"/>
  <c r="E656" i="2"/>
  <c r="D656" i="2"/>
  <c r="C656" i="2"/>
  <c r="B656" i="2"/>
  <c r="F655" i="2"/>
  <c r="E655" i="2"/>
  <c r="D655" i="2"/>
  <c r="C655" i="2"/>
  <c r="B655" i="2"/>
  <c r="F654" i="2"/>
  <c r="E654" i="2"/>
  <c r="D654" i="2"/>
  <c r="C654" i="2"/>
  <c r="B654" i="2"/>
  <c r="F653" i="2"/>
  <c r="E653" i="2"/>
  <c r="D653" i="2"/>
  <c r="C653" i="2"/>
  <c r="B653" i="2"/>
  <c r="F652" i="2"/>
  <c r="E652" i="2"/>
  <c r="D652" i="2"/>
  <c r="C652" i="2"/>
  <c r="B652" i="2"/>
  <c r="F651" i="2"/>
  <c r="E651" i="2"/>
  <c r="D651" i="2"/>
  <c r="C651" i="2"/>
  <c r="B651" i="2"/>
  <c r="F650" i="2"/>
  <c r="E650" i="2"/>
  <c r="D650" i="2"/>
  <c r="C650" i="2"/>
  <c r="B650" i="2"/>
  <c r="F649" i="2"/>
  <c r="E649" i="2"/>
  <c r="D649" i="2"/>
  <c r="C649" i="2"/>
  <c r="B649" i="2"/>
  <c r="F648" i="2"/>
  <c r="E648" i="2"/>
  <c r="D648" i="2"/>
  <c r="C648" i="2"/>
  <c r="B648" i="2"/>
  <c r="F647" i="2"/>
  <c r="E647" i="2"/>
  <c r="D647" i="2"/>
  <c r="C647" i="2"/>
  <c r="B647" i="2"/>
  <c r="F646" i="2"/>
  <c r="E646" i="2"/>
  <c r="D646" i="2"/>
  <c r="C646" i="2"/>
  <c r="B646" i="2"/>
  <c r="F645" i="2"/>
  <c r="E645" i="2"/>
  <c r="D645" i="2"/>
  <c r="C645" i="2"/>
  <c r="B645" i="2"/>
  <c r="F644" i="2"/>
  <c r="E644" i="2"/>
  <c r="D644" i="2"/>
  <c r="C644" i="2"/>
  <c r="B644" i="2"/>
  <c r="F643" i="2"/>
  <c r="E643" i="2"/>
  <c r="D643" i="2"/>
  <c r="C643" i="2"/>
  <c r="B643" i="2"/>
  <c r="F642" i="2"/>
  <c r="E642" i="2"/>
  <c r="D642" i="2"/>
  <c r="C642" i="2"/>
  <c r="B642" i="2"/>
  <c r="F641" i="2"/>
  <c r="E641" i="2"/>
  <c r="D641" i="2"/>
  <c r="C641" i="2"/>
  <c r="B641" i="2"/>
  <c r="F640" i="2"/>
  <c r="E640" i="2"/>
  <c r="D640" i="2"/>
  <c r="C640" i="2"/>
  <c r="B640" i="2"/>
  <c r="F639" i="2"/>
  <c r="E639" i="2"/>
  <c r="D639" i="2"/>
  <c r="C639" i="2"/>
  <c r="B639" i="2"/>
  <c r="F638" i="2"/>
  <c r="E638" i="2"/>
  <c r="D638" i="2"/>
  <c r="C638" i="2"/>
  <c r="B638" i="2"/>
  <c r="F637" i="2"/>
  <c r="E637" i="2"/>
  <c r="D637" i="2"/>
  <c r="C637" i="2"/>
  <c r="B637" i="2"/>
  <c r="F636" i="2"/>
  <c r="E636" i="2"/>
  <c r="D636" i="2"/>
  <c r="C636" i="2"/>
  <c r="B636" i="2"/>
  <c r="F635" i="2"/>
  <c r="E635" i="2"/>
  <c r="D635" i="2"/>
  <c r="C635" i="2"/>
  <c r="B635" i="2"/>
  <c r="F634" i="2"/>
  <c r="E634" i="2"/>
  <c r="D634" i="2"/>
  <c r="C634" i="2"/>
  <c r="B634" i="2"/>
  <c r="F633" i="2"/>
  <c r="E633" i="2"/>
  <c r="D633" i="2"/>
  <c r="C633" i="2"/>
  <c r="B633" i="2"/>
  <c r="F632" i="2"/>
  <c r="E632" i="2"/>
  <c r="D632" i="2"/>
  <c r="C632" i="2"/>
  <c r="B632" i="2"/>
  <c r="F631" i="2"/>
  <c r="E631" i="2"/>
  <c r="D631" i="2"/>
  <c r="C631" i="2"/>
  <c r="B631" i="2"/>
  <c r="F630" i="2"/>
  <c r="E630" i="2"/>
  <c r="D630" i="2"/>
  <c r="C630" i="2"/>
  <c r="B630" i="2"/>
  <c r="F629" i="2"/>
  <c r="E629" i="2"/>
  <c r="D629" i="2"/>
  <c r="C629" i="2"/>
  <c r="B629" i="2"/>
  <c r="F628" i="2"/>
  <c r="E628" i="2"/>
  <c r="D628" i="2"/>
  <c r="C628" i="2"/>
  <c r="B628" i="2"/>
  <c r="F627" i="2"/>
  <c r="E627" i="2"/>
  <c r="D627" i="2"/>
  <c r="C627" i="2"/>
  <c r="B627" i="2"/>
  <c r="F626" i="2"/>
  <c r="E626" i="2"/>
  <c r="D626" i="2"/>
  <c r="C626" i="2"/>
  <c r="B626" i="2"/>
  <c r="F625" i="2"/>
  <c r="E625" i="2"/>
  <c r="D625" i="2"/>
  <c r="C625" i="2"/>
  <c r="B625" i="2"/>
  <c r="F624" i="2"/>
  <c r="E624" i="2"/>
  <c r="D624" i="2"/>
  <c r="C624" i="2"/>
  <c r="B624" i="2"/>
  <c r="F623" i="2"/>
  <c r="E623" i="2"/>
  <c r="D623" i="2"/>
  <c r="C623" i="2"/>
  <c r="B623" i="2"/>
  <c r="F622" i="2"/>
  <c r="E622" i="2"/>
  <c r="D622" i="2"/>
  <c r="C622" i="2"/>
  <c r="B622" i="2"/>
  <c r="F621" i="2"/>
  <c r="E621" i="2"/>
  <c r="D621" i="2"/>
  <c r="C621" i="2"/>
  <c r="B621" i="2"/>
  <c r="F620" i="2"/>
  <c r="E620" i="2"/>
  <c r="D620" i="2"/>
  <c r="C620" i="2"/>
  <c r="B620" i="2"/>
  <c r="F619" i="2"/>
  <c r="E619" i="2"/>
  <c r="D619" i="2"/>
  <c r="C619" i="2"/>
  <c r="B619" i="2"/>
  <c r="F618" i="2"/>
  <c r="E618" i="2"/>
  <c r="D618" i="2"/>
  <c r="C618" i="2"/>
  <c r="B618" i="2"/>
  <c r="F617" i="2"/>
  <c r="E617" i="2"/>
  <c r="D617" i="2"/>
  <c r="C617" i="2"/>
  <c r="B617" i="2"/>
  <c r="F616" i="2"/>
  <c r="E616" i="2"/>
  <c r="D616" i="2"/>
  <c r="C616" i="2"/>
  <c r="B616" i="2"/>
  <c r="F615" i="2"/>
  <c r="E615" i="2"/>
  <c r="D615" i="2"/>
  <c r="C615" i="2"/>
  <c r="B615" i="2"/>
  <c r="F614" i="2"/>
  <c r="E614" i="2"/>
  <c r="D614" i="2"/>
  <c r="C614" i="2"/>
  <c r="B614" i="2"/>
  <c r="F613" i="2"/>
  <c r="E613" i="2"/>
  <c r="D613" i="2"/>
  <c r="C613" i="2"/>
  <c r="B613" i="2"/>
  <c r="F612" i="2"/>
  <c r="E612" i="2"/>
  <c r="D612" i="2"/>
  <c r="C612" i="2"/>
  <c r="B612" i="2"/>
  <c r="F611" i="2"/>
  <c r="E611" i="2"/>
  <c r="D611" i="2"/>
  <c r="C611" i="2"/>
  <c r="B611" i="2"/>
  <c r="F610" i="2"/>
  <c r="E610" i="2"/>
  <c r="D610" i="2"/>
  <c r="C610" i="2"/>
  <c r="B610" i="2"/>
  <c r="F609" i="2"/>
  <c r="E609" i="2"/>
  <c r="D609" i="2"/>
  <c r="C609" i="2"/>
  <c r="B609" i="2"/>
  <c r="F608" i="2"/>
  <c r="E608" i="2"/>
  <c r="D608" i="2"/>
  <c r="C608" i="2"/>
  <c r="B608" i="2"/>
  <c r="F607" i="2"/>
  <c r="E607" i="2"/>
  <c r="D607" i="2"/>
  <c r="C607" i="2"/>
  <c r="B607" i="2"/>
  <c r="F606" i="2"/>
  <c r="E606" i="2"/>
  <c r="D606" i="2"/>
  <c r="C606" i="2"/>
  <c r="B606" i="2"/>
  <c r="F605" i="2"/>
  <c r="E605" i="2"/>
  <c r="D605" i="2"/>
  <c r="C605" i="2"/>
  <c r="B605" i="2"/>
  <c r="F604" i="2"/>
  <c r="E604" i="2"/>
  <c r="D604" i="2"/>
  <c r="C604" i="2"/>
  <c r="B604" i="2"/>
  <c r="F603" i="2"/>
  <c r="E603" i="2"/>
  <c r="D603" i="2"/>
  <c r="C603" i="2"/>
  <c r="B603" i="2"/>
  <c r="F602" i="2"/>
  <c r="E602" i="2"/>
  <c r="D602" i="2"/>
  <c r="C602" i="2"/>
  <c r="B602" i="2"/>
  <c r="F601" i="2"/>
  <c r="E601" i="2"/>
  <c r="D601" i="2"/>
  <c r="C601" i="2"/>
  <c r="B601" i="2"/>
  <c r="F600" i="2"/>
  <c r="E600" i="2"/>
  <c r="D600" i="2"/>
  <c r="C600" i="2"/>
  <c r="B600" i="2"/>
  <c r="F599" i="2"/>
  <c r="E599" i="2"/>
  <c r="D599" i="2"/>
  <c r="C599" i="2"/>
  <c r="B599" i="2"/>
  <c r="F598" i="2"/>
  <c r="E598" i="2"/>
  <c r="D598" i="2"/>
  <c r="C598" i="2"/>
  <c r="B598" i="2"/>
  <c r="F597" i="2"/>
  <c r="E597" i="2"/>
  <c r="D597" i="2"/>
  <c r="C597" i="2"/>
  <c r="B597" i="2"/>
  <c r="F596" i="2"/>
  <c r="E596" i="2"/>
  <c r="D596" i="2"/>
  <c r="C596" i="2"/>
  <c r="B596" i="2"/>
  <c r="F595" i="2"/>
  <c r="E595" i="2"/>
  <c r="D595" i="2"/>
  <c r="C595" i="2"/>
  <c r="B595" i="2"/>
  <c r="F594" i="2"/>
  <c r="E594" i="2"/>
  <c r="D594" i="2"/>
  <c r="C594" i="2"/>
  <c r="B594" i="2"/>
  <c r="F593" i="2"/>
  <c r="E593" i="2"/>
  <c r="D593" i="2"/>
  <c r="C593" i="2"/>
  <c r="B593" i="2"/>
  <c r="F592" i="2"/>
  <c r="E592" i="2"/>
  <c r="D592" i="2"/>
  <c r="C592" i="2"/>
  <c r="B592" i="2"/>
  <c r="F591" i="2"/>
  <c r="E591" i="2"/>
  <c r="D591" i="2"/>
  <c r="C591" i="2"/>
  <c r="B591" i="2"/>
  <c r="F590" i="2"/>
  <c r="E590" i="2"/>
  <c r="D590" i="2"/>
  <c r="C590" i="2"/>
  <c r="B590" i="2"/>
  <c r="F589" i="2"/>
  <c r="E589" i="2"/>
  <c r="D589" i="2"/>
  <c r="C589" i="2"/>
  <c r="B589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5" i="2"/>
  <c r="E585" i="2"/>
  <c r="D585" i="2"/>
  <c r="C585" i="2"/>
  <c r="B585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50" i="2"/>
  <c r="E550" i="2"/>
  <c r="D550" i="2"/>
  <c r="C550" i="2"/>
  <c r="B550" i="2"/>
  <c r="F549" i="2"/>
  <c r="E549" i="2"/>
  <c r="D549" i="2"/>
  <c r="C549" i="2"/>
  <c r="B549" i="2"/>
  <c r="F548" i="2"/>
  <c r="E548" i="2"/>
  <c r="D548" i="2"/>
  <c r="C548" i="2"/>
  <c r="B548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9" i="2"/>
  <c r="E539" i="2"/>
  <c r="D539" i="2"/>
  <c r="C539" i="2"/>
  <c r="B539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30" i="2"/>
  <c r="E530" i="2"/>
  <c r="D530" i="2"/>
  <c r="C530" i="2"/>
  <c r="B530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5" i="2"/>
  <c r="E525" i="2"/>
  <c r="D525" i="2"/>
  <c r="C525" i="2"/>
  <c r="B525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500" i="2"/>
  <c r="E500" i="2"/>
  <c r="D500" i="2"/>
  <c r="C500" i="2"/>
  <c r="B500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90" i="2"/>
  <c r="E490" i="2"/>
  <c r="D490" i="2"/>
  <c r="C490" i="2"/>
  <c r="B490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5" i="2"/>
  <c r="E455" i="2"/>
  <c r="D455" i="2"/>
  <c r="C455" i="2"/>
  <c r="B455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2" i="2"/>
  <c r="E442" i="2"/>
  <c r="D442" i="2"/>
  <c r="C442" i="2"/>
  <c r="B442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1" i="2"/>
  <c r="E431" i="2"/>
  <c r="D431" i="2"/>
  <c r="C431" i="2"/>
  <c r="B431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6" i="2"/>
  <c r="E416" i="2"/>
  <c r="D416" i="2"/>
  <c r="C416" i="2"/>
  <c r="B416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400" i="2"/>
  <c r="E400" i="2"/>
  <c r="D400" i="2"/>
  <c r="C400" i="2"/>
  <c r="B400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4" i="2"/>
  <c r="E394" i="2"/>
  <c r="D394" i="2"/>
  <c r="C394" i="2"/>
  <c r="B394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<sst xmlns="http://schemas.openxmlformats.org/spreadsheetml/2006/main" count="84" uniqueCount="79">
  <si>
    <t>Date</t>
  </si>
  <si>
    <t>USGGBE10</t>
  </si>
  <si>
    <t>USGGBE05</t>
  </si>
  <si>
    <t>DEGGBE10</t>
  </si>
  <si>
    <t>USGGBE02</t>
  </si>
  <si>
    <t>UKIMII05</t>
  </si>
  <si>
    <t>USCRWTIC</t>
  </si>
  <si>
    <t>NGUSHHUB</t>
  </si>
  <si>
    <t>SPX</t>
  </si>
  <si>
    <t>US Breakeven 10 Year</t>
  </si>
  <si>
    <t>US Breakeven 5 Year</t>
  </si>
  <si>
    <t>Germany Breakeven 10 Year</t>
  </si>
  <si>
    <t>US Breakeven 2 Year</t>
  </si>
  <si>
    <t>UK Instantaneous Implied Inflation Forward Curve 5 Year</t>
  </si>
  <si>
    <t>US Crude Oil WTI Cushing OK Spot</t>
  </si>
  <si>
    <t>Henry Hub Natural Gas Spot Price</t>
  </si>
  <si>
    <t>S&amp;P 500 INDEX</t>
  </si>
  <si>
    <t>One Month Forward Natural Gas Spot Price/AECO C Hub CAD</t>
  </si>
  <si>
    <t>UK NBP Natural Gas Forward M1</t>
  </si>
  <si>
    <t>Netherlands TTF Natural Gas Forward Month 1</t>
  </si>
  <si>
    <t>European Crude Dated Brent Spot</t>
  </si>
  <si>
    <t>NGCDAECS</t>
  </si>
  <si>
    <t>NBPG1MON</t>
  </si>
  <si>
    <t>TTFG1MON</t>
  </si>
  <si>
    <t>EUCRBRDT</t>
  </si>
  <si>
    <t>US DOLLAR/BRITISH POUND</t>
  </si>
  <si>
    <t>US DOLLAR/TURKISH LIRA</t>
  </si>
  <si>
    <t>US DOLLAR/CANADIAN DOLLAR</t>
  </si>
  <si>
    <t>US DOLLAR/JAPANESE YEN</t>
  </si>
  <si>
    <t>US DOLLAR/EURO</t>
  </si>
  <si>
    <t>US DOLLAR/UKRAINE HRYVNIA</t>
  </si>
  <si>
    <t>USDGBP</t>
  </si>
  <si>
    <t>USDTRY</t>
  </si>
  <si>
    <t>USDCAD</t>
  </si>
  <si>
    <t>USDJPY</t>
  </si>
  <si>
    <t>USDEUR</t>
  </si>
  <si>
    <t>USDUAH</t>
  </si>
  <si>
    <t>MSCI ACWI Aerospace &amp; Defense Index</t>
  </si>
  <si>
    <t>MSCI World Real Estate Index</t>
  </si>
  <si>
    <t>MSCI World Consumer Staples Index</t>
  </si>
  <si>
    <t>MSCI World Oil Gas &amp; Consumable Fuels Index</t>
  </si>
  <si>
    <t>MSCI World Index</t>
  </si>
  <si>
    <t>MSCI ACWI Airlines Index</t>
  </si>
  <si>
    <t>MSCI World Financials Index</t>
  </si>
  <si>
    <t>MSCI ACWI Energy Sector Index</t>
  </si>
  <si>
    <t>MXWD0AD</t>
  </si>
  <si>
    <t>MXWO0RE</t>
  </si>
  <si>
    <t>MXWO0CS</t>
  </si>
  <si>
    <t>MXWO0OG</t>
  </si>
  <si>
    <t>MXWO</t>
  </si>
  <si>
    <t>MXWD0AL</t>
  </si>
  <si>
    <t>MXWO0FN</t>
  </si>
  <si>
    <t>MXWD0EN</t>
  </si>
  <si>
    <t>Bloomberg Grains Spot Subindex</t>
  </si>
  <si>
    <t>S&amp;P GSCI Wheat Index Spot CME</t>
  </si>
  <si>
    <t>Argentina Wheat FOB Argentinian Ports SPOT</t>
  </si>
  <si>
    <t>Silver</t>
  </si>
  <si>
    <t>Bitcoin/US DOLLAR</t>
  </si>
  <si>
    <t>Gold</t>
  </si>
  <si>
    <t>BCOMGRSP</t>
  </si>
  <si>
    <t>SPGSWH</t>
  </si>
  <si>
    <t>ARFOWE</t>
  </si>
  <si>
    <t>XAG</t>
  </si>
  <si>
    <t>XBTUSD</t>
  </si>
  <si>
    <t>XAU</t>
  </si>
  <si>
    <t>UK Gilts 10 Yr</t>
  </si>
  <si>
    <t>GERMANY GOVT BND 2 YR BKO</t>
  </si>
  <si>
    <t>GERMANY GOVT BND 30 YR DBR</t>
  </si>
  <si>
    <t>GERMANY GOVT BND 10 YR DBR</t>
  </si>
  <si>
    <t>US Generic Govt 2 Yr</t>
  </si>
  <si>
    <t>US Generic Govt 10 Yr</t>
  </si>
  <si>
    <t>US Generic Govt 30 Yr</t>
  </si>
  <si>
    <t>GUKG10</t>
  </si>
  <si>
    <t>GDBR2</t>
  </si>
  <si>
    <t>GDBR30</t>
  </si>
  <si>
    <t>GDBR10</t>
  </si>
  <si>
    <t>USGG2YR</t>
  </si>
  <si>
    <t>USGG10YR</t>
  </si>
  <si>
    <t>USGG30YR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</si>
</sst>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7211-02E8-431F-B875-D26631D782B4}">
  <dimension ref="A1:H785"/>
  <sheetViews>
    <sheetView tabSelected="1" workbookViewId="0"/>
  </sheetViews>
  <sheetFormatPr defaultRowHeight="15" x14ac:dyDescent="0.25"/>
  <cols>
    <col min="1" max="1" width="16" bestFit="1" customWidth="1"/>
    <col min="2" max="8" width="9.140625" bestFit="1" customWidth="1"/>
  </cols>
  <sheetData>
    <row r="1" spans="1:8" x14ac:dyDescent="0.25">
      <c r="A1" t="s">
        <v>0</v>
      </c>
      <c r="B1" t="s">
        <v>78</v>
      </c>
      <c r="C1" t="s">
        <v>77</v>
      </c>
      <c r="D1" t="s">
        <v>76</v>
      </c>
      <c r="E1" t="s">
        <v>75</v>
      </c>
      <c r="F1" t="s">
        <v>74</v>
      </c>
      <c r="G1" t="s">
        <v>73</v>
      </c>
      <c r="H1" t="s">
        <v>72</v>
      </c>
    </row>
    <row r="2" spans="1:8" x14ac:dyDescent="0.25">
      <c r="B2" t="s">
        <v>71</v>
      </c>
      <c r="C2" t="s">
        <v>70</v>
      </c>
      <c r="D2" t="s">
        <v>69</v>
      </c>
      <c r="E2" t="s">
        <v>68</v>
      </c>
      <c r="F2" t="s">
        <v>67</v>
      </c>
      <c r="G2" t="s">
        <v>66</v>
      </c>
      <c r="H2" t="s">
        <v>65</v>
      </c>
    </row>
    <row r="3" spans="1:8" x14ac:dyDescent="0.25">
      <c r="A3" s="1">
        <v>44790</v>
      </c>
      <c r="B3">
        <f>3.1422</f>
        <v>3.1421999999999999</v>
      </c>
      <c r="C3">
        <f>2.884</f>
        <v>2.8839999999999999</v>
      </c>
      <c r="D3">
        <f>3.2995</f>
        <v>3.2995000000000001</v>
      </c>
      <c r="E3">
        <f>1.083</f>
        <v>1.083</v>
      </c>
      <c r="F3">
        <f>1.292</f>
        <v>1.292</v>
      </c>
      <c r="G3">
        <f>0.731</f>
        <v>0.73099999999999998</v>
      </c>
      <c r="H3">
        <f>2.288</f>
        <v>2.2879999999999998</v>
      </c>
    </row>
    <row r="4" spans="1:8" x14ac:dyDescent="0.25">
      <c r="A4" s="1">
        <v>44789</v>
      </c>
      <c r="B4">
        <f>3.0891</f>
        <v>3.0891000000000002</v>
      </c>
      <c r="C4">
        <f>2.8041</f>
        <v>2.8041</v>
      </c>
      <c r="D4">
        <f>3.2574</f>
        <v>3.2574000000000001</v>
      </c>
      <c r="E4">
        <f>0.971</f>
        <v>0.97099999999999997</v>
      </c>
      <c r="F4">
        <f>1.23</f>
        <v>1.23</v>
      </c>
      <c r="G4">
        <f>0.577</f>
        <v>0.57699999999999996</v>
      </c>
      <c r="H4">
        <f>2.125</f>
        <v>2.125</v>
      </c>
    </row>
    <row r="5" spans="1:8" x14ac:dyDescent="0.25">
      <c r="A5" s="1">
        <v>44788</v>
      </c>
      <c r="B5">
        <f>3.1013</f>
        <v>3.1013000000000002</v>
      </c>
      <c r="C5">
        <f>2.7878</f>
        <v>2.7877999999999998</v>
      </c>
      <c r="D5">
        <f>3.1821</f>
        <v>3.1821000000000002</v>
      </c>
      <c r="E5">
        <f>0.9</f>
        <v>0.9</v>
      </c>
      <c r="F5">
        <f>1.155</f>
        <v>1.155</v>
      </c>
      <c r="G5">
        <f>0.53</f>
        <v>0.53</v>
      </c>
      <c r="H5">
        <f>2.017</f>
        <v>2.0169999999999999</v>
      </c>
    </row>
    <row r="6" spans="1:8" x14ac:dyDescent="0.25">
      <c r="A6" s="1">
        <v>44785</v>
      </c>
      <c r="B6">
        <f>3.1078</f>
        <v>3.1078000000000001</v>
      </c>
      <c r="C6">
        <f>2.8312</f>
        <v>2.8311999999999999</v>
      </c>
      <c r="D6">
        <f>3.2422</f>
        <v>3.2422</v>
      </c>
      <c r="E6">
        <f>0.987</f>
        <v>0.98699999999999999</v>
      </c>
      <c r="F6">
        <f>1.237</f>
        <v>1.2370000000000001</v>
      </c>
      <c r="G6">
        <f>0.608</f>
        <v>0.60799999999999998</v>
      </c>
      <c r="H6">
        <f>2.111</f>
        <v>2.1110000000000002</v>
      </c>
    </row>
    <row r="7" spans="1:8" x14ac:dyDescent="0.25">
      <c r="A7" s="1">
        <v>44784</v>
      </c>
      <c r="B7">
        <f>3.1749</f>
        <v>3.1749000000000001</v>
      </c>
      <c r="C7">
        <f>2.8876</f>
        <v>2.8875999999999999</v>
      </c>
      <c r="D7">
        <f>3.2185</f>
        <v>3.2185000000000001</v>
      </c>
      <c r="E7">
        <f>0.971</f>
        <v>0.97099999999999997</v>
      </c>
      <c r="F7">
        <f>1.229</f>
        <v>1.2290000000000001</v>
      </c>
      <c r="G7">
        <f>0.566</f>
        <v>0.56599999999999995</v>
      </c>
      <c r="H7">
        <f>2.059</f>
        <v>2.0590000000000002</v>
      </c>
    </row>
    <row r="8" spans="1:8" x14ac:dyDescent="0.25">
      <c r="A8" s="1">
        <v>44783</v>
      </c>
      <c r="B8">
        <f>3.0326</f>
        <v>3.0326</v>
      </c>
      <c r="C8">
        <f>2.7809</f>
        <v>2.7808999999999999</v>
      </c>
      <c r="D8">
        <f>3.2141</f>
        <v>3.2141000000000002</v>
      </c>
      <c r="E8">
        <f>0.888</f>
        <v>0.88800000000000001</v>
      </c>
      <c r="F8">
        <f>1.127</f>
        <v>1.127</v>
      </c>
      <c r="G8">
        <f>0.546</f>
        <v>0.54600000000000004</v>
      </c>
      <c r="H8">
        <f>1.951</f>
        <v>1.9510000000000001</v>
      </c>
    </row>
    <row r="9" spans="1:8" x14ac:dyDescent="0.25">
      <c r="A9" s="1">
        <v>44782</v>
      </c>
      <c r="B9">
        <f>2.9895</f>
        <v>2.9895</v>
      </c>
      <c r="C9">
        <f>2.7773</f>
        <v>2.7772999999999999</v>
      </c>
      <c r="D9">
        <f>3.2696</f>
        <v>3.2696000000000001</v>
      </c>
      <c r="E9">
        <f>0.921</f>
        <v>0.92100000000000004</v>
      </c>
      <c r="F9">
        <f>1.154</f>
        <v>1.1539999999999999</v>
      </c>
      <c r="G9">
        <f>0.605</f>
        <v>0.60499999999999998</v>
      </c>
      <c r="H9">
        <f>1.971</f>
        <v>1.9710000000000001</v>
      </c>
    </row>
    <row r="10" spans="1:8" x14ac:dyDescent="0.25">
      <c r="A10" s="1">
        <v>44781</v>
      </c>
      <c r="B10">
        <f>2.9847</f>
        <v>2.9847000000000001</v>
      </c>
      <c r="C10">
        <f>2.7572</f>
        <v>2.7572000000000001</v>
      </c>
      <c r="D10">
        <f>3.2053</f>
        <v>3.2052999999999998</v>
      </c>
      <c r="E10">
        <f>0.899</f>
        <v>0.89900000000000002</v>
      </c>
      <c r="F10">
        <f>1.118</f>
        <v>1.1180000000000001</v>
      </c>
      <c r="G10">
        <f>0.452</f>
        <v>0.45200000000000001</v>
      </c>
      <c r="H10">
        <f>1.952</f>
        <v>1.952</v>
      </c>
    </row>
    <row r="11" spans="1:8" x14ac:dyDescent="0.25">
      <c r="A11" s="1">
        <v>44778</v>
      </c>
      <c r="B11">
        <f>3.0662</f>
        <v>3.0661999999999998</v>
      </c>
      <c r="C11">
        <f>2.8268</f>
        <v>2.8268</v>
      </c>
      <c r="D11">
        <f>3.2257</f>
        <v>3.2256999999999998</v>
      </c>
      <c r="E11">
        <f>0.955</f>
        <v>0.95499999999999996</v>
      </c>
      <c r="F11">
        <f>1.17</f>
        <v>1.17</v>
      </c>
      <c r="G11">
        <f>0.478</f>
        <v>0.47799999999999998</v>
      </c>
      <c r="H11">
        <f>2.049</f>
        <v>2.0489999999999999</v>
      </c>
    </row>
    <row r="12" spans="1:8" x14ac:dyDescent="0.25">
      <c r="A12" s="1">
        <v>44777</v>
      </c>
      <c r="B12">
        <f>2.9653</f>
        <v>2.9653</v>
      </c>
      <c r="C12">
        <f>2.6883</f>
        <v>2.6882999999999999</v>
      </c>
      <c r="D12">
        <f>3.0427</f>
        <v>3.0427</v>
      </c>
      <c r="E12">
        <f>0.803</f>
        <v>0.80300000000000005</v>
      </c>
      <c r="F12">
        <f>1.039</f>
        <v>1.0389999999999999</v>
      </c>
      <c r="G12">
        <f>0.343</f>
        <v>0.34300000000000003</v>
      </c>
      <c r="H12">
        <f>1.889</f>
        <v>1.889</v>
      </c>
    </row>
    <row r="13" spans="1:8" x14ac:dyDescent="0.25">
      <c r="A13" s="1">
        <v>44776</v>
      </c>
      <c r="B13">
        <f>2.9453</f>
        <v>2.9453</v>
      </c>
      <c r="C13">
        <f>2.7046</f>
        <v>2.7046000000000001</v>
      </c>
      <c r="D13">
        <f>3.0651</f>
        <v>3.0651000000000002</v>
      </c>
      <c r="E13">
        <f>0.874</f>
        <v>0.874</v>
      </c>
      <c r="F13">
        <f>1.073</f>
        <v>1.073</v>
      </c>
      <c r="G13">
        <f>0.4</f>
        <v>0.4</v>
      </c>
      <c r="H13">
        <f>1.912</f>
        <v>1.9119999999999999</v>
      </c>
    </row>
    <row r="14" spans="1:8" x14ac:dyDescent="0.25">
      <c r="A14" s="1">
        <v>44775</v>
      </c>
      <c r="B14">
        <f>3.0065</f>
        <v>3.0065</v>
      </c>
      <c r="C14">
        <f>2.7483</f>
        <v>2.7483</v>
      </c>
      <c r="D14">
        <f>3.0508</f>
        <v>3.0508000000000002</v>
      </c>
      <c r="E14">
        <f>0.82</f>
        <v>0.82</v>
      </c>
      <c r="F14">
        <f>1.03</f>
        <v>1.03</v>
      </c>
      <c r="G14">
        <f>0.322</f>
        <v>0.32200000000000001</v>
      </c>
      <c r="H14">
        <f>1.869</f>
        <v>1.869</v>
      </c>
    </row>
    <row r="15" spans="1:8" x14ac:dyDescent="0.25">
      <c r="A15" s="1">
        <v>44774</v>
      </c>
      <c r="B15">
        <f>2.9143</f>
        <v>2.9142999999999999</v>
      </c>
      <c r="C15">
        <f>2.5732</f>
        <v>2.5731999999999999</v>
      </c>
      <c r="D15">
        <f>2.8701</f>
        <v>2.8700999999999999</v>
      </c>
      <c r="E15">
        <f>0.779</f>
        <v>0.77900000000000003</v>
      </c>
      <c r="F15">
        <f>1.031</f>
        <v>1.0309999999999999</v>
      </c>
      <c r="G15">
        <f>0.266</f>
        <v>0.26600000000000001</v>
      </c>
      <c r="H15">
        <f>1.808</f>
        <v>1.8080000000000001</v>
      </c>
    </row>
    <row r="16" spans="1:8" x14ac:dyDescent="0.25">
      <c r="A16" s="1">
        <v>44771</v>
      </c>
      <c r="B16">
        <f>3.0097</f>
        <v>3.0097</v>
      </c>
      <c r="C16">
        <f>2.6487</f>
        <v>2.6486999999999998</v>
      </c>
      <c r="D16">
        <f>2.8844</f>
        <v>2.8843999999999999</v>
      </c>
      <c r="E16">
        <f>0.817</f>
        <v>0.81699999999999995</v>
      </c>
      <c r="F16">
        <f>1.072</f>
        <v>1.0720000000000001</v>
      </c>
      <c r="G16">
        <f>0.281</f>
        <v>0.28100000000000003</v>
      </c>
      <c r="H16">
        <f>1.864</f>
        <v>1.8640000000000001</v>
      </c>
    </row>
    <row r="17" spans="1:8" x14ac:dyDescent="0.25">
      <c r="A17" s="1">
        <v>44770</v>
      </c>
      <c r="B17">
        <f>3.0227</f>
        <v>3.0226999999999999</v>
      </c>
      <c r="C17">
        <f>2.6759</f>
        <v>2.6758999999999999</v>
      </c>
      <c r="D17">
        <f>2.8622</f>
        <v>2.8622000000000001</v>
      </c>
      <c r="E17">
        <f>0.826</f>
        <v>0.82599999999999996</v>
      </c>
      <c r="F17">
        <f>1.109</f>
        <v>1.109</v>
      </c>
      <c r="G17">
        <f>0.248</f>
        <v>0.248</v>
      </c>
      <c r="H17">
        <f>1.868</f>
        <v>1.8680000000000001</v>
      </c>
    </row>
    <row r="18" spans="1:8" x14ac:dyDescent="0.25">
      <c r="A18" s="1">
        <v>44769</v>
      </c>
      <c r="B18">
        <f>3.0653</f>
        <v>3.0653000000000001</v>
      </c>
      <c r="C18">
        <f>2.7849</f>
        <v>2.7848999999999999</v>
      </c>
      <c r="D18">
        <f>2.9979</f>
        <v>2.9979</v>
      </c>
      <c r="E18">
        <f>0.946</f>
        <v>0.94599999999999995</v>
      </c>
      <c r="F18">
        <f>1.198</f>
        <v>1.198</v>
      </c>
      <c r="G18">
        <f>0.444</f>
        <v>0.44400000000000001</v>
      </c>
      <c r="H18">
        <f>1.961</f>
        <v>1.9610000000000001</v>
      </c>
    </row>
    <row r="19" spans="1:8" x14ac:dyDescent="0.25">
      <c r="A19" s="1">
        <v>44768</v>
      </c>
      <c r="B19">
        <f>3.0268</f>
        <v>3.0268000000000002</v>
      </c>
      <c r="C19">
        <f>2.8068</f>
        <v>2.8068</v>
      </c>
      <c r="D19">
        <f>3.0528</f>
        <v>3.0528</v>
      </c>
      <c r="E19">
        <f>0.925</f>
        <v>0.92500000000000004</v>
      </c>
      <c r="F19">
        <f>1.2</f>
        <v>1.2</v>
      </c>
      <c r="G19">
        <f>0.346</f>
        <v>0.34599999999999997</v>
      </c>
      <c r="H19">
        <f>1.917</f>
        <v>1.917</v>
      </c>
    </row>
    <row r="20" spans="1:8" x14ac:dyDescent="0.25">
      <c r="A20" s="1">
        <v>44767</v>
      </c>
      <c r="B20">
        <f>3.0162</f>
        <v>3.0162</v>
      </c>
      <c r="C20">
        <f>2.7959</f>
        <v>2.7959000000000001</v>
      </c>
      <c r="D20">
        <f>3.0161</f>
        <v>3.0160999999999998</v>
      </c>
      <c r="E20">
        <f>1.018</f>
        <v>1.018</v>
      </c>
      <c r="F20">
        <f>1.279</f>
        <v>1.2789999999999999</v>
      </c>
      <c r="G20">
        <f>0.41</f>
        <v>0.41</v>
      </c>
      <c r="H20">
        <f>1.937</f>
        <v>1.9370000000000001</v>
      </c>
    </row>
    <row r="21" spans="1:8" x14ac:dyDescent="0.25">
      <c r="A21" s="1">
        <v>44764</v>
      </c>
      <c r="B21">
        <f>2.9717</f>
        <v>2.9716999999999998</v>
      </c>
      <c r="C21">
        <f>2.7504</f>
        <v>2.7504</v>
      </c>
      <c r="D21">
        <f>2.97</f>
        <v>2.97</v>
      </c>
      <c r="E21">
        <f>1.031</f>
        <v>1.0309999999999999</v>
      </c>
      <c r="F21">
        <f>1.285</f>
        <v>1.2849999999999999</v>
      </c>
      <c r="G21">
        <f>0.453</f>
        <v>0.45300000000000001</v>
      </c>
      <c r="H21">
        <f>1.939</f>
        <v>1.9390000000000001</v>
      </c>
    </row>
    <row r="22" spans="1:8" x14ac:dyDescent="0.25">
      <c r="A22" s="1">
        <v>44763</v>
      </c>
      <c r="B22">
        <f>3.0423</f>
        <v>3.0423</v>
      </c>
      <c r="C22">
        <f>2.8747</f>
        <v>2.8746999999999998</v>
      </c>
      <c r="D22">
        <f>3.085</f>
        <v>3.085</v>
      </c>
      <c r="E22">
        <f>1.223</f>
        <v>1.2230000000000001</v>
      </c>
      <c r="F22">
        <f>1.403</f>
        <v>1.403</v>
      </c>
      <c r="G22">
        <f>0.676</f>
        <v>0.67600000000000005</v>
      </c>
      <c r="H22">
        <f>2.047</f>
        <v>2.0470000000000002</v>
      </c>
    </row>
    <row r="23" spans="1:8" x14ac:dyDescent="0.25">
      <c r="A23" s="1">
        <v>44762</v>
      </c>
      <c r="B23">
        <f>3.1585</f>
        <v>3.1585000000000001</v>
      </c>
      <c r="C23">
        <f>3.0265</f>
        <v>3.0265</v>
      </c>
      <c r="D23">
        <f>3.2272</f>
        <v>3.2271999999999998</v>
      </c>
      <c r="E23">
        <f>1.257</f>
        <v>1.2569999999999999</v>
      </c>
      <c r="F23">
        <f>1.454</f>
        <v>1.454</v>
      </c>
      <c r="G23">
        <f>0.607</f>
        <v>0.60699999999999998</v>
      </c>
      <c r="H23">
        <f>2.139</f>
        <v>2.1389999999999998</v>
      </c>
    </row>
    <row r="24" spans="1:8" x14ac:dyDescent="0.25">
      <c r="A24" s="1">
        <v>44761</v>
      </c>
      <c r="B24">
        <f>3.1746</f>
        <v>3.1745999999999999</v>
      </c>
      <c r="C24">
        <f>3.0209</f>
        <v>3.0209000000000001</v>
      </c>
      <c r="D24">
        <f>3.2374</f>
        <v>3.2374000000000001</v>
      </c>
      <c r="E24">
        <f>1.277</f>
        <v>1.2769999999999999</v>
      </c>
      <c r="F24">
        <f>1.469</f>
        <v>1.4690000000000001</v>
      </c>
      <c r="G24">
        <f>0.637</f>
        <v>0.63700000000000001</v>
      </c>
      <c r="H24">
        <f>2.18</f>
        <v>2.1800000000000002</v>
      </c>
    </row>
    <row r="25" spans="1:8" x14ac:dyDescent="0.25">
      <c r="A25" s="1">
        <v>44760</v>
      </c>
      <c r="B25">
        <f>3.1551</f>
        <v>3.1551</v>
      </c>
      <c r="C25">
        <f>2.9855</f>
        <v>2.9855</v>
      </c>
      <c r="D25">
        <f>3.1744</f>
        <v>3.1743999999999999</v>
      </c>
      <c r="E25">
        <f>1.215</f>
        <v>1.2150000000000001</v>
      </c>
      <c r="F25">
        <f>1.44</f>
        <v>1.44</v>
      </c>
      <c r="G25">
        <f>0.522</f>
        <v>0.52200000000000002</v>
      </c>
      <c r="H25">
        <f>2.157</f>
        <v>2.157</v>
      </c>
    </row>
    <row r="26" spans="1:8" x14ac:dyDescent="0.25">
      <c r="A26" s="1">
        <v>44757</v>
      </c>
      <c r="B26">
        <f>3.0751</f>
        <v>3.0750999999999999</v>
      </c>
      <c r="C26">
        <f>2.9152</f>
        <v>2.9152</v>
      </c>
      <c r="D26">
        <f>3.1201</f>
        <v>3.1200999999999999</v>
      </c>
      <c r="E26">
        <f>1.133</f>
        <v>1.133</v>
      </c>
      <c r="F26">
        <f>1.36</f>
        <v>1.36</v>
      </c>
      <c r="G26">
        <f>0.467</f>
        <v>0.46700000000000003</v>
      </c>
      <c r="H26">
        <f>2.091</f>
        <v>2.0910000000000002</v>
      </c>
    </row>
    <row r="27" spans="1:8" x14ac:dyDescent="0.25">
      <c r="A27" s="1">
        <v>44756</v>
      </c>
      <c r="B27">
        <f>3.104</f>
        <v>3.1040000000000001</v>
      </c>
      <c r="C27">
        <f>2.9595</f>
        <v>2.9594999999999998</v>
      </c>
      <c r="D27">
        <f>3.1321</f>
        <v>3.1320999999999999</v>
      </c>
      <c r="E27">
        <f>1.178</f>
        <v>1.1779999999999999</v>
      </c>
      <c r="F27">
        <f>1.383</f>
        <v>1.383</v>
      </c>
      <c r="G27">
        <f>0.523</f>
        <v>0.52300000000000002</v>
      </c>
      <c r="H27">
        <f>2.101</f>
        <v>2.101</v>
      </c>
    </row>
    <row r="28" spans="1:8" x14ac:dyDescent="0.25">
      <c r="A28" s="1">
        <v>44755</v>
      </c>
      <c r="B28">
        <f>3.1182</f>
        <v>3.1181999999999999</v>
      </c>
      <c r="C28">
        <f>2.9336</f>
        <v>2.9336000000000002</v>
      </c>
      <c r="D28">
        <f>3.1547</f>
        <v>3.1547000000000001</v>
      </c>
      <c r="E28">
        <f>1.145</f>
        <v>1.145</v>
      </c>
      <c r="F28">
        <f>1.38</f>
        <v>1.38</v>
      </c>
      <c r="G28">
        <f>0.458</f>
        <v>0.45800000000000002</v>
      </c>
      <c r="H28">
        <f>2.06</f>
        <v>2.06</v>
      </c>
    </row>
    <row r="29" spans="1:8" x14ac:dyDescent="0.25">
      <c r="A29" s="1">
        <v>44754</v>
      </c>
      <c r="B29">
        <f>3.1618</f>
        <v>3.1617999999999999</v>
      </c>
      <c r="C29">
        <f>2.9687</f>
        <v>2.9687000000000001</v>
      </c>
      <c r="D29">
        <f>3.0491</f>
        <v>3.0491000000000001</v>
      </c>
      <c r="E29">
        <f>1.132</f>
        <v>1.1319999999999999</v>
      </c>
      <c r="F29">
        <f>1.406</f>
        <v>1.4059999999999999</v>
      </c>
      <c r="G29">
        <f>0.355</f>
        <v>0.35499999999999998</v>
      </c>
      <c r="H29">
        <f>2.075</f>
        <v>2.0750000000000002</v>
      </c>
    </row>
    <row r="30" spans="1:8" x14ac:dyDescent="0.25">
      <c r="A30" s="1">
        <v>44753</v>
      </c>
      <c r="B30">
        <f>3.1744</f>
        <v>3.1743999999999999</v>
      </c>
      <c r="C30">
        <f>2.9928</f>
        <v>2.9927999999999999</v>
      </c>
      <c r="D30">
        <f>3.0718</f>
        <v>3.0718000000000001</v>
      </c>
      <c r="E30">
        <f>1.246</f>
        <v>1.246</v>
      </c>
      <c r="F30">
        <f>1.537</f>
        <v>1.5369999999999999</v>
      </c>
      <c r="G30">
        <f>0.442</f>
        <v>0.442</v>
      </c>
      <c r="H30">
        <f>2.178</f>
        <v>2.1779999999999999</v>
      </c>
    </row>
    <row r="31" spans="1:8" x14ac:dyDescent="0.25">
      <c r="A31" s="1">
        <v>44750</v>
      </c>
      <c r="B31">
        <f>3.2436</f>
        <v>3.2435999999999998</v>
      </c>
      <c r="C31">
        <f>3.0803</f>
        <v>3.0802999999999998</v>
      </c>
      <c r="D31">
        <f>3.1047</f>
        <v>3.1046999999999998</v>
      </c>
      <c r="E31">
        <f>1.345</f>
        <v>1.345</v>
      </c>
      <c r="F31">
        <f>1.609</f>
        <v>1.609</v>
      </c>
      <c r="G31">
        <f>0.527</f>
        <v>0.52700000000000002</v>
      </c>
      <c r="H31">
        <f>2.233</f>
        <v>2.2330000000000001</v>
      </c>
    </row>
    <row r="32" spans="1:8" x14ac:dyDescent="0.25">
      <c r="A32" s="1">
        <v>44749</v>
      </c>
      <c r="B32">
        <f>3.1845</f>
        <v>3.1844999999999999</v>
      </c>
      <c r="C32">
        <f>2.9945</f>
        <v>2.9944999999999999</v>
      </c>
      <c r="D32">
        <f>3.0141</f>
        <v>3.0141</v>
      </c>
      <c r="E32">
        <f>1.318</f>
        <v>1.3180000000000001</v>
      </c>
      <c r="F32">
        <f>1.552</f>
        <v>1.552</v>
      </c>
      <c r="G32">
        <f>0.558</f>
        <v>0.55800000000000005</v>
      </c>
      <c r="H32">
        <f>2.128</f>
        <v>2.1280000000000001</v>
      </c>
    </row>
    <row r="33" spans="1:8" x14ac:dyDescent="0.25">
      <c r="A33" s="1">
        <v>44748</v>
      </c>
      <c r="B33">
        <f>3.1181</f>
        <v>3.1181000000000001</v>
      </c>
      <c r="C33">
        <f>2.928</f>
        <v>2.9279999999999999</v>
      </c>
      <c r="D33">
        <f>3.0018</f>
        <v>3.0017999999999998</v>
      </c>
      <c r="E33">
        <f>1.206</f>
        <v>1.206</v>
      </c>
      <c r="F33">
        <f>1.523</f>
        <v>1.5229999999999999</v>
      </c>
      <c r="G33">
        <f>0.388</f>
        <v>0.38800000000000001</v>
      </c>
      <c r="H33">
        <f>2.092</f>
        <v>2.0920000000000001</v>
      </c>
    </row>
    <row r="34" spans="1:8" x14ac:dyDescent="0.25">
      <c r="A34" s="1">
        <v>44747</v>
      </c>
      <c r="B34">
        <f>3.0397</f>
        <v>3.0396999999999998</v>
      </c>
      <c r="C34">
        <f>2.8054</f>
        <v>2.8054000000000001</v>
      </c>
      <c r="D34">
        <f>2.8184</f>
        <v>2.8184</v>
      </c>
      <c r="E34">
        <f>1.179</f>
        <v>1.179</v>
      </c>
      <c r="F34">
        <f>1.497</f>
        <v>1.4970000000000001</v>
      </c>
      <c r="G34">
        <f>0.432</f>
        <v>0.432</v>
      </c>
      <c r="H34">
        <f>2.049</f>
        <v>2.0489999999999999</v>
      </c>
    </row>
    <row r="35" spans="1:8" x14ac:dyDescent="0.25">
      <c r="A35" s="1">
        <v>44746</v>
      </c>
      <c r="B35">
        <f>3.1031</f>
        <v>3.1031</v>
      </c>
      <c r="C35">
        <f>2.8803</f>
        <v>2.8803000000000001</v>
      </c>
      <c r="D35">
        <f>2.8329</f>
        <v>2.8329</v>
      </c>
      <c r="E35">
        <f>1.333</f>
        <v>1.333</v>
      </c>
      <c r="F35">
        <f>1.636</f>
        <v>1.6359999999999999</v>
      </c>
      <c r="G35">
        <f>0.618</f>
        <v>0.61799999999999999</v>
      </c>
      <c r="H35">
        <f>2.196</f>
        <v>2.1960000000000002</v>
      </c>
    </row>
    <row r="36" spans="1:8" x14ac:dyDescent="0.25">
      <c r="A36" s="1">
        <v>44743</v>
      </c>
      <c r="B36">
        <f>3.1031</f>
        <v>3.1031</v>
      </c>
      <c r="C36">
        <f>2.8803</f>
        <v>2.8803000000000001</v>
      </c>
      <c r="D36">
        <f>2.8329</f>
        <v>2.8329</v>
      </c>
      <c r="E36">
        <f>1.232</f>
        <v>1.232</v>
      </c>
      <c r="F36">
        <f>1.564</f>
        <v>1.5640000000000001</v>
      </c>
      <c r="G36">
        <f>0.516</f>
        <v>0.51600000000000001</v>
      </c>
      <c r="H36">
        <f>2.086</f>
        <v>2.0859999999999999</v>
      </c>
    </row>
    <row r="37" spans="1:8" x14ac:dyDescent="0.25">
      <c r="A37" s="1">
        <v>44742</v>
      </c>
      <c r="B37">
        <f>3.1827</f>
        <v>3.1827000000000001</v>
      </c>
      <c r="C37">
        <f>3.0129</f>
        <v>3.0129000000000001</v>
      </c>
      <c r="D37">
        <f>2.9533</f>
        <v>2.9533</v>
      </c>
      <c r="E37">
        <f>1.336</f>
        <v>1.3360000000000001</v>
      </c>
      <c r="F37">
        <f>1.615</f>
        <v>1.615</v>
      </c>
      <c r="G37">
        <f>0.649</f>
        <v>0.64900000000000002</v>
      </c>
      <c r="H37">
        <f>2.229</f>
        <v>2.2290000000000001</v>
      </c>
    </row>
    <row r="38" spans="1:8" x14ac:dyDescent="0.25">
      <c r="A38" s="1">
        <v>44741</v>
      </c>
      <c r="B38">
        <f>3.2185</f>
        <v>3.2185000000000001</v>
      </c>
      <c r="C38">
        <f>3.0891</f>
        <v>3.0891000000000002</v>
      </c>
      <c r="D38">
        <f>3.0385</f>
        <v>3.0385</v>
      </c>
      <c r="E38">
        <f>1.519</f>
        <v>1.5189999999999999</v>
      </c>
      <c r="F38">
        <f>1.738</f>
        <v>1.738</v>
      </c>
      <c r="G38">
        <f>0.838</f>
        <v>0.83799999999999997</v>
      </c>
      <c r="H38">
        <f>2.385</f>
        <v>2.3849999999999998</v>
      </c>
    </row>
    <row r="39" spans="1:8" x14ac:dyDescent="0.25">
      <c r="A39" s="1">
        <v>44740</v>
      </c>
      <c r="B39">
        <f>3.2788</f>
        <v>3.2787999999999999</v>
      </c>
      <c r="C39">
        <f>3.1715</f>
        <v>3.1715</v>
      </c>
      <c r="D39">
        <f>3.1096</f>
        <v>3.1095999999999999</v>
      </c>
      <c r="E39">
        <f>1.628</f>
        <v>1.6279999999999999</v>
      </c>
      <c r="F39">
        <f>1.828</f>
        <v>1.8280000000000001</v>
      </c>
      <c r="G39">
        <f>0.957</f>
        <v>0.95699999999999996</v>
      </c>
      <c r="H39">
        <f>2.465</f>
        <v>2.4649999999999999</v>
      </c>
    </row>
    <row r="40" spans="1:8" x14ac:dyDescent="0.25">
      <c r="A40" s="1">
        <v>44739</v>
      </c>
      <c r="B40">
        <f>3.3119</f>
        <v>3.3119000000000001</v>
      </c>
      <c r="C40">
        <f>3.1997</f>
        <v>3.1997</v>
      </c>
      <c r="D40">
        <f>3.1212</f>
        <v>3.1212</v>
      </c>
      <c r="E40">
        <f>1.547</f>
        <v>1.5469999999999999</v>
      </c>
      <c r="F40">
        <f>1.752</f>
        <v>1.752</v>
      </c>
      <c r="G40">
        <f>0.905</f>
        <v>0.90500000000000003</v>
      </c>
      <c r="H40">
        <f>2.393</f>
        <v>2.3929999999999998</v>
      </c>
    </row>
    <row r="41" spans="1:8" x14ac:dyDescent="0.25">
      <c r="A41" s="1">
        <v>44736</v>
      </c>
      <c r="B41">
        <f>3.2571</f>
        <v>3.2570999999999999</v>
      </c>
      <c r="C41">
        <f>3.1301</f>
        <v>3.1301000000000001</v>
      </c>
      <c r="D41">
        <f>3.0632</f>
        <v>3.0632000000000001</v>
      </c>
      <c r="E41">
        <f>1.442</f>
        <v>1.4419999999999999</v>
      </c>
      <c r="F41">
        <f>1.691</f>
        <v>1.6910000000000001</v>
      </c>
      <c r="G41">
        <f>0.813</f>
        <v>0.81299999999999994</v>
      </c>
      <c r="H41">
        <f>2.302</f>
        <v>2.302</v>
      </c>
    </row>
    <row r="42" spans="1:8" x14ac:dyDescent="0.25">
      <c r="A42" s="1">
        <v>44735</v>
      </c>
      <c r="B42">
        <f>3.1996</f>
        <v>3.1996000000000002</v>
      </c>
      <c r="C42">
        <f>3.087</f>
        <v>3.0870000000000002</v>
      </c>
      <c r="D42">
        <f>3.0145</f>
        <v>3.0145</v>
      </c>
      <c r="E42">
        <f>1.428</f>
        <v>1.4279999999999999</v>
      </c>
      <c r="F42">
        <f>1.687</f>
        <v>1.6870000000000001</v>
      </c>
      <c r="G42">
        <f>0.813</f>
        <v>0.81299999999999994</v>
      </c>
      <c r="H42">
        <f>2.316</f>
        <v>2.3159999999999998</v>
      </c>
    </row>
    <row r="43" spans="1:8" x14ac:dyDescent="0.25">
      <c r="A43" s="1">
        <v>44734</v>
      </c>
      <c r="B43">
        <f>3.2492</f>
        <v>3.2492000000000001</v>
      </c>
      <c r="C43">
        <f>3.1561</f>
        <v>3.1560999999999999</v>
      </c>
      <c r="D43">
        <f>3.0559</f>
        <v>3.0558999999999998</v>
      </c>
      <c r="E43">
        <f>1.638</f>
        <v>1.6379999999999999</v>
      </c>
      <c r="F43">
        <f>1.835</f>
        <v>1.835</v>
      </c>
      <c r="G43">
        <f>1.062</f>
        <v>1.0620000000000001</v>
      </c>
      <c r="H43">
        <f>2.499</f>
        <v>2.4990000000000001</v>
      </c>
    </row>
    <row r="44" spans="1:8" x14ac:dyDescent="0.25">
      <c r="A44" s="1">
        <v>44733</v>
      </c>
      <c r="B44">
        <f>3.3372</f>
        <v>3.3372000000000002</v>
      </c>
      <c r="C44">
        <f>3.2749</f>
        <v>3.2749000000000001</v>
      </c>
      <c r="D44">
        <f>3.1963</f>
        <v>3.1962999999999999</v>
      </c>
      <c r="E44">
        <f>1.771</f>
        <v>1.7709999999999999</v>
      </c>
      <c r="F44">
        <f>1.975</f>
        <v>1.9750000000000001</v>
      </c>
      <c r="G44">
        <f>1.155</f>
        <v>1.155</v>
      </c>
      <c r="H44">
        <f>2.654</f>
        <v>2.6539999999999999</v>
      </c>
    </row>
    <row r="45" spans="1:8" x14ac:dyDescent="0.25">
      <c r="A45" s="1">
        <v>44732</v>
      </c>
      <c r="B45">
        <f>3.2795</f>
        <v>3.2795000000000001</v>
      </c>
      <c r="C45">
        <f>3.2256</f>
        <v>3.2256</v>
      </c>
      <c r="D45">
        <f>3.1785</f>
        <v>3.1785000000000001</v>
      </c>
      <c r="E45">
        <f>1.749</f>
        <v>1.7490000000000001</v>
      </c>
      <c r="F45">
        <f>1.941</f>
        <v>1.9410000000000001</v>
      </c>
      <c r="G45">
        <f>1.153</f>
        <v>1.153</v>
      </c>
      <c r="H45">
        <f>2.604</f>
        <v>2.6040000000000001</v>
      </c>
    </row>
    <row r="46" spans="1:8" x14ac:dyDescent="0.25">
      <c r="A46" s="1">
        <v>44729</v>
      </c>
      <c r="B46">
        <f>3.2795</f>
        <v>3.2795000000000001</v>
      </c>
      <c r="C46">
        <f>3.2256</f>
        <v>3.2256</v>
      </c>
      <c r="D46">
        <f>3.1785</f>
        <v>3.1785000000000001</v>
      </c>
      <c r="E46">
        <f>1.661</f>
        <v>1.661</v>
      </c>
      <c r="F46">
        <f>1.851</f>
        <v>1.851</v>
      </c>
      <c r="G46">
        <f>1.094</f>
        <v>1.0940000000000001</v>
      </c>
      <c r="H46">
        <f>2.498</f>
        <v>2.4980000000000002</v>
      </c>
    </row>
    <row r="47" spans="1:8" x14ac:dyDescent="0.25">
      <c r="A47" s="1">
        <v>44728</v>
      </c>
      <c r="B47">
        <f>3.2474</f>
        <v>3.2473999999999998</v>
      </c>
      <c r="C47">
        <f>3.1952</f>
        <v>3.1951999999999998</v>
      </c>
      <c r="D47">
        <f>3.0933</f>
        <v>3.0933000000000002</v>
      </c>
      <c r="E47">
        <f>1.714</f>
        <v>1.714</v>
      </c>
      <c r="F47">
        <f>1.849</f>
        <v>1.849</v>
      </c>
      <c r="G47">
        <f>1.167</f>
        <v>1.167</v>
      </c>
      <c r="H47">
        <f>2.517</f>
        <v>2.5169999999999999</v>
      </c>
    </row>
    <row r="48" spans="1:8" x14ac:dyDescent="0.25">
      <c r="A48" s="1">
        <v>44727</v>
      </c>
      <c r="B48">
        <f>3.3283</f>
        <v>3.3283</v>
      </c>
      <c r="C48">
        <f>3.2839</f>
        <v>3.2839</v>
      </c>
      <c r="D48">
        <f>3.1908</f>
        <v>3.1907999999999999</v>
      </c>
      <c r="E48">
        <f>1.644</f>
        <v>1.6439999999999999</v>
      </c>
      <c r="F48">
        <f>1.803</f>
        <v>1.8029999999999999</v>
      </c>
      <c r="G48">
        <f>1.085</f>
        <v>1.085</v>
      </c>
      <c r="H48">
        <f>2.468</f>
        <v>2.468</v>
      </c>
    </row>
    <row r="49" spans="1:8" x14ac:dyDescent="0.25">
      <c r="A49" s="1">
        <v>44726</v>
      </c>
      <c r="B49">
        <f>3.4243</f>
        <v>3.4243000000000001</v>
      </c>
      <c r="C49">
        <f>3.4733</f>
        <v>3.4733000000000001</v>
      </c>
      <c r="D49">
        <f>3.4267</f>
        <v>3.4266999999999999</v>
      </c>
      <c r="E49">
        <f>1.758</f>
        <v>1.758</v>
      </c>
      <c r="F49">
        <f>1.858</f>
        <v>1.8580000000000001</v>
      </c>
      <c r="G49">
        <f>1.231</f>
        <v>1.2310000000000001</v>
      </c>
      <c r="H49">
        <f>2.586</f>
        <v>2.5859999999999999</v>
      </c>
    </row>
    <row r="50" spans="1:8" x14ac:dyDescent="0.25">
      <c r="A50" s="1">
        <v>44725</v>
      </c>
      <c r="B50">
        <f>3.3476</f>
        <v>3.3475999999999999</v>
      </c>
      <c r="C50">
        <f>3.3598</f>
        <v>3.3597999999999999</v>
      </c>
      <c r="D50">
        <f>3.3541</f>
        <v>3.3540999999999999</v>
      </c>
      <c r="E50">
        <f>1.632</f>
        <v>1.6319999999999999</v>
      </c>
      <c r="F50">
        <f>1.717</f>
        <v>1.7170000000000001</v>
      </c>
      <c r="G50">
        <f>1.147</f>
        <v>1.147</v>
      </c>
      <c r="H50">
        <f>2.528</f>
        <v>2.528</v>
      </c>
    </row>
    <row r="51" spans="1:8" x14ac:dyDescent="0.25">
      <c r="A51" s="1">
        <v>44722</v>
      </c>
      <c r="B51">
        <f>3.1935</f>
        <v>3.1934999999999998</v>
      </c>
      <c r="C51">
        <f>3.1555</f>
        <v>3.1555</v>
      </c>
      <c r="D51">
        <f>3.0632</f>
        <v>3.0632000000000001</v>
      </c>
      <c r="E51">
        <f>1.516</f>
        <v>1.516</v>
      </c>
      <c r="F51">
        <f>1.659</f>
        <v>1.659</v>
      </c>
      <c r="G51">
        <f>0.971</f>
        <v>0.97099999999999997</v>
      </c>
      <c r="H51">
        <f>2.447</f>
        <v>2.4470000000000001</v>
      </c>
    </row>
    <row r="52" spans="1:8" x14ac:dyDescent="0.25">
      <c r="A52" s="1">
        <v>44721</v>
      </c>
      <c r="B52">
        <f>3.163</f>
        <v>3.1629999999999998</v>
      </c>
      <c r="C52">
        <f>3.0418</f>
        <v>3.0417999999999998</v>
      </c>
      <c r="D52">
        <f>2.8113</f>
        <v>2.8113000000000001</v>
      </c>
      <c r="E52">
        <f>1.43</f>
        <v>1.43</v>
      </c>
      <c r="F52">
        <f>1.626</f>
        <v>1.6259999999999999</v>
      </c>
      <c r="G52">
        <f>0.835</f>
        <v>0.83499999999999996</v>
      </c>
      <c r="H52">
        <f>2.323</f>
        <v>2.323</v>
      </c>
    </row>
    <row r="53" spans="1:8" x14ac:dyDescent="0.25">
      <c r="A53" s="1">
        <v>44720</v>
      </c>
      <c r="B53">
        <f>3.1714</f>
        <v>3.1714000000000002</v>
      </c>
      <c r="C53">
        <f>3.0215</f>
        <v>3.0215000000000001</v>
      </c>
      <c r="D53">
        <f>2.7739</f>
        <v>2.7738999999999998</v>
      </c>
      <c r="E53">
        <f>1.354</f>
        <v>1.3540000000000001</v>
      </c>
      <c r="F53">
        <f>1.592</f>
        <v>1.5920000000000001</v>
      </c>
      <c r="G53">
        <f>0.701</f>
        <v>0.70099999999999996</v>
      </c>
      <c r="H53">
        <f>2.246</f>
        <v>2.246</v>
      </c>
    </row>
    <row r="54" spans="1:8" x14ac:dyDescent="0.25">
      <c r="A54" s="1">
        <v>44719</v>
      </c>
      <c r="B54">
        <f>3.1236</f>
        <v>3.1236000000000002</v>
      </c>
      <c r="C54">
        <f>2.9736</f>
        <v>2.9735999999999998</v>
      </c>
      <c r="D54">
        <f>2.7265</f>
        <v>2.7265000000000001</v>
      </c>
      <c r="E54">
        <f>1.293</f>
        <v>1.2929999999999999</v>
      </c>
      <c r="F54">
        <f>1.526</f>
        <v>1.526</v>
      </c>
      <c r="G54">
        <f>0.669</f>
        <v>0.66900000000000004</v>
      </c>
      <c r="H54">
        <f>2.214</f>
        <v>2.214</v>
      </c>
    </row>
    <row r="55" spans="1:8" x14ac:dyDescent="0.25">
      <c r="A55" s="1">
        <v>44718</v>
      </c>
      <c r="B55">
        <f>3.1959</f>
        <v>3.1959</v>
      </c>
      <c r="C55">
        <f>3.0399</f>
        <v>3.0398999999999998</v>
      </c>
      <c r="D55">
        <f>2.7262</f>
        <v>2.7262</v>
      </c>
      <c r="E55">
        <f>1.322</f>
        <v>1.3220000000000001</v>
      </c>
      <c r="F55">
        <f>1.575</f>
        <v>1.575</v>
      </c>
      <c r="G55">
        <f>0.693</f>
        <v>0.69299999999999995</v>
      </c>
      <c r="H55">
        <f>2.247</f>
        <v>2.2469999999999999</v>
      </c>
    </row>
    <row r="56" spans="1:8" x14ac:dyDescent="0.25">
      <c r="A56" s="1">
        <v>44715</v>
      </c>
      <c r="B56">
        <f>3.0862</f>
        <v>3.0861999999999998</v>
      </c>
      <c r="C56">
        <f>2.9332</f>
        <v>2.9331999999999998</v>
      </c>
      <c r="D56">
        <f>2.6525</f>
        <v>2.6524999999999999</v>
      </c>
      <c r="E56">
        <f>1.273</f>
        <v>1.2729999999999999</v>
      </c>
      <c r="F56">
        <f>1.522</f>
        <v>1.522</v>
      </c>
      <c r="G56">
        <f>0.662</f>
        <v>0.66200000000000003</v>
      </c>
      <c r="H56" t="e">
        <f>NA()</f>
        <v>#N/A</v>
      </c>
    </row>
    <row r="57" spans="1:8" x14ac:dyDescent="0.25">
      <c r="A57" s="1">
        <v>44714</v>
      </c>
      <c r="B57">
        <f>3.0747</f>
        <v>3.0747</v>
      </c>
      <c r="C57">
        <f>2.9076</f>
        <v>2.9076</v>
      </c>
      <c r="D57">
        <f>2.6296</f>
        <v>2.6295999999999999</v>
      </c>
      <c r="E57">
        <f>1.237</f>
        <v>1.2370000000000001</v>
      </c>
      <c r="F57">
        <f>1.482</f>
        <v>1.482</v>
      </c>
      <c r="G57">
        <f>0.632</f>
        <v>0.63200000000000001</v>
      </c>
      <c r="H57" t="e">
        <f>NA()</f>
        <v>#N/A</v>
      </c>
    </row>
    <row r="58" spans="1:8" x14ac:dyDescent="0.25">
      <c r="A58" s="1">
        <v>44713</v>
      </c>
      <c r="B58">
        <f>3.0566</f>
        <v>3.0566</v>
      </c>
      <c r="C58">
        <f>2.9058</f>
        <v>2.9058000000000002</v>
      </c>
      <c r="D58">
        <f>2.6416</f>
        <v>2.6415999999999999</v>
      </c>
      <c r="E58">
        <f>1.187</f>
        <v>1.1870000000000001</v>
      </c>
      <c r="F58">
        <f>1.461</f>
        <v>1.4610000000000001</v>
      </c>
      <c r="G58">
        <f>0.556</f>
        <v>0.55600000000000005</v>
      </c>
      <c r="H58">
        <f>2.155</f>
        <v>2.1549999999999998</v>
      </c>
    </row>
    <row r="59" spans="1:8" x14ac:dyDescent="0.25">
      <c r="A59" s="1">
        <v>44712</v>
      </c>
      <c r="B59">
        <f>3.0451</f>
        <v>3.0451000000000001</v>
      </c>
      <c r="C59">
        <f>2.8441</f>
        <v>2.8441000000000001</v>
      </c>
      <c r="D59">
        <f>2.5565</f>
        <v>2.5565000000000002</v>
      </c>
      <c r="E59">
        <f>1.122</f>
        <v>1.1220000000000001</v>
      </c>
      <c r="F59">
        <f>1.379</f>
        <v>1.379</v>
      </c>
      <c r="G59">
        <f>0.503</f>
        <v>0.503</v>
      </c>
      <c r="H59">
        <f>2.101</f>
        <v>2.101</v>
      </c>
    </row>
    <row r="60" spans="1:8" x14ac:dyDescent="0.25">
      <c r="A60" s="1">
        <v>44711</v>
      </c>
      <c r="B60">
        <f>2.9635</f>
        <v>2.9634999999999998</v>
      </c>
      <c r="C60">
        <f>2.7378</f>
        <v>2.7378</v>
      </c>
      <c r="D60">
        <f>2.4758</f>
        <v>2.4758</v>
      </c>
      <c r="E60">
        <f>1.055</f>
        <v>1.0549999999999999</v>
      </c>
      <c r="F60">
        <f>1.315</f>
        <v>1.3149999999999999</v>
      </c>
      <c r="G60">
        <f>0.449</f>
        <v>0.44900000000000001</v>
      </c>
      <c r="H60">
        <f>1.989</f>
        <v>1.9890000000000001</v>
      </c>
    </row>
    <row r="61" spans="1:8" x14ac:dyDescent="0.25">
      <c r="A61" s="1">
        <v>44708</v>
      </c>
      <c r="B61">
        <f>2.9635</f>
        <v>2.9634999999999998</v>
      </c>
      <c r="C61">
        <f>2.7378</f>
        <v>2.7378</v>
      </c>
      <c r="D61">
        <f>2.4758</f>
        <v>2.4758</v>
      </c>
      <c r="E61">
        <f>0.963</f>
        <v>0.96299999999999997</v>
      </c>
      <c r="F61">
        <f>1.246</f>
        <v>1.246</v>
      </c>
      <c r="G61">
        <f>0.353</f>
        <v>0.35299999999999998</v>
      </c>
      <c r="H61">
        <f>1.917</f>
        <v>1.917</v>
      </c>
    </row>
    <row r="62" spans="1:8" x14ac:dyDescent="0.25">
      <c r="A62" s="1">
        <v>44707</v>
      </c>
      <c r="B62">
        <f>2.9819</f>
        <v>2.9819</v>
      </c>
      <c r="C62">
        <f>2.7469</f>
        <v>2.7469000000000001</v>
      </c>
      <c r="D62">
        <f>2.4758</f>
        <v>2.4758</v>
      </c>
      <c r="E62">
        <f>0.998</f>
        <v>0.998</v>
      </c>
      <c r="F62">
        <f>1.281</f>
        <v>1.2809999999999999</v>
      </c>
      <c r="G62">
        <f>0.356</f>
        <v>0.35599999999999998</v>
      </c>
      <c r="H62">
        <f>1.968</f>
        <v>1.968</v>
      </c>
    </row>
    <row r="63" spans="1:8" x14ac:dyDescent="0.25">
      <c r="A63" s="1">
        <v>44706</v>
      </c>
      <c r="B63">
        <f>2.9691</f>
        <v>2.9691000000000001</v>
      </c>
      <c r="C63">
        <f>2.7452</f>
        <v>2.7452000000000001</v>
      </c>
      <c r="D63">
        <f>2.4919</f>
        <v>2.4918999999999998</v>
      </c>
      <c r="E63">
        <f>0.952</f>
        <v>0.95199999999999996</v>
      </c>
      <c r="F63">
        <f>1.197</f>
        <v>1.1970000000000001</v>
      </c>
      <c r="G63">
        <f>0.34</f>
        <v>0.34</v>
      </c>
      <c r="H63">
        <f>1.91</f>
        <v>1.91</v>
      </c>
    </row>
    <row r="64" spans="1:8" x14ac:dyDescent="0.25">
      <c r="A64" s="1">
        <v>44705</v>
      </c>
      <c r="B64">
        <f>2.9667</f>
        <v>2.9666999999999999</v>
      </c>
      <c r="C64">
        <f>2.7506</f>
        <v>2.7505999999999999</v>
      </c>
      <c r="D64">
        <f>2.4787</f>
        <v>2.4786999999999999</v>
      </c>
      <c r="E64">
        <f>0.967</f>
        <v>0.96699999999999997</v>
      </c>
      <c r="F64">
        <f>1.168</f>
        <v>1.1679999999999999</v>
      </c>
      <c r="G64">
        <f>0.381</f>
        <v>0.38100000000000001</v>
      </c>
      <c r="H64">
        <f>1.887</f>
        <v>1.887</v>
      </c>
    </row>
    <row r="65" spans="1:8" x14ac:dyDescent="0.25">
      <c r="A65" s="1">
        <v>44704</v>
      </c>
      <c r="B65">
        <f>3.0524</f>
        <v>3.0524</v>
      </c>
      <c r="C65">
        <f>2.8514</f>
        <v>2.8513999999999999</v>
      </c>
      <c r="D65">
        <f>2.6204</f>
        <v>2.6204000000000001</v>
      </c>
      <c r="E65">
        <f>1.017</f>
        <v>1.0169999999999999</v>
      </c>
      <c r="F65">
        <f>1.198</f>
        <v>1.198</v>
      </c>
      <c r="G65">
        <f>0.421</f>
        <v>0.42099999999999999</v>
      </c>
      <c r="H65">
        <f>1.97</f>
        <v>1.97</v>
      </c>
    </row>
    <row r="66" spans="1:8" x14ac:dyDescent="0.25">
      <c r="A66" s="1">
        <v>44701</v>
      </c>
      <c r="B66">
        <f>2.9859</f>
        <v>2.9859</v>
      </c>
      <c r="C66">
        <f>2.7811</f>
        <v>2.7810999999999999</v>
      </c>
      <c r="D66">
        <f>2.5807</f>
        <v>2.5807000000000002</v>
      </c>
      <c r="E66">
        <f>0.944</f>
        <v>0.94399999999999995</v>
      </c>
      <c r="F66">
        <f>1.116</f>
        <v>1.1160000000000001</v>
      </c>
      <c r="G66">
        <f>0.342</f>
        <v>0.34200000000000003</v>
      </c>
      <c r="H66">
        <f>1.893</f>
        <v>1.893</v>
      </c>
    </row>
    <row r="67" spans="1:8" x14ac:dyDescent="0.25">
      <c r="A67" s="1">
        <v>44700</v>
      </c>
      <c r="B67">
        <f>3.0491</f>
        <v>3.0491000000000001</v>
      </c>
      <c r="C67">
        <f>2.837</f>
        <v>2.8370000000000002</v>
      </c>
      <c r="D67">
        <f>2.6073</f>
        <v>2.6073</v>
      </c>
      <c r="E67">
        <f>0.949</f>
        <v>0.94899999999999995</v>
      </c>
      <c r="F67">
        <f>1.07</f>
        <v>1.07</v>
      </c>
      <c r="G67">
        <f>0.372</f>
        <v>0.372</v>
      </c>
      <c r="H67">
        <f>1.865</f>
        <v>1.865</v>
      </c>
    </row>
    <row r="68" spans="1:8" x14ac:dyDescent="0.25">
      <c r="A68" s="1">
        <v>44699</v>
      </c>
      <c r="B68">
        <f>3.0647</f>
        <v>3.0647000000000002</v>
      </c>
      <c r="C68">
        <f>2.884</f>
        <v>2.8839999999999999</v>
      </c>
      <c r="D68">
        <f>2.6694</f>
        <v>2.6694</v>
      </c>
      <c r="E68">
        <f>1.03</f>
        <v>1.03</v>
      </c>
      <c r="F68">
        <f>1.148</f>
        <v>1.1479999999999999</v>
      </c>
      <c r="G68">
        <f>0.392</f>
        <v>0.39200000000000002</v>
      </c>
      <c r="H68">
        <f>1.865</f>
        <v>1.865</v>
      </c>
    </row>
    <row r="69" spans="1:8" x14ac:dyDescent="0.25">
      <c r="A69" s="1">
        <v>44698</v>
      </c>
      <c r="B69">
        <f>3.1778</f>
        <v>3.1778</v>
      </c>
      <c r="C69">
        <f>2.986</f>
        <v>2.9860000000000002</v>
      </c>
      <c r="D69">
        <f>2.7003</f>
        <v>2.7002999999999999</v>
      </c>
      <c r="E69">
        <f>1.046</f>
        <v>1.046</v>
      </c>
      <c r="F69">
        <f>1.176</f>
        <v>1.1759999999999999</v>
      </c>
      <c r="G69">
        <f>0.377</f>
        <v>0.377</v>
      </c>
      <c r="H69">
        <f>1.881</f>
        <v>1.881</v>
      </c>
    </row>
    <row r="70" spans="1:8" x14ac:dyDescent="0.25">
      <c r="A70" s="1">
        <v>44697</v>
      </c>
      <c r="B70">
        <f>3.0984</f>
        <v>3.0983999999999998</v>
      </c>
      <c r="C70">
        <f>2.8822</f>
        <v>2.8822000000000001</v>
      </c>
      <c r="D70">
        <f>2.5698</f>
        <v>2.5697999999999999</v>
      </c>
      <c r="E70">
        <f>0.937</f>
        <v>0.93700000000000006</v>
      </c>
      <c r="F70">
        <f>1.104</f>
        <v>1.1040000000000001</v>
      </c>
      <c r="G70">
        <f>0.136</f>
        <v>0.13600000000000001</v>
      </c>
      <c r="H70">
        <f>1.73</f>
        <v>1.73</v>
      </c>
    </row>
    <row r="71" spans="1:8" x14ac:dyDescent="0.25">
      <c r="A71" s="1">
        <v>44694</v>
      </c>
      <c r="B71">
        <f>3.0786</f>
        <v>3.0785999999999998</v>
      </c>
      <c r="C71">
        <f>2.9185</f>
        <v>2.9184999999999999</v>
      </c>
      <c r="D71">
        <f>2.578</f>
        <v>2.5779999999999998</v>
      </c>
      <c r="E71">
        <f>0.948</f>
        <v>0.94799999999999995</v>
      </c>
      <c r="F71">
        <f>1.123</f>
        <v>1.123</v>
      </c>
      <c r="G71">
        <f>0.106</f>
        <v>0.106</v>
      </c>
      <c r="H71">
        <f>1.744</f>
        <v>1.744</v>
      </c>
    </row>
    <row r="72" spans="1:8" x14ac:dyDescent="0.25">
      <c r="A72" s="1">
        <v>44693</v>
      </c>
      <c r="B72">
        <f>3.0154</f>
        <v>3.0154000000000001</v>
      </c>
      <c r="C72">
        <f>2.8479</f>
        <v>2.8479000000000001</v>
      </c>
      <c r="D72">
        <f>2.5592</f>
        <v>2.5592000000000001</v>
      </c>
      <c r="E72">
        <f>0.84</f>
        <v>0.84</v>
      </c>
      <c r="F72">
        <f>1.02</f>
        <v>1.02</v>
      </c>
      <c r="G72">
        <f>0.047</f>
        <v>4.7E-2</v>
      </c>
      <c r="H72">
        <f>1.661</f>
        <v>1.661</v>
      </c>
    </row>
    <row r="73" spans="1:8" x14ac:dyDescent="0.25">
      <c r="A73" s="1">
        <v>44692</v>
      </c>
      <c r="B73">
        <f>3.0456</f>
        <v>3.0455999999999999</v>
      </c>
      <c r="C73">
        <f>2.9207</f>
        <v>2.9207000000000001</v>
      </c>
      <c r="D73">
        <f>2.6371</f>
        <v>2.6371000000000002</v>
      </c>
      <c r="E73">
        <f>0.986</f>
        <v>0.98599999999999999</v>
      </c>
      <c r="F73">
        <f>1.139</f>
        <v>1.139</v>
      </c>
      <c r="G73">
        <f>0.14</f>
        <v>0.14000000000000001</v>
      </c>
      <c r="H73">
        <f>1.826</f>
        <v>1.8260000000000001</v>
      </c>
    </row>
    <row r="74" spans="1:8" x14ac:dyDescent="0.25">
      <c r="A74" s="1">
        <v>44691</v>
      </c>
      <c r="B74">
        <f>3.1231</f>
        <v>3.1231</v>
      </c>
      <c r="C74">
        <f>2.9908</f>
        <v>2.9908000000000001</v>
      </c>
      <c r="D74">
        <f>2.6124</f>
        <v>2.6124000000000001</v>
      </c>
      <c r="E74">
        <f>1</f>
        <v>1</v>
      </c>
      <c r="F74">
        <f>1.14</f>
        <v>1.1399999999999999</v>
      </c>
      <c r="G74">
        <f>0.161</f>
        <v>0.161</v>
      </c>
      <c r="H74">
        <f>1.848</f>
        <v>1.8480000000000001</v>
      </c>
    </row>
    <row r="75" spans="1:8" x14ac:dyDescent="0.25">
      <c r="A75" s="1">
        <v>44690</v>
      </c>
      <c r="B75">
        <f>3.1504</f>
        <v>3.1503999999999999</v>
      </c>
      <c r="C75">
        <f>3.0338</f>
        <v>3.0337999999999998</v>
      </c>
      <c r="D75">
        <f>2.5938</f>
        <v>2.5937999999999999</v>
      </c>
      <c r="E75">
        <f>1.095</f>
        <v>1.095</v>
      </c>
      <c r="F75">
        <f>1.234</f>
        <v>1.234</v>
      </c>
      <c r="G75">
        <f>0.229</f>
        <v>0.22900000000000001</v>
      </c>
      <c r="H75">
        <f>1.956</f>
        <v>1.956</v>
      </c>
    </row>
    <row r="76" spans="1:8" x14ac:dyDescent="0.25">
      <c r="A76" s="1">
        <v>44687</v>
      </c>
      <c r="B76">
        <f>3.2254</f>
        <v>3.2254</v>
      </c>
      <c r="C76">
        <f>3.1265</f>
        <v>3.1265000000000001</v>
      </c>
      <c r="D76">
        <f>2.7308</f>
        <v>2.7307999999999999</v>
      </c>
      <c r="E76">
        <f>1.132</f>
        <v>1.1319999999999999</v>
      </c>
      <c r="F76">
        <f>1.241</f>
        <v>1.2410000000000001</v>
      </c>
      <c r="G76">
        <f>0.32</f>
        <v>0.32</v>
      </c>
      <c r="H76">
        <f>1.995</f>
        <v>1.9950000000000001</v>
      </c>
    </row>
    <row r="77" spans="1:8" x14ac:dyDescent="0.25">
      <c r="A77" s="1">
        <v>44686</v>
      </c>
      <c r="B77">
        <f>3.1192</f>
        <v>3.1192000000000002</v>
      </c>
      <c r="C77">
        <f>3.0365</f>
        <v>3.0365000000000002</v>
      </c>
      <c r="D77">
        <f>2.7034</f>
        <v>2.7033999999999998</v>
      </c>
      <c r="E77">
        <f>1.044</f>
        <v>1.044</v>
      </c>
      <c r="F77">
        <f>1.171</f>
        <v>1.171</v>
      </c>
      <c r="G77">
        <f>0.285</f>
        <v>0.28499999999999998</v>
      </c>
      <c r="H77">
        <f>1.964</f>
        <v>1.964</v>
      </c>
    </row>
    <row r="78" spans="1:8" x14ac:dyDescent="0.25">
      <c r="A78" s="1">
        <v>44685</v>
      </c>
      <c r="B78">
        <f>3.0345</f>
        <v>3.0345</v>
      </c>
      <c r="C78">
        <f>2.9344</f>
        <v>2.9344000000000001</v>
      </c>
      <c r="D78">
        <f>2.6421</f>
        <v>2.6421000000000001</v>
      </c>
      <c r="E78">
        <f>0.971</f>
        <v>0.97099999999999997</v>
      </c>
      <c r="F78">
        <f>1.08</f>
        <v>1.08</v>
      </c>
      <c r="G78">
        <f>0.271</f>
        <v>0.27100000000000002</v>
      </c>
      <c r="H78">
        <f>1.966</f>
        <v>1.966</v>
      </c>
    </row>
    <row r="79" spans="1:8" x14ac:dyDescent="0.25">
      <c r="A79" s="1">
        <v>44684</v>
      </c>
      <c r="B79">
        <f>3.0088</f>
        <v>3.0087999999999999</v>
      </c>
      <c r="C79">
        <f>2.9712</f>
        <v>2.9712000000000001</v>
      </c>
      <c r="D79">
        <f>2.7824</f>
        <v>2.7824</v>
      </c>
      <c r="E79">
        <f>0.965</f>
        <v>0.96499999999999997</v>
      </c>
      <c r="F79">
        <f>1.087</f>
        <v>1.087</v>
      </c>
      <c r="G79">
        <f>0.275</f>
        <v>0.27500000000000002</v>
      </c>
      <c r="H79">
        <f>1.958</f>
        <v>1.958</v>
      </c>
    </row>
    <row r="80" spans="1:8" x14ac:dyDescent="0.25">
      <c r="A80" s="1">
        <v>44683</v>
      </c>
      <c r="B80">
        <f>3.0327</f>
        <v>3.0327000000000002</v>
      </c>
      <c r="C80">
        <f>2.9807</f>
        <v>2.9807000000000001</v>
      </c>
      <c r="D80">
        <f>2.7312</f>
        <v>2.7311999999999999</v>
      </c>
      <c r="E80">
        <f>0.968</f>
        <v>0.96799999999999997</v>
      </c>
      <c r="F80">
        <f>1.139</f>
        <v>1.139</v>
      </c>
      <c r="G80">
        <f>0.242</f>
        <v>0.24199999999999999</v>
      </c>
      <c r="H80">
        <f>1.905</f>
        <v>1.905</v>
      </c>
    </row>
    <row r="81" spans="1:8" x14ac:dyDescent="0.25">
      <c r="A81" s="1">
        <v>44680</v>
      </c>
      <c r="B81">
        <f>2.9972</f>
        <v>2.9971999999999999</v>
      </c>
      <c r="C81">
        <f>2.9336</f>
        <v>2.9336000000000002</v>
      </c>
      <c r="D81">
        <f>2.7146</f>
        <v>2.7145999999999999</v>
      </c>
      <c r="E81">
        <f>0.938</f>
        <v>0.93799999999999994</v>
      </c>
      <c r="F81">
        <f>1.091</f>
        <v>1.091</v>
      </c>
      <c r="G81">
        <f>0.261</f>
        <v>0.26100000000000001</v>
      </c>
      <c r="H81">
        <f>1.905</f>
        <v>1.905</v>
      </c>
    </row>
    <row r="82" spans="1:8" x14ac:dyDescent="0.25">
      <c r="A82" s="1">
        <v>44679</v>
      </c>
      <c r="B82">
        <f>2.8928</f>
        <v>2.8927999999999998</v>
      </c>
      <c r="C82">
        <f>2.8224</f>
        <v>2.8224</v>
      </c>
      <c r="D82">
        <f>2.6173</f>
        <v>2.6173000000000002</v>
      </c>
      <c r="E82">
        <f>0.9</f>
        <v>0.9</v>
      </c>
      <c r="F82">
        <f>1.053</f>
        <v>1.0529999999999999</v>
      </c>
      <c r="G82">
        <f>0.198</f>
        <v>0.19800000000000001</v>
      </c>
      <c r="H82">
        <f>1.877</f>
        <v>1.877</v>
      </c>
    </row>
    <row r="83" spans="1:8" x14ac:dyDescent="0.25">
      <c r="A83" s="1">
        <v>44678</v>
      </c>
      <c r="B83">
        <f>2.9212</f>
        <v>2.9211999999999998</v>
      </c>
      <c r="C83">
        <f>2.8318</f>
        <v>2.8317999999999999</v>
      </c>
      <c r="D83">
        <f>2.591</f>
        <v>2.5910000000000002</v>
      </c>
      <c r="E83">
        <f>0.801</f>
        <v>0.80100000000000005</v>
      </c>
      <c r="F83">
        <f>0.974</f>
        <v>0.97399999999999998</v>
      </c>
      <c r="G83">
        <f>0.1</f>
        <v>0.1</v>
      </c>
      <c r="H83">
        <f>1.812</f>
        <v>1.8120000000000001</v>
      </c>
    </row>
    <row r="84" spans="1:8" x14ac:dyDescent="0.25">
      <c r="A84" s="1">
        <v>44677</v>
      </c>
      <c r="B84">
        <f>2.8274</f>
        <v>2.8273999999999999</v>
      </c>
      <c r="C84">
        <f>2.7205</f>
        <v>2.7204999999999999</v>
      </c>
      <c r="D84">
        <f>2.4773</f>
        <v>2.4773000000000001</v>
      </c>
      <c r="E84">
        <f>0.815</f>
        <v>0.81499999999999995</v>
      </c>
      <c r="F84">
        <f>0.955</f>
        <v>0.95499999999999996</v>
      </c>
      <c r="G84">
        <f>0.149</f>
        <v>0.14899999999999999</v>
      </c>
      <c r="H84">
        <f>1.796</f>
        <v>1.796</v>
      </c>
    </row>
    <row r="85" spans="1:8" x14ac:dyDescent="0.25">
      <c r="A85" s="1">
        <v>44676</v>
      </c>
      <c r="B85">
        <f>2.8884</f>
        <v>2.8883999999999999</v>
      </c>
      <c r="C85">
        <f>2.8198</f>
        <v>2.8197999999999999</v>
      </c>
      <c r="D85">
        <f>2.6257</f>
        <v>2.6257000000000001</v>
      </c>
      <c r="E85">
        <f>0.837</f>
        <v>0.83699999999999997</v>
      </c>
      <c r="F85">
        <f>0.985</f>
        <v>0.98499999999999999</v>
      </c>
      <c r="G85">
        <f>0.146</f>
        <v>0.14599999999999999</v>
      </c>
      <c r="H85">
        <f>1.841</f>
        <v>1.841</v>
      </c>
    </row>
    <row r="86" spans="1:8" x14ac:dyDescent="0.25">
      <c r="A86" s="1">
        <v>44673</v>
      </c>
      <c r="B86">
        <f>2.9444</f>
        <v>2.9443999999999999</v>
      </c>
      <c r="C86">
        <f>2.8987</f>
        <v>2.8986999999999998</v>
      </c>
      <c r="D86">
        <f>2.6672</f>
        <v>2.6671999999999998</v>
      </c>
      <c r="E86">
        <f>0.972</f>
        <v>0.97199999999999998</v>
      </c>
      <c r="F86">
        <f>1.069</f>
        <v>1.069</v>
      </c>
      <c r="G86">
        <f>0.283</f>
        <v>0.28299999999999997</v>
      </c>
      <c r="H86">
        <f>1.963</f>
        <v>1.9630000000000001</v>
      </c>
    </row>
    <row r="87" spans="1:8" x14ac:dyDescent="0.25">
      <c r="A87" s="1">
        <v>44672</v>
      </c>
      <c r="B87">
        <f>2.9278</f>
        <v>2.9278</v>
      </c>
      <c r="C87">
        <f>2.9095</f>
        <v>2.9095</v>
      </c>
      <c r="D87">
        <f>2.6822</f>
        <v>2.6821999999999999</v>
      </c>
      <c r="E87">
        <f>0.948</f>
        <v>0.94799999999999995</v>
      </c>
      <c r="F87">
        <f>1.067</f>
        <v>1.0669999999999999</v>
      </c>
      <c r="G87">
        <f>0.196</f>
        <v>0.19600000000000001</v>
      </c>
      <c r="H87">
        <f>2.012</f>
        <v>2.012</v>
      </c>
    </row>
    <row r="88" spans="1:8" x14ac:dyDescent="0.25">
      <c r="A88" s="1">
        <v>44671</v>
      </c>
      <c r="B88">
        <f>2.872</f>
        <v>2.8719999999999999</v>
      </c>
      <c r="C88">
        <f>2.832</f>
        <v>2.8319999999999999</v>
      </c>
      <c r="D88">
        <f>2.5753</f>
        <v>2.5752999999999999</v>
      </c>
      <c r="E88">
        <f>0.857</f>
        <v>0.85699999999999998</v>
      </c>
      <c r="F88">
        <f>0.996</f>
        <v>0.996</v>
      </c>
      <c r="G88">
        <f>0.046</f>
        <v>4.5999999999999999E-2</v>
      </c>
      <c r="H88">
        <f>1.915</f>
        <v>1.915</v>
      </c>
    </row>
    <row r="89" spans="1:8" x14ac:dyDescent="0.25">
      <c r="A89" s="1">
        <v>44670</v>
      </c>
      <c r="B89">
        <f>2.9949</f>
        <v>2.9948999999999999</v>
      </c>
      <c r="C89">
        <f>2.9361</f>
        <v>2.9361000000000002</v>
      </c>
      <c r="D89">
        <f>2.5915</f>
        <v>2.5914999999999999</v>
      </c>
      <c r="E89">
        <f>0.91</f>
        <v>0.91</v>
      </c>
      <c r="F89">
        <f>1.079</f>
        <v>1.079</v>
      </c>
      <c r="G89">
        <f>0.054</f>
        <v>5.3999999999999999E-2</v>
      </c>
      <c r="H89">
        <f>1.967</f>
        <v>1.9670000000000001</v>
      </c>
    </row>
    <row r="90" spans="1:8" x14ac:dyDescent="0.25">
      <c r="A90" s="1">
        <v>44669</v>
      </c>
      <c r="B90">
        <f>2.9407</f>
        <v>2.9407000000000001</v>
      </c>
      <c r="C90">
        <f>2.8527</f>
        <v>2.8527</v>
      </c>
      <c r="D90">
        <f>2.448</f>
        <v>2.448</v>
      </c>
      <c r="E90">
        <f>0.842</f>
        <v>0.84199999999999997</v>
      </c>
      <c r="F90">
        <f>1.015</f>
        <v>1.0149999999999999</v>
      </c>
      <c r="G90">
        <f>0.047</f>
        <v>4.7E-2</v>
      </c>
      <c r="H90">
        <f>1.889</f>
        <v>1.889</v>
      </c>
    </row>
    <row r="91" spans="1:8" x14ac:dyDescent="0.25">
      <c r="A91" s="1">
        <v>44666</v>
      </c>
      <c r="B91">
        <f>2.9147</f>
        <v>2.9146999999999998</v>
      </c>
      <c r="C91">
        <f>2.8275</f>
        <v>2.8275000000000001</v>
      </c>
      <c r="D91">
        <f>2.4539</f>
        <v>2.4539</v>
      </c>
      <c r="E91">
        <f>0.842</f>
        <v>0.84199999999999997</v>
      </c>
      <c r="F91">
        <f>1.015</f>
        <v>1.0149999999999999</v>
      </c>
      <c r="G91">
        <f>0.047</f>
        <v>4.7E-2</v>
      </c>
      <c r="H91">
        <f>1.889</f>
        <v>1.889</v>
      </c>
    </row>
    <row r="92" spans="1:8" x14ac:dyDescent="0.25">
      <c r="A92" s="1">
        <v>44665</v>
      </c>
      <c r="B92">
        <f>2.9147</f>
        <v>2.9146999999999998</v>
      </c>
      <c r="C92">
        <f>2.8275</f>
        <v>2.8275000000000001</v>
      </c>
      <c r="D92">
        <f>2.4539</f>
        <v>2.4539</v>
      </c>
      <c r="E92">
        <f>0.842</f>
        <v>0.84199999999999997</v>
      </c>
      <c r="F92">
        <f>1.015</f>
        <v>1.0149999999999999</v>
      </c>
      <c r="G92">
        <f>0.047</f>
        <v>4.7E-2</v>
      </c>
      <c r="H92">
        <f>1.889</f>
        <v>1.889</v>
      </c>
    </row>
    <row r="93" spans="1:8" x14ac:dyDescent="0.25">
      <c r="A93" s="1">
        <v>44664</v>
      </c>
      <c r="B93">
        <f>2.8109</f>
        <v>2.8109000000000002</v>
      </c>
      <c r="C93">
        <f>2.6987</f>
        <v>2.6987000000000001</v>
      </c>
      <c r="D93">
        <f>2.3481</f>
        <v>2.3481000000000001</v>
      </c>
      <c r="E93">
        <f>0.766</f>
        <v>0.76600000000000001</v>
      </c>
      <c r="F93">
        <f>0.901</f>
        <v>0.90100000000000002</v>
      </c>
      <c r="G93">
        <f>0.074</f>
        <v>7.3999999999999996E-2</v>
      </c>
      <c r="H93">
        <f>1.799</f>
        <v>1.7989999999999999</v>
      </c>
    </row>
    <row r="94" spans="1:8" x14ac:dyDescent="0.25">
      <c r="A94" s="1">
        <v>44663</v>
      </c>
      <c r="B94">
        <f>2.8092</f>
        <v>2.8092000000000001</v>
      </c>
      <c r="C94">
        <f>2.7213</f>
        <v>2.7212999999999998</v>
      </c>
      <c r="D94">
        <f>2.4054</f>
        <v>2.4054000000000002</v>
      </c>
      <c r="E94">
        <f>0.79</f>
        <v>0.79</v>
      </c>
      <c r="F94">
        <f>0.927</f>
        <v>0.92700000000000005</v>
      </c>
      <c r="G94">
        <f>0.075</f>
        <v>7.4999999999999997E-2</v>
      </c>
      <c r="H94">
        <f>1.803</f>
        <v>1.8029999999999999</v>
      </c>
    </row>
    <row r="95" spans="1:8" x14ac:dyDescent="0.25">
      <c r="A95" s="1">
        <v>44662</v>
      </c>
      <c r="B95">
        <f>2.8084</f>
        <v>2.8083999999999998</v>
      </c>
      <c r="C95">
        <f>2.7801</f>
        <v>2.7801</v>
      </c>
      <c r="D95">
        <f>2.4975</f>
        <v>2.4975000000000001</v>
      </c>
      <c r="E95">
        <f>0.816</f>
        <v>0.81599999999999995</v>
      </c>
      <c r="F95">
        <f>0.928</f>
        <v>0.92800000000000005</v>
      </c>
      <c r="G95">
        <f>0.133</f>
        <v>0.13300000000000001</v>
      </c>
      <c r="H95">
        <f>1.847</f>
        <v>1.847</v>
      </c>
    </row>
    <row r="96" spans="1:8" x14ac:dyDescent="0.25">
      <c r="A96" s="1">
        <v>44659</v>
      </c>
      <c r="B96">
        <f>2.7182</f>
        <v>2.7181999999999999</v>
      </c>
      <c r="C96">
        <f>2.7</f>
        <v>2.7</v>
      </c>
      <c r="D96">
        <f>2.5115</f>
        <v>2.5114999999999998</v>
      </c>
      <c r="E96">
        <f>0.707</f>
        <v>0.70699999999999996</v>
      </c>
      <c r="F96">
        <f>0.809</f>
        <v>0.80900000000000005</v>
      </c>
      <c r="G96">
        <f>0.05</f>
        <v>0.05</v>
      </c>
      <c r="H96">
        <f>1.75</f>
        <v>1.75</v>
      </c>
    </row>
    <row r="97" spans="1:8" x14ac:dyDescent="0.25">
      <c r="A97" s="1">
        <v>44658</v>
      </c>
      <c r="B97">
        <f>2.679</f>
        <v>2.6789999999999998</v>
      </c>
      <c r="C97">
        <f>2.6578</f>
        <v>2.6577999999999999</v>
      </c>
      <c r="D97">
        <f>2.4595</f>
        <v>2.4594999999999998</v>
      </c>
      <c r="E97">
        <f>0.681</f>
        <v>0.68100000000000005</v>
      </c>
      <c r="F97">
        <f>0.811</f>
        <v>0.81100000000000005</v>
      </c>
      <c r="G97">
        <f>-0.014</f>
        <v>-1.4E-2</v>
      </c>
      <c r="H97">
        <f>1.73</f>
        <v>1.73</v>
      </c>
    </row>
    <row r="98" spans="1:8" x14ac:dyDescent="0.25">
      <c r="A98" s="1">
        <v>44657</v>
      </c>
      <c r="B98">
        <f>2.626</f>
        <v>2.6259999999999999</v>
      </c>
      <c r="C98">
        <f>2.5975</f>
        <v>2.5975000000000001</v>
      </c>
      <c r="D98">
        <f>2.4714</f>
        <v>2.4714</v>
      </c>
      <c r="E98">
        <f>0.647</f>
        <v>0.64700000000000002</v>
      </c>
      <c r="F98">
        <f>0.79</f>
        <v>0.79</v>
      </c>
      <c r="G98">
        <f>-0.04</f>
        <v>-0.04</v>
      </c>
      <c r="H98">
        <f>1.703</f>
        <v>1.7030000000000001</v>
      </c>
    </row>
    <row r="99" spans="1:8" x14ac:dyDescent="0.25">
      <c r="A99" s="1">
        <v>44656</v>
      </c>
      <c r="B99">
        <f>2.5729</f>
        <v>2.5729000000000002</v>
      </c>
      <c r="C99">
        <f>2.5469</f>
        <v>2.5468999999999999</v>
      </c>
      <c r="D99">
        <f>2.5139</f>
        <v>2.5139</v>
      </c>
      <c r="E99">
        <f>0.614</f>
        <v>0.61399999999999999</v>
      </c>
      <c r="F99">
        <f>0.729</f>
        <v>0.72899999999999998</v>
      </c>
      <c r="G99">
        <f>-0.022</f>
        <v>-2.1999999999999999E-2</v>
      </c>
      <c r="H99">
        <f>1.654</f>
        <v>1.6539999999999999</v>
      </c>
    </row>
    <row r="100" spans="1:8" x14ac:dyDescent="0.25">
      <c r="A100" s="1">
        <v>44655</v>
      </c>
      <c r="B100">
        <f>2.456</f>
        <v>2.456</v>
      </c>
      <c r="C100">
        <f>2.3951</f>
        <v>2.3950999999999998</v>
      </c>
      <c r="D100">
        <f>2.4221</f>
        <v>2.4220999999999999</v>
      </c>
      <c r="E100">
        <f>0.506</f>
        <v>0.50600000000000001</v>
      </c>
      <c r="F100">
        <f>0.635</f>
        <v>0.63500000000000001</v>
      </c>
      <c r="G100">
        <f>-0.083</f>
        <v>-8.3000000000000004E-2</v>
      </c>
      <c r="H100">
        <f>1.547</f>
        <v>1.5469999999999999</v>
      </c>
    </row>
    <row r="101" spans="1:8" x14ac:dyDescent="0.25">
      <c r="A101" s="1">
        <v>44652</v>
      </c>
      <c r="B101">
        <f>2.4317</f>
        <v>2.4317000000000002</v>
      </c>
      <c r="C101">
        <f>2.3822</f>
        <v>2.3822000000000001</v>
      </c>
      <c r="D101">
        <f>2.4564</f>
        <v>2.4563999999999999</v>
      </c>
      <c r="E101">
        <f>0.555</f>
        <v>0.55500000000000005</v>
      </c>
      <c r="F101">
        <f>0.672</f>
        <v>0.67200000000000004</v>
      </c>
      <c r="G101">
        <f>-0.068</f>
        <v>-6.8000000000000005E-2</v>
      </c>
      <c r="H101">
        <f>1.608</f>
        <v>1.6080000000000001</v>
      </c>
    </row>
    <row r="102" spans="1:8" x14ac:dyDescent="0.25">
      <c r="A102" s="1">
        <v>44651</v>
      </c>
      <c r="B102">
        <f>2.4476</f>
        <v>2.4476</v>
      </c>
      <c r="C102">
        <f>2.338</f>
        <v>2.3380000000000001</v>
      </c>
      <c r="D102">
        <f>2.3345</f>
        <v>2.3344999999999998</v>
      </c>
      <c r="E102">
        <f>0.548</f>
        <v>0.54800000000000004</v>
      </c>
      <c r="F102">
        <f>0.666</f>
        <v>0.66600000000000004</v>
      </c>
      <c r="G102">
        <f>-0.074</f>
        <v>-7.3999999999999996E-2</v>
      </c>
      <c r="H102">
        <f>1.61</f>
        <v>1.61</v>
      </c>
    </row>
    <row r="103" spans="1:8" x14ac:dyDescent="0.25">
      <c r="A103" s="1">
        <v>44650</v>
      </c>
      <c r="B103">
        <f>2.4743</f>
        <v>2.4742999999999999</v>
      </c>
      <c r="C103">
        <f>2.3488</f>
        <v>2.3488000000000002</v>
      </c>
      <c r="D103">
        <f>2.3063</f>
        <v>2.3062999999999998</v>
      </c>
      <c r="E103">
        <f>0.646</f>
        <v>0.64600000000000002</v>
      </c>
      <c r="F103">
        <f>0.732</f>
        <v>0.73199999999999998</v>
      </c>
      <c r="G103">
        <f>0.002</f>
        <v>2E-3</v>
      </c>
      <c r="H103">
        <f>1.666</f>
        <v>1.6659999999999999</v>
      </c>
    </row>
    <row r="104" spans="1:8" x14ac:dyDescent="0.25">
      <c r="A104" s="1">
        <v>44649</v>
      </c>
      <c r="B104">
        <f>2.5012</f>
        <v>2.5011999999999999</v>
      </c>
      <c r="C104">
        <f>2.3944</f>
        <v>2.3944000000000001</v>
      </c>
      <c r="D104">
        <f>2.3646</f>
        <v>2.3645999999999998</v>
      </c>
      <c r="E104">
        <f>0.633</f>
        <v>0.63300000000000001</v>
      </c>
      <c r="F104">
        <f>0.725</f>
        <v>0.72499999999999998</v>
      </c>
      <c r="G104">
        <f>-0.053</f>
        <v>-5.2999999999999999E-2</v>
      </c>
      <c r="H104">
        <f>1.642</f>
        <v>1.6419999999999999</v>
      </c>
    </row>
    <row r="105" spans="1:8" x14ac:dyDescent="0.25">
      <c r="A105" s="1">
        <v>44648</v>
      </c>
      <c r="B105">
        <f>2.5399</f>
        <v>2.5398999999999998</v>
      </c>
      <c r="C105">
        <f>2.4585</f>
        <v>2.4584999999999999</v>
      </c>
      <c r="D105">
        <f>2.3277</f>
        <v>2.3277000000000001</v>
      </c>
      <c r="E105">
        <f>0.578</f>
        <v>0.57799999999999996</v>
      </c>
      <c r="F105">
        <f>0.681</f>
        <v>0.68100000000000005</v>
      </c>
      <c r="G105">
        <f>-0.117</f>
        <v>-0.11700000000000001</v>
      </c>
      <c r="H105">
        <f>1.617</f>
        <v>1.617</v>
      </c>
    </row>
    <row r="106" spans="1:8" x14ac:dyDescent="0.25">
      <c r="A106" s="1">
        <v>44645</v>
      </c>
      <c r="B106">
        <f>2.5846</f>
        <v>2.5846</v>
      </c>
      <c r="C106">
        <f>2.4731</f>
        <v>2.4731000000000001</v>
      </c>
      <c r="D106">
        <f>2.2696</f>
        <v>2.2696000000000001</v>
      </c>
      <c r="E106">
        <f>0.587</f>
        <v>0.58699999999999997</v>
      </c>
      <c r="F106">
        <f>0.7</f>
        <v>0.7</v>
      </c>
      <c r="G106">
        <f>-0.135</f>
        <v>-0.13500000000000001</v>
      </c>
      <c r="H106">
        <f>1.695</f>
        <v>1.6950000000000001</v>
      </c>
    </row>
    <row r="107" spans="1:8" x14ac:dyDescent="0.25">
      <c r="A107" s="1">
        <v>44644</v>
      </c>
      <c r="B107">
        <f>2.5383</f>
        <v>2.5383</v>
      </c>
      <c r="C107">
        <f>2.3718</f>
        <v>2.3717999999999999</v>
      </c>
      <c r="D107">
        <f>2.1387</f>
        <v>2.1387</v>
      </c>
      <c r="E107">
        <f>0.532</f>
        <v>0.53200000000000003</v>
      </c>
      <c r="F107">
        <f>0.665</f>
        <v>0.66500000000000004</v>
      </c>
      <c r="G107">
        <f>-0.199</f>
        <v>-0.19900000000000001</v>
      </c>
      <c r="H107">
        <f>1.646</f>
        <v>1.6459999999999999</v>
      </c>
    </row>
    <row r="108" spans="1:8" x14ac:dyDescent="0.25">
      <c r="A108" s="1">
        <v>44643</v>
      </c>
      <c r="B108">
        <f>2.4842</f>
        <v>2.4842</v>
      </c>
      <c r="C108">
        <f>2.2917</f>
        <v>2.2917000000000001</v>
      </c>
      <c r="D108">
        <f>2.0961</f>
        <v>2.0960999999999999</v>
      </c>
      <c r="E108">
        <f>0.466</f>
        <v>0.46600000000000003</v>
      </c>
      <c r="F108">
        <f>0.619</f>
        <v>0.61899999999999999</v>
      </c>
      <c r="G108">
        <f>-0.253</f>
        <v>-0.253</v>
      </c>
      <c r="H108">
        <f>1.627</f>
        <v>1.627</v>
      </c>
    </row>
    <row r="109" spans="1:8" x14ac:dyDescent="0.25">
      <c r="A109" s="1">
        <v>44642</v>
      </c>
      <c r="B109">
        <f>2.6011</f>
        <v>2.6011000000000002</v>
      </c>
      <c r="C109">
        <f>2.3825</f>
        <v>2.3824999999999998</v>
      </c>
      <c r="D109">
        <f>2.1641</f>
        <v>2.1640999999999999</v>
      </c>
      <c r="E109">
        <f>0.505</f>
        <v>0.505</v>
      </c>
      <c r="F109">
        <f>0.672</f>
        <v>0.67200000000000004</v>
      </c>
      <c r="G109">
        <f>-0.235</f>
        <v>-0.23499999999999999</v>
      </c>
      <c r="H109">
        <f>1.708</f>
        <v>1.708</v>
      </c>
    </row>
    <row r="110" spans="1:8" x14ac:dyDescent="0.25">
      <c r="A110" s="1">
        <v>44641</v>
      </c>
      <c r="B110">
        <f>2.5173</f>
        <v>2.5173000000000001</v>
      </c>
      <c r="C110">
        <f>2.2896</f>
        <v>2.2896000000000001</v>
      </c>
      <c r="D110">
        <f>2.1153</f>
        <v>2.1153</v>
      </c>
      <c r="E110">
        <f>0.47</f>
        <v>0.47</v>
      </c>
      <c r="F110">
        <f>0.658</f>
        <v>0.65800000000000003</v>
      </c>
      <c r="G110">
        <f>-0.284</f>
        <v>-0.28399999999999997</v>
      </c>
      <c r="H110">
        <f>1.638</f>
        <v>1.6379999999999999</v>
      </c>
    </row>
    <row r="111" spans="1:8" x14ac:dyDescent="0.25">
      <c r="A111" s="1">
        <v>44638</v>
      </c>
      <c r="B111">
        <f>2.4202</f>
        <v>2.4201999999999999</v>
      </c>
      <c r="C111">
        <f>2.1494</f>
        <v>2.1494</v>
      </c>
      <c r="D111">
        <f>1.9362</f>
        <v>1.9361999999999999</v>
      </c>
      <c r="E111">
        <f>0.373</f>
        <v>0.373</v>
      </c>
      <c r="F111">
        <f>0.561</f>
        <v>0.56100000000000005</v>
      </c>
      <c r="G111">
        <f>-0.338</f>
        <v>-0.33800000000000002</v>
      </c>
      <c r="H111">
        <f>1.497</f>
        <v>1.4970000000000001</v>
      </c>
    </row>
    <row r="112" spans="1:8" x14ac:dyDescent="0.25">
      <c r="A112" s="1">
        <v>44637</v>
      </c>
      <c r="B112">
        <f>2.4688</f>
        <v>2.4687999999999999</v>
      </c>
      <c r="C112">
        <f>2.1706</f>
        <v>2.1705999999999999</v>
      </c>
      <c r="D112">
        <f>1.9138</f>
        <v>1.9137999999999999</v>
      </c>
      <c r="E112">
        <f>0.385</f>
        <v>0.38500000000000001</v>
      </c>
      <c r="F112">
        <f>0.561</f>
        <v>0.56100000000000005</v>
      </c>
      <c r="G112">
        <f>-0.338</f>
        <v>-0.33800000000000002</v>
      </c>
      <c r="H112">
        <f>1.565</f>
        <v>1.5649999999999999</v>
      </c>
    </row>
    <row r="113" spans="1:8" x14ac:dyDescent="0.25">
      <c r="A113" s="1">
        <v>44636</v>
      </c>
      <c r="B113">
        <f>2.4528</f>
        <v>2.4527999999999999</v>
      </c>
      <c r="C113">
        <f>2.1849</f>
        <v>2.1848999999999998</v>
      </c>
      <c r="D113">
        <f>1.9379</f>
        <v>1.9379</v>
      </c>
      <c r="E113">
        <f>0.392</f>
        <v>0.39200000000000002</v>
      </c>
      <c r="F113">
        <f>0.577</f>
        <v>0.57699999999999996</v>
      </c>
      <c r="G113">
        <f>-0.333</f>
        <v>-0.33300000000000002</v>
      </c>
      <c r="H113">
        <f>1.63</f>
        <v>1.63</v>
      </c>
    </row>
    <row r="114" spans="1:8" x14ac:dyDescent="0.25">
      <c r="A114" s="1">
        <v>44635</v>
      </c>
      <c r="B114">
        <f>2.4779</f>
        <v>2.4779</v>
      </c>
      <c r="C114">
        <f>2.1437</f>
        <v>2.1436999999999999</v>
      </c>
      <c r="D114">
        <f>1.8491</f>
        <v>1.8491</v>
      </c>
      <c r="E114">
        <f>0.332</f>
        <v>0.33200000000000002</v>
      </c>
      <c r="F114">
        <f>0.532</f>
        <v>0.53200000000000003</v>
      </c>
      <c r="G114">
        <f>-0.418</f>
        <v>-0.41799999999999998</v>
      </c>
      <c r="H114">
        <f>1.576</f>
        <v>1.5760000000000001</v>
      </c>
    </row>
    <row r="115" spans="1:8" x14ac:dyDescent="0.25">
      <c r="A115" s="1">
        <v>44634</v>
      </c>
      <c r="B115">
        <f>2.471</f>
        <v>2.4710000000000001</v>
      </c>
      <c r="C115">
        <f>2.133</f>
        <v>2.133</v>
      </c>
      <c r="D115">
        <f>1.8609</f>
        <v>1.8609</v>
      </c>
      <c r="E115">
        <f>0.368</f>
        <v>0.36799999999999999</v>
      </c>
      <c r="F115">
        <f>0.551</f>
        <v>0.55100000000000005</v>
      </c>
      <c r="G115">
        <f>-0.344</f>
        <v>-0.34399999999999997</v>
      </c>
      <c r="H115">
        <f>1.594</f>
        <v>1.5940000000000001</v>
      </c>
    </row>
    <row r="116" spans="1:8" x14ac:dyDescent="0.25">
      <c r="A116" s="1">
        <v>44631</v>
      </c>
      <c r="B116">
        <f>2.3537</f>
        <v>2.3536999999999999</v>
      </c>
      <c r="C116">
        <f>1.9917</f>
        <v>1.9917</v>
      </c>
      <c r="D116">
        <f>1.748</f>
        <v>1.748</v>
      </c>
      <c r="E116">
        <f>0.249</f>
        <v>0.249</v>
      </c>
      <c r="F116">
        <f>0.412</f>
        <v>0.41199999999999998</v>
      </c>
      <c r="G116">
        <f>-0.407</f>
        <v>-0.40699999999999997</v>
      </c>
      <c r="H116">
        <f>1.491</f>
        <v>1.4910000000000001</v>
      </c>
    </row>
    <row r="117" spans="1:8" x14ac:dyDescent="0.25">
      <c r="A117" s="1">
        <v>44630</v>
      </c>
      <c r="B117">
        <f>2.367</f>
        <v>2.367</v>
      </c>
      <c r="C117">
        <f>1.9864</f>
        <v>1.9863999999999999</v>
      </c>
      <c r="D117">
        <f>1.6963</f>
        <v>1.6962999999999999</v>
      </c>
      <c r="E117">
        <f>0.274</f>
        <v>0.27400000000000002</v>
      </c>
      <c r="F117">
        <f>0.451</f>
        <v>0.45100000000000001</v>
      </c>
      <c r="G117">
        <f>-0.381</f>
        <v>-0.38100000000000001</v>
      </c>
      <c r="H117">
        <f>1.523</f>
        <v>1.5229999999999999</v>
      </c>
    </row>
    <row r="118" spans="1:8" x14ac:dyDescent="0.25">
      <c r="A118" s="1">
        <v>44629</v>
      </c>
      <c r="B118">
        <f>2.3352</f>
        <v>2.3351999999999999</v>
      </c>
      <c r="C118">
        <f>1.9531</f>
        <v>1.9531000000000001</v>
      </c>
      <c r="D118">
        <f>1.6798</f>
        <v>1.6798</v>
      </c>
      <c r="E118">
        <f>0.216</f>
        <v>0.216</v>
      </c>
      <c r="F118">
        <f>0.427</f>
        <v>0.42699999999999999</v>
      </c>
      <c r="G118">
        <f>-0.487</f>
        <v>-0.48699999999999999</v>
      </c>
      <c r="H118">
        <f>1.526</f>
        <v>1.526</v>
      </c>
    </row>
    <row r="119" spans="1:8" x14ac:dyDescent="0.25">
      <c r="A119" s="1">
        <v>44628</v>
      </c>
      <c r="B119">
        <f>2.227</f>
        <v>2.2269999999999999</v>
      </c>
      <c r="C119">
        <f>1.8456</f>
        <v>1.8455999999999999</v>
      </c>
      <c r="D119">
        <f>1.5987</f>
        <v>1.5987</v>
      </c>
      <c r="E119">
        <f>0.112</f>
        <v>0.112</v>
      </c>
      <c r="F119">
        <f>0.32</f>
        <v>0.32</v>
      </c>
      <c r="G119">
        <f>-0.61</f>
        <v>-0.61</v>
      </c>
      <c r="H119">
        <f>1.446</f>
        <v>1.446</v>
      </c>
    </row>
    <row r="120" spans="1:8" x14ac:dyDescent="0.25">
      <c r="A120" s="1">
        <v>44627</v>
      </c>
      <c r="B120">
        <f>2.1857</f>
        <v>2.1857000000000002</v>
      </c>
      <c r="C120">
        <f>1.7734</f>
        <v>1.7734000000000001</v>
      </c>
      <c r="D120">
        <f>1.5503</f>
        <v>1.5503</v>
      </c>
      <c r="E120">
        <f>-0.015</f>
        <v>-1.4999999999999999E-2</v>
      </c>
      <c r="F120">
        <f>0.18</f>
        <v>0.18</v>
      </c>
      <c r="G120">
        <f>-0.677</f>
        <v>-0.67700000000000005</v>
      </c>
      <c r="H120">
        <f>1.304</f>
        <v>1.304</v>
      </c>
    </row>
    <row r="121" spans="1:8" x14ac:dyDescent="0.25">
      <c r="A121" s="1">
        <v>44624</v>
      </c>
      <c r="B121">
        <f>2.1554</f>
        <v>2.1554000000000002</v>
      </c>
      <c r="C121">
        <f>1.7307</f>
        <v>1.7306999999999999</v>
      </c>
      <c r="D121">
        <f>1.4759</f>
        <v>1.4759</v>
      </c>
      <c r="E121">
        <f>-0.069</f>
        <v>-6.9000000000000006E-2</v>
      </c>
      <c r="F121">
        <f>0.161</f>
        <v>0.161</v>
      </c>
      <c r="G121">
        <f>-0.73</f>
        <v>-0.73</v>
      </c>
      <c r="H121">
        <f>1.208</f>
        <v>1.208</v>
      </c>
    </row>
    <row r="122" spans="1:8" x14ac:dyDescent="0.25">
      <c r="A122" s="1">
        <v>44623</v>
      </c>
      <c r="B122">
        <f>2.2199</f>
        <v>2.2199</v>
      </c>
      <c r="C122">
        <f>1.8405</f>
        <v>1.8405</v>
      </c>
      <c r="D122">
        <f>1.53</f>
        <v>1.53</v>
      </c>
      <c r="E122">
        <f>0.02</f>
        <v>0.02</v>
      </c>
      <c r="F122">
        <f>0.295</f>
        <v>0.29499999999999998</v>
      </c>
      <c r="G122">
        <f>-0.613</f>
        <v>-0.61299999999999999</v>
      </c>
      <c r="H122">
        <f>1.299</f>
        <v>1.2989999999999999</v>
      </c>
    </row>
    <row r="123" spans="1:8" x14ac:dyDescent="0.25">
      <c r="A123" s="1">
        <v>44622</v>
      </c>
      <c r="B123">
        <f>2.2485</f>
        <v>2.2484999999999999</v>
      </c>
      <c r="C123">
        <f>1.8767</f>
        <v>1.8767</v>
      </c>
      <c r="D123">
        <f>1.512</f>
        <v>1.512</v>
      </c>
      <c r="E123">
        <f>0.027</f>
        <v>2.7E-2</v>
      </c>
      <c r="F123">
        <f>0.315</f>
        <v>0.315</v>
      </c>
      <c r="G123">
        <f>-0.617</f>
        <v>-0.61699999999999999</v>
      </c>
      <c r="H123">
        <f>1.259</f>
        <v>1.2589999999999999</v>
      </c>
    </row>
    <row r="124" spans="1:8" x14ac:dyDescent="0.25">
      <c r="A124" s="1">
        <v>44621</v>
      </c>
      <c r="B124">
        <f>2.1046</f>
        <v>2.1046</v>
      </c>
      <c r="C124">
        <f>1.7275</f>
        <v>1.7275</v>
      </c>
      <c r="D124">
        <f>1.3407</f>
        <v>1.3407</v>
      </c>
      <c r="E124">
        <f>-0.072</f>
        <v>-7.1999999999999995E-2</v>
      </c>
      <c r="F124">
        <f>0.251</f>
        <v>0.251</v>
      </c>
      <c r="G124">
        <f>-0.737</f>
        <v>-0.73699999999999999</v>
      </c>
      <c r="H124">
        <f>1.128</f>
        <v>1.1279999999999999</v>
      </c>
    </row>
    <row r="125" spans="1:8" x14ac:dyDescent="0.25">
      <c r="A125" s="1">
        <v>44620</v>
      </c>
      <c r="B125">
        <f>2.1611</f>
        <v>2.1610999999999998</v>
      </c>
      <c r="C125">
        <f>1.825</f>
        <v>1.825</v>
      </c>
      <c r="D125">
        <f>1.4323</f>
        <v>1.4322999999999999</v>
      </c>
      <c r="E125">
        <f>0.135</f>
        <v>0.13500000000000001</v>
      </c>
      <c r="F125">
        <f>0.416</f>
        <v>0.41599999999999998</v>
      </c>
      <c r="G125">
        <f>-0.531</f>
        <v>-0.53100000000000003</v>
      </c>
      <c r="H125">
        <f>1.41</f>
        <v>1.41</v>
      </c>
    </row>
    <row r="126" spans="1:8" x14ac:dyDescent="0.25">
      <c r="A126" s="1">
        <v>44617</v>
      </c>
      <c r="B126">
        <f>2.2738</f>
        <v>2.2738</v>
      </c>
      <c r="C126">
        <f>1.9617</f>
        <v>1.9617</v>
      </c>
      <c r="D126">
        <f>1.5697</f>
        <v>1.5697000000000001</v>
      </c>
      <c r="E126">
        <f>0.231</f>
        <v>0.23100000000000001</v>
      </c>
      <c r="F126">
        <f>0.475</f>
        <v>0.47499999999999998</v>
      </c>
      <c r="G126">
        <f>-0.377</f>
        <v>-0.377</v>
      </c>
      <c r="H126">
        <f>1.457</f>
        <v>1.4570000000000001</v>
      </c>
    </row>
    <row r="127" spans="1:8" x14ac:dyDescent="0.25">
      <c r="A127" s="1">
        <v>44616</v>
      </c>
      <c r="B127">
        <f>2.2782</f>
        <v>2.2782</v>
      </c>
      <c r="C127">
        <f>1.9633</f>
        <v>1.9633</v>
      </c>
      <c r="D127">
        <f>1.5797</f>
        <v>1.5797000000000001</v>
      </c>
      <c r="E127">
        <f>0.172</f>
        <v>0.17199999999999999</v>
      </c>
      <c r="F127">
        <f>0.443</f>
        <v>0.443</v>
      </c>
      <c r="G127">
        <f>-0.416</f>
        <v>-0.41599999999999998</v>
      </c>
      <c r="H127">
        <f>1.447</f>
        <v>1.4470000000000001</v>
      </c>
    </row>
    <row r="128" spans="1:8" x14ac:dyDescent="0.25">
      <c r="A128" s="1">
        <v>44615</v>
      </c>
      <c r="B128">
        <f>2.2941</f>
        <v>2.2940999999999998</v>
      </c>
      <c r="C128">
        <f>1.9912</f>
        <v>1.9912000000000001</v>
      </c>
      <c r="D128">
        <f>1.6016</f>
        <v>1.6015999999999999</v>
      </c>
      <c r="E128">
        <f>0.228</f>
        <v>0.22800000000000001</v>
      </c>
      <c r="F128">
        <f>0.467</f>
        <v>0.46700000000000003</v>
      </c>
      <c r="G128">
        <f>-0.359</f>
        <v>-0.35899999999999999</v>
      </c>
      <c r="H128">
        <f>1.479</f>
        <v>1.4790000000000001</v>
      </c>
    </row>
    <row r="129" spans="1:8" x14ac:dyDescent="0.25">
      <c r="A129" s="1">
        <v>44614</v>
      </c>
      <c r="B129">
        <f>2.2371</f>
        <v>2.2370999999999999</v>
      </c>
      <c r="C129">
        <f>1.939</f>
        <v>1.9390000000000001</v>
      </c>
      <c r="D129">
        <f>1.5491</f>
        <v>1.5490999999999999</v>
      </c>
      <c r="E129">
        <f>0.243</f>
        <v>0.24299999999999999</v>
      </c>
      <c r="F129">
        <f>0.496</f>
        <v>0.496</v>
      </c>
      <c r="G129">
        <f>-0.399</f>
        <v>-0.39900000000000002</v>
      </c>
      <c r="H129">
        <f>1.471</f>
        <v>1.4710000000000001</v>
      </c>
    </row>
    <row r="130" spans="1:8" x14ac:dyDescent="0.25">
      <c r="A130" s="1">
        <v>44613</v>
      </c>
      <c r="B130">
        <f>2.2399</f>
        <v>2.2399</v>
      </c>
      <c r="C130">
        <f>1.9286</f>
        <v>1.9286000000000001</v>
      </c>
      <c r="D130">
        <f>1.4654</f>
        <v>1.4654</v>
      </c>
      <c r="E130">
        <f>0.206</f>
        <v>0.20599999999999999</v>
      </c>
      <c r="F130">
        <f>0.474</f>
        <v>0.47399999999999998</v>
      </c>
      <c r="G130">
        <f>-0.454</f>
        <v>-0.45400000000000001</v>
      </c>
      <c r="H130">
        <f>1.408</f>
        <v>1.4079999999999999</v>
      </c>
    </row>
    <row r="131" spans="1:8" x14ac:dyDescent="0.25">
      <c r="A131" s="1">
        <v>44610</v>
      </c>
      <c r="B131">
        <f>2.2399</f>
        <v>2.2399</v>
      </c>
      <c r="C131">
        <f>1.9286</f>
        <v>1.9286000000000001</v>
      </c>
      <c r="D131">
        <f>1.4654</f>
        <v>1.4654</v>
      </c>
      <c r="E131">
        <f>0.192</f>
        <v>0.192</v>
      </c>
      <c r="F131">
        <f>0.471</f>
        <v>0.47099999999999997</v>
      </c>
      <c r="G131">
        <f>-0.478</f>
        <v>-0.47799999999999998</v>
      </c>
      <c r="H131">
        <f>1.378</f>
        <v>1.3779999999999999</v>
      </c>
    </row>
    <row r="132" spans="1:8" x14ac:dyDescent="0.25">
      <c r="A132" s="1">
        <v>44609</v>
      </c>
      <c r="B132">
        <f>2.2941</f>
        <v>2.2940999999999998</v>
      </c>
      <c r="C132">
        <f>1.9615</f>
        <v>1.9615</v>
      </c>
      <c r="D132">
        <f>1.4662</f>
        <v>1.4661999999999999</v>
      </c>
      <c r="E132">
        <f>0.231</f>
        <v>0.23100000000000001</v>
      </c>
      <c r="F132">
        <f>0.503</f>
        <v>0.503</v>
      </c>
      <c r="G132">
        <f>-0.429</f>
        <v>-0.42899999999999999</v>
      </c>
      <c r="H132">
        <f>1.463</f>
        <v>1.4630000000000001</v>
      </c>
    </row>
    <row r="133" spans="1:8" x14ac:dyDescent="0.25">
      <c r="A133" s="1">
        <v>44608</v>
      </c>
      <c r="B133">
        <f>2.3454</f>
        <v>2.3454000000000002</v>
      </c>
      <c r="C133">
        <f>2.0382</f>
        <v>2.0381999999999998</v>
      </c>
      <c r="D133">
        <f>1.5208</f>
        <v>1.5207999999999999</v>
      </c>
      <c r="E133">
        <f>0.276</f>
        <v>0.27600000000000002</v>
      </c>
      <c r="F133">
        <f>0.535</f>
        <v>0.53500000000000003</v>
      </c>
      <c r="G133">
        <f>-0.364</f>
        <v>-0.36399999999999999</v>
      </c>
      <c r="H133">
        <f>1.524</f>
        <v>1.524</v>
      </c>
    </row>
    <row r="134" spans="1:8" x14ac:dyDescent="0.25">
      <c r="A134" s="1">
        <v>44607</v>
      </c>
      <c r="B134">
        <f>2.3572</f>
        <v>2.3572000000000002</v>
      </c>
      <c r="C134">
        <f>2.0434</f>
        <v>2.0434000000000001</v>
      </c>
      <c r="D134">
        <f>1.5774</f>
        <v>1.5773999999999999</v>
      </c>
      <c r="E134">
        <f>0.308</f>
        <v>0.308</v>
      </c>
      <c r="F134">
        <f>0.551</f>
        <v>0.55100000000000005</v>
      </c>
      <c r="G134">
        <f>-0.347</f>
        <v>-0.34699999999999998</v>
      </c>
      <c r="H134">
        <f>1.582</f>
        <v>1.5820000000000001</v>
      </c>
    </row>
    <row r="135" spans="1:8" x14ac:dyDescent="0.25">
      <c r="A135" s="1">
        <v>44606</v>
      </c>
      <c r="B135">
        <f>2.2861</f>
        <v>2.2860999999999998</v>
      </c>
      <c r="C135">
        <f>1.9875</f>
        <v>1.9875</v>
      </c>
      <c r="D135">
        <f>1.5744</f>
        <v>1.5744</v>
      </c>
      <c r="E135">
        <f>0.283</f>
        <v>0.28299999999999997</v>
      </c>
      <c r="F135">
        <f>0.495</f>
        <v>0.495</v>
      </c>
      <c r="G135">
        <f>-0.363</f>
        <v>-0.36299999999999999</v>
      </c>
      <c r="H135">
        <f>1.589</f>
        <v>1.589</v>
      </c>
    </row>
    <row r="136" spans="1:8" x14ac:dyDescent="0.25">
      <c r="A136" s="1">
        <v>44603</v>
      </c>
      <c r="B136">
        <f>2.2385</f>
        <v>2.2385000000000002</v>
      </c>
      <c r="C136">
        <f>1.9371</f>
        <v>1.9371</v>
      </c>
      <c r="D136">
        <f>1.4997</f>
        <v>1.4997</v>
      </c>
      <c r="E136">
        <f>0.297</f>
        <v>0.29699999999999999</v>
      </c>
      <c r="F136">
        <f>0.496</f>
        <v>0.496</v>
      </c>
      <c r="G136">
        <f>-0.324</f>
        <v>-0.32400000000000001</v>
      </c>
      <c r="H136">
        <f>1.545</f>
        <v>1.5449999999999999</v>
      </c>
    </row>
    <row r="137" spans="1:8" x14ac:dyDescent="0.25">
      <c r="A137" s="1">
        <v>44602</v>
      </c>
      <c r="B137">
        <f>2.3163</f>
        <v>2.3163</v>
      </c>
      <c r="C137">
        <f>2.0294</f>
        <v>2.0293999999999999</v>
      </c>
      <c r="D137">
        <f>1.5786</f>
        <v>1.5786</v>
      </c>
      <c r="E137">
        <f>0.284</f>
        <v>0.28399999999999997</v>
      </c>
      <c r="F137">
        <f>0.474</f>
        <v>0.47399999999999998</v>
      </c>
      <c r="G137">
        <f>-0.331</f>
        <v>-0.33100000000000002</v>
      </c>
      <c r="H137">
        <f>1.524</f>
        <v>1.524</v>
      </c>
    </row>
    <row r="138" spans="1:8" x14ac:dyDescent="0.25">
      <c r="A138" s="1">
        <v>44601</v>
      </c>
      <c r="B138">
        <f>2.2449</f>
        <v>2.2448999999999999</v>
      </c>
      <c r="C138">
        <f>1.9415</f>
        <v>1.9415</v>
      </c>
      <c r="D138">
        <f>1.3644</f>
        <v>1.3644000000000001</v>
      </c>
      <c r="E138">
        <f>0.212</f>
        <v>0.21199999999999999</v>
      </c>
      <c r="F138">
        <f>0.427</f>
        <v>0.42699999999999999</v>
      </c>
      <c r="G138">
        <f>-0.349</f>
        <v>-0.34899999999999998</v>
      </c>
      <c r="H138">
        <f>1.43</f>
        <v>1.43</v>
      </c>
    </row>
    <row r="139" spans="1:8" x14ac:dyDescent="0.25">
      <c r="A139" s="1">
        <v>44600</v>
      </c>
      <c r="B139">
        <f>2.2571</f>
        <v>2.2570999999999999</v>
      </c>
      <c r="C139">
        <f>1.9632</f>
        <v>1.9632000000000001</v>
      </c>
      <c r="D139">
        <f>1.3414</f>
        <v>1.3413999999999999</v>
      </c>
      <c r="E139">
        <f>0.265</f>
        <v>0.26500000000000001</v>
      </c>
      <c r="F139">
        <f>0.455</f>
        <v>0.45500000000000002</v>
      </c>
      <c r="G139">
        <f>-0.298</f>
        <v>-0.29799999999999999</v>
      </c>
      <c r="H139">
        <f>1.489</f>
        <v>1.4890000000000001</v>
      </c>
    </row>
    <row r="140" spans="1:8" x14ac:dyDescent="0.25">
      <c r="A140" s="1">
        <v>44599</v>
      </c>
      <c r="B140">
        <f>2.2169</f>
        <v>2.2168999999999999</v>
      </c>
      <c r="C140">
        <f>1.9159</f>
        <v>1.9158999999999999</v>
      </c>
      <c r="D140">
        <f>1.2903</f>
        <v>1.2903</v>
      </c>
      <c r="E140">
        <f>0.228</f>
        <v>0.22800000000000001</v>
      </c>
      <c r="F140">
        <f>0.393</f>
        <v>0.39300000000000002</v>
      </c>
      <c r="G140">
        <f>-0.287</f>
        <v>-0.28699999999999998</v>
      </c>
      <c r="H140">
        <f>1.408</f>
        <v>1.4079999999999999</v>
      </c>
    </row>
    <row r="141" spans="1:8" x14ac:dyDescent="0.25">
      <c r="A141" s="1">
        <v>44596</v>
      </c>
      <c r="B141">
        <f>2.2101</f>
        <v>2.2101000000000002</v>
      </c>
      <c r="C141">
        <f>1.9085</f>
        <v>1.9085000000000001</v>
      </c>
      <c r="D141">
        <f>1.3099</f>
        <v>1.3099000000000001</v>
      </c>
      <c r="E141">
        <f>0.205</f>
        <v>0.20499999999999999</v>
      </c>
      <c r="F141">
        <f>0.355</f>
        <v>0.35499999999999998</v>
      </c>
      <c r="G141">
        <f>-0.248</f>
        <v>-0.248</v>
      </c>
      <c r="H141">
        <f>1.411</f>
        <v>1.411</v>
      </c>
    </row>
    <row r="142" spans="1:8" x14ac:dyDescent="0.25">
      <c r="A142" s="1">
        <v>44595</v>
      </c>
      <c r="B142">
        <f>2.1517</f>
        <v>2.1516999999999999</v>
      </c>
      <c r="C142">
        <f>1.8306</f>
        <v>1.8306</v>
      </c>
      <c r="D142">
        <f>1.1959</f>
        <v>1.1959</v>
      </c>
      <c r="E142">
        <f>0.143</f>
        <v>0.14299999999999999</v>
      </c>
      <c r="F142">
        <f>0.332</f>
        <v>0.33200000000000002</v>
      </c>
      <c r="G142">
        <f>-0.332</f>
        <v>-0.33200000000000002</v>
      </c>
      <c r="H142">
        <f>1.368</f>
        <v>1.3680000000000001</v>
      </c>
    </row>
    <row r="143" spans="1:8" x14ac:dyDescent="0.25">
      <c r="A143" s="1">
        <v>44594</v>
      </c>
      <c r="B143">
        <f>2.1083</f>
        <v>2.1082999999999998</v>
      </c>
      <c r="C143">
        <f>1.7751</f>
        <v>1.7750999999999999</v>
      </c>
      <c r="D143">
        <f>1.1535</f>
        <v>1.1535</v>
      </c>
      <c r="E143">
        <f>0.04</f>
        <v>0.04</v>
      </c>
      <c r="F143">
        <f>0.289</f>
        <v>0.28899999999999998</v>
      </c>
      <c r="G143">
        <f>-0.458</f>
        <v>-0.45800000000000002</v>
      </c>
      <c r="H143">
        <f>1.257</f>
        <v>1.2569999999999999</v>
      </c>
    </row>
    <row r="144" spans="1:8" x14ac:dyDescent="0.25">
      <c r="A144" s="1">
        <v>44593</v>
      </c>
      <c r="B144">
        <f>2.109</f>
        <v>2.109</v>
      </c>
      <c r="C144">
        <f>1.7875</f>
        <v>1.7875000000000001</v>
      </c>
      <c r="D144">
        <f>1.1651</f>
        <v>1.1651</v>
      </c>
      <c r="E144">
        <f>0.037</f>
        <v>3.6999999999999998E-2</v>
      </c>
      <c r="F144">
        <f>0.315</f>
        <v>0.315</v>
      </c>
      <c r="G144">
        <f>-0.47</f>
        <v>-0.47</v>
      </c>
      <c r="H144">
        <f>1.3</f>
        <v>1.3</v>
      </c>
    </row>
    <row r="145" spans="1:8" x14ac:dyDescent="0.25">
      <c r="A145" s="1">
        <v>44592</v>
      </c>
      <c r="B145">
        <f>2.1075</f>
        <v>2.1074999999999999</v>
      </c>
      <c r="C145">
        <f>1.7767</f>
        <v>1.7766999999999999</v>
      </c>
      <c r="D145">
        <f>1.1787</f>
        <v>1.1787000000000001</v>
      </c>
      <c r="E145">
        <f>0.011</f>
        <v>1.0999999999999999E-2</v>
      </c>
      <c r="F145">
        <f>0.277</f>
        <v>0.27700000000000002</v>
      </c>
      <c r="G145">
        <f>-0.528</f>
        <v>-0.52800000000000002</v>
      </c>
      <c r="H145">
        <f>1.302</f>
        <v>1.302</v>
      </c>
    </row>
    <row r="146" spans="1:8" x14ac:dyDescent="0.25">
      <c r="A146" s="1">
        <v>44589</v>
      </c>
      <c r="B146">
        <f>2.0733</f>
        <v>2.0733000000000001</v>
      </c>
      <c r="C146">
        <f>1.7694</f>
        <v>1.7694000000000001</v>
      </c>
      <c r="D146">
        <f>1.1623</f>
        <v>1.1623000000000001</v>
      </c>
      <c r="E146">
        <f>-0.045</f>
        <v>-4.4999999999999998E-2</v>
      </c>
      <c r="F146">
        <f>0.239</f>
        <v>0.23899999999999999</v>
      </c>
      <c r="G146">
        <f>-0.607</f>
        <v>-0.60699999999999998</v>
      </c>
      <c r="H146">
        <f>1.244</f>
        <v>1.244</v>
      </c>
    </row>
    <row r="147" spans="1:8" x14ac:dyDescent="0.25">
      <c r="A147" s="1">
        <v>44588</v>
      </c>
      <c r="B147">
        <f>2.0928</f>
        <v>2.0928</v>
      </c>
      <c r="C147">
        <f>1.7994</f>
        <v>1.7994000000000001</v>
      </c>
      <c r="D147">
        <f>1.1882</f>
        <v>1.1881999999999999</v>
      </c>
      <c r="E147">
        <f>-0.059</f>
        <v>-5.8999999999999997E-2</v>
      </c>
      <c r="F147">
        <f>0.228</f>
        <v>0.22800000000000001</v>
      </c>
      <c r="G147">
        <f>-0.611</f>
        <v>-0.61099999999999999</v>
      </c>
      <c r="H147">
        <f>1.228</f>
        <v>1.228</v>
      </c>
    </row>
    <row r="148" spans="1:8" x14ac:dyDescent="0.25">
      <c r="A148" s="1">
        <v>44587</v>
      </c>
      <c r="B148">
        <f>2.1649</f>
        <v>2.1648999999999998</v>
      </c>
      <c r="C148">
        <f>1.8637</f>
        <v>1.8636999999999999</v>
      </c>
      <c r="D148">
        <f>1.1504</f>
        <v>1.1504000000000001</v>
      </c>
      <c r="E148">
        <f>-0.074</f>
        <v>-7.3999999999999996E-2</v>
      </c>
      <c r="F148">
        <f>0.246</f>
        <v>0.246</v>
      </c>
      <c r="G148">
        <f>-0.645</f>
        <v>-0.64500000000000002</v>
      </c>
      <c r="H148">
        <f>1.198</f>
        <v>1.198</v>
      </c>
    </row>
    <row r="149" spans="1:8" x14ac:dyDescent="0.25">
      <c r="A149" s="1">
        <v>44586</v>
      </c>
      <c r="B149">
        <f>2.1118</f>
        <v>2.1118000000000001</v>
      </c>
      <c r="C149">
        <f>1.7689</f>
        <v>1.7688999999999999</v>
      </c>
      <c r="D149">
        <f>1.0174</f>
        <v>1.0174000000000001</v>
      </c>
      <c r="E149">
        <f>-0.08</f>
        <v>-0.08</v>
      </c>
      <c r="F149">
        <f>0.235</f>
        <v>0.23499999999999999</v>
      </c>
      <c r="G149">
        <f>-0.649</f>
        <v>-0.64900000000000002</v>
      </c>
      <c r="H149">
        <f>1.164</f>
        <v>1.1639999999999999</v>
      </c>
    </row>
    <row r="150" spans="1:8" x14ac:dyDescent="0.25">
      <c r="A150" s="1">
        <v>44585</v>
      </c>
      <c r="B150">
        <f>2.1118</f>
        <v>2.1118000000000001</v>
      </c>
      <c r="C150">
        <f>1.7706</f>
        <v>1.7706</v>
      </c>
      <c r="D150">
        <f>0.971</f>
        <v>0.97099999999999997</v>
      </c>
      <c r="E150">
        <f>-0.107</f>
        <v>-0.107</v>
      </c>
      <c r="F150">
        <f>0.198</f>
        <v>0.19800000000000001</v>
      </c>
      <c r="G150">
        <f>-0.652</f>
        <v>-0.65200000000000002</v>
      </c>
      <c r="H150">
        <f>1.126</f>
        <v>1.1259999999999999</v>
      </c>
    </row>
    <row r="151" spans="1:8" x14ac:dyDescent="0.25">
      <c r="A151" s="1">
        <v>44582</v>
      </c>
      <c r="B151">
        <f>2.071</f>
        <v>2.0710000000000002</v>
      </c>
      <c r="C151">
        <f>1.7581</f>
        <v>1.7581</v>
      </c>
      <c r="D151">
        <f>1.0014</f>
        <v>1.0014000000000001</v>
      </c>
      <c r="E151">
        <f>-0.065</f>
        <v>-6.5000000000000002E-2</v>
      </c>
      <c r="F151">
        <f>0.231</f>
        <v>0.23100000000000001</v>
      </c>
      <c r="G151">
        <f>-0.618</f>
        <v>-0.61799999999999999</v>
      </c>
      <c r="H151">
        <f>1.171</f>
        <v>1.171</v>
      </c>
    </row>
    <row r="152" spans="1:8" x14ac:dyDescent="0.25">
      <c r="A152" s="1">
        <v>44581</v>
      </c>
      <c r="B152">
        <f>2.1169</f>
        <v>2.1168999999999998</v>
      </c>
      <c r="C152">
        <f>1.804</f>
        <v>1.804</v>
      </c>
      <c r="D152">
        <f>1.0249</f>
        <v>1.0248999999999999</v>
      </c>
      <c r="E152">
        <f>-0.024</f>
        <v>-2.4E-2</v>
      </c>
      <c r="F152">
        <f>0.272</f>
        <v>0.27200000000000002</v>
      </c>
      <c r="G152">
        <f>-0.577</f>
        <v>-0.57699999999999996</v>
      </c>
      <c r="H152">
        <f>1.225</f>
        <v>1.2250000000000001</v>
      </c>
    </row>
    <row r="153" spans="1:8" x14ac:dyDescent="0.25">
      <c r="A153" s="1">
        <v>44580</v>
      </c>
      <c r="B153">
        <f>2.176</f>
        <v>2.1760000000000002</v>
      </c>
      <c r="C153">
        <f>1.8646</f>
        <v>1.8646</v>
      </c>
      <c r="D153">
        <f>1.0572</f>
        <v>1.0571999999999999</v>
      </c>
      <c r="E153">
        <f>-0.012</f>
        <v>-1.2E-2</v>
      </c>
      <c r="F153">
        <f>0.293</f>
        <v>0.29299999999999998</v>
      </c>
      <c r="G153">
        <f>-0.57</f>
        <v>-0.56999999999999995</v>
      </c>
      <c r="H153">
        <f>1.256</f>
        <v>1.256</v>
      </c>
    </row>
    <row r="154" spans="1:8" x14ac:dyDescent="0.25">
      <c r="A154" s="1">
        <v>44579</v>
      </c>
      <c r="B154">
        <f>2.1879</f>
        <v>2.1879</v>
      </c>
      <c r="C154">
        <f>1.8735</f>
        <v>1.8734999999999999</v>
      </c>
      <c r="D154">
        <f>1.0425</f>
        <v>1.0425</v>
      </c>
      <c r="E154">
        <f>-0.018</f>
        <v>-1.7999999999999999E-2</v>
      </c>
      <c r="F154">
        <f>0.279</f>
        <v>0.27900000000000003</v>
      </c>
      <c r="G154">
        <f>-0.57</f>
        <v>-0.56999999999999995</v>
      </c>
      <c r="H154">
        <f>1.217</f>
        <v>1.2170000000000001</v>
      </c>
    </row>
    <row r="155" spans="1:8" x14ac:dyDescent="0.25">
      <c r="A155" s="1">
        <v>44578</v>
      </c>
      <c r="B155">
        <f>2.1219</f>
        <v>2.1219000000000001</v>
      </c>
      <c r="C155">
        <f>1.7841</f>
        <v>1.7841</v>
      </c>
      <c r="D155">
        <f>0.9668</f>
        <v>0.96679999999999999</v>
      </c>
      <c r="E155">
        <f>-0.025</f>
        <v>-2.5000000000000001E-2</v>
      </c>
      <c r="F155">
        <f>0.265</f>
        <v>0.26500000000000001</v>
      </c>
      <c r="G155">
        <f>-0.561</f>
        <v>-0.56100000000000005</v>
      </c>
      <c r="H155">
        <f>1.186</f>
        <v>1.1859999999999999</v>
      </c>
    </row>
    <row r="156" spans="1:8" x14ac:dyDescent="0.25">
      <c r="A156" s="1">
        <v>44575</v>
      </c>
      <c r="B156">
        <f>2.1219</f>
        <v>2.1219000000000001</v>
      </c>
      <c r="C156">
        <f>1.7841</f>
        <v>1.7841</v>
      </c>
      <c r="D156">
        <f>0.9668</f>
        <v>0.96679999999999999</v>
      </c>
      <c r="E156">
        <f>-0.046</f>
        <v>-4.5999999999999999E-2</v>
      </c>
      <c r="F156">
        <f>0.252</f>
        <v>0.252</v>
      </c>
      <c r="G156">
        <f>-0.583</f>
        <v>-0.58299999999999996</v>
      </c>
      <c r="H156">
        <f>1.15</f>
        <v>1.1499999999999999</v>
      </c>
    </row>
    <row r="157" spans="1:8" x14ac:dyDescent="0.25">
      <c r="A157" s="1">
        <v>44574</v>
      </c>
      <c r="B157">
        <f>2.0427</f>
        <v>2.0427</v>
      </c>
      <c r="C157">
        <f>1.7041</f>
        <v>1.7040999999999999</v>
      </c>
      <c r="D157">
        <f>0.8929</f>
        <v>0.89290000000000003</v>
      </c>
      <c r="E157">
        <f>-0.09</f>
        <v>-0.09</v>
      </c>
      <c r="F157">
        <f>0.204</f>
        <v>0.20399999999999999</v>
      </c>
      <c r="G157">
        <f>-0.599</f>
        <v>-0.59899999999999998</v>
      </c>
      <c r="H157">
        <f>1.105</f>
        <v>1.105</v>
      </c>
    </row>
    <row r="158" spans="1:8" x14ac:dyDescent="0.25">
      <c r="A158" s="1">
        <v>44573</v>
      </c>
      <c r="B158">
        <f>2.0861</f>
        <v>2.0861000000000001</v>
      </c>
      <c r="C158">
        <f>1.7428</f>
        <v>1.7427999999999999</v>
      </c>
      <c r="D158">
        <f>0.9189</f>
        <v>0.91890000000000005</v>
      </c>
      <c r="E158">
        <f>-0.059</f>
        <v>-5.8999999999999997E-2</v>
      </c>
      <c r="F158">
        <f>0.251</f>
        <v>0.251</v>
      </c>
      <c r="G158">
        <f>-0.587</f>
        <v>-0.58699999999999997</v>
      </c>
      <c r="H158">
        <f>1.14</f>
        <v>1.1399999999999999</v>
      </c>
    </row>
    <row r="159" spans="1:8" x14ac:dyDescent="0.25">
      <c r="A159" s="1">
        <v>44572</v>
      </c>
      <c r="B159">
        <f>2.0622</f>
        <v>2.0621999999999998</v>
      </c>
      <c r="C159">
        <f>1.7357</f>
        <v>1.7357</v>
      </c>
      <c r="D159">
        <f>0.8825</f>
        <v>0.88249999999999995</v>
      </c>
      <c r="E159">
        <f>-0.027</f>
        <v>-2.7E-2</v>
      </c>
      <c r="F159">
        <f>0.291</f>
        <v>0.29099999999999998</v>
      </c>
      <c r="G159">
        <f>-0.578</f>
        <v>-0.57799999999999996</v>
      </c>
      <c r="H159">
        <f>1.17</f>
        <v>1.17</v>
      </c>
    </row>
    <row r="160" spans="1:8" x14ac:dyDescent="0.25">
      <c r="A160" s="1">
        <v>44571</v>
      </c>
      <c r="B160">
        <f>2.089</f>
        <v>2.089</v>
      </c>
      <c r="C160">
        <f>1.7603</f>
        <v>1.7603</v>
      </c>
      <c r="D160">
        <f>0.8944</f>
        <v>0.89439999999999997</v>
      </c>
      <c r="E160">
        <f>-0.034</f>
        <v>-3.4000000000000002E-2</v>
      </c>
      <c r="F160">
        <f>0.291</f>
        <v>0.29099999999999998</v>
      </c>
      <c r="G160">
        <f>-0.586</f>
        <v>-0.58599999999999997</v>
      </c>
      <c r="H160">
        <f>1.19</f>
        <v>1.19</v>
      </c>
    </row>
    <row r="161" spans="1:8" x14ac:dyDescent="0.25">
      <c r="A161" s="1">
        <v>44568</v>
      </c>
      <c r="B161">
        <f>2.1159</f>
        <v>2.1158999999999999</v>
      </c>
      <c r="C161">
        <f>1.762</f>
        <v>1.762</v>
      </c>
      <c r="D161">
        <f>0.8621</f>
        <v>0.86209999999999998</v>
      </c>
      <c r="E161">
        <f>-0.043</f>
        <v>-4.2999999999999997E-2</v>
      </c>
      <c r="F161">
        <f>0.278</f>
        <v>0.27800000000000002</v>
      </c>
      <c r="G161">
        <f>-0.593</f>
        <v>-0.59299999999999997</v>
      </c>
      <c r="H161">
        <f>1.178</f>
        <v>1.1779999999999999</v>
      </c>
    </row>
    <row r="162" spans="1:8" x14ac:dyDescent="0.25">
      <c r="A162" s="1">
        <v>44567</v>
      </c>
      <c r="B162">
        <f>2.0758</f>
        <v>2.0758000000000001</v>
      </c>
      <c r="C162">
        <f>1.7211</f>
        <v>1.7211000000000001</v>
      </c>
      <c r="D162">
        <f>0.8656</f>
        <v>0.86560000000000004</v>
      </c>
      <c r="E162">
        <f>-0.061</f>
        <v>-6.0999999999999999E-2</v>
      </c>
      <c r="F162">
        <f>0.266</f>
        <v>0.26600000000000001</v>
      </c>
      <c r="G162">
        <f>-0.599</f>
        <v>-0.59899999999999998</v>
      </c>
      <c r="H162">
        <f>1.156</f>
        <v>1.1559999999999999</v>
      </c>
    </row>
    <row r="163" spans="1:8" x14ac:dyDescent="0.25">
      <c r="A163" s="1">
        <v>44566</v>
      </c>
      <c r="B163">
        <f>2.0947</f>
        <v>2.0947</v>
      </c>
      <c r="C163">
        <f>1.7052</f>
        <v>1.7052</v>
      </c>
      <c r="D163">
        <f>0.8256</f>
        <v>0.8256</v>
      </c>
      <c r="E163">
        <f>-0.084</f>
        <v>-8.4000000000000005E-2</v>
      </c>
      <c r="F163">
        <f>0.262</f>
        <v>0.26200000000000001</v>
      </c>
      <c r="G163">
        <f>-0.62</f>
        <v>-0.62</v>
      </c>
      <c r="H163">
        <f>1.087</f>
        <v>1.087</v>
      </c>
    </row>
    <row r="164" spans="1:8" x14ac:dyDescent="0.25">
      <c r="A164" s="1">
        <v>44565</v>
      </c>
      <c r="B164">
        <f>2.065</f>
        <v>2.0649999999999999</v>
      </c>
      <c r="C164">
        <f>1.6473</f>
        <v>1.6473</v>
      </c>
      <c r="D164">
        <f>0.7599</f>
        <v>0.75990000000000002</v>
      </c>
      <c r="E164">
        <f>-0.122</f>
        <v>-0.122</v>
      </c>
      <c r="F164">
        <f>0.257</f>
        <v>0.25700000000000001</v>
      </c>
      <c r="G164">
        <f>-0.613</f>
        <v>-0.61299999999999999</v>
      </c>
      <c r="H164">
        <f>1.085</f>
        <v>1.085</v>
      </c>
    </row>
    <row r="165" spans="1:8" x14ac:dyDescent="0.25">
      <c r="A165" s="1">
        <v>44564</v>
      </c>
      <c r="B165">
        <f>2.024</f>
        <v>2.024</v>
      </c>
      <c r="C165">
        <f>1.628</f>
        <v>1.6279999999999999</v>
      </c>
      <c r="D165">
        <f>0.7678</f>
        <v>0.76780000000000004</v>
      </c>
      <c r="E165">
        <f>-0.118</f>
        <v>-0.11799999999999999</v>
      </c>
      <c r="F165">
        <f>0.252</f>
        <v>0.252</v>
      </c>
      <c r="G165">
        <f>-0.6</f>
        <v>-0.6</v>
      </c>
      <c r="H165">
        <f>0.971</f>
        <v>0.97099999999999997</v>
      </c>
    </row>
    <row r="166" spans="1:8" x14ac:dyDescent="0.25">
      <c r="A166" s="1">
        <v>44561</v>
      </c>
      <c r="B166">
        <f>1.9032</f>
        <v>1.9032</v>
      </c>
      <c r="C166">
        <f>1.5101</f>
        <v>1.5101</v>
      </c>
      <c r="D166">
        <f>0.7322</f>
        <v>0.73219999999999996</v>
      </c>
      <c r="E166">
        <f>-0.177</f>
        <v>-0.17699999999999999</v>
      </c>
      <c r="F166">
        <f>0.197</f>
        <v>0.19700000000000001</v>
      </c>
      <c r="G166">
        <f>-0.62</f>
        <v>-0.62</v>
      </c>
      <c r="H166">
        <f>0.971</f>
        <v>0.97099999999999997</v>
      </c>
    </row>
    <row r="167" spans="1:8" x14ac:dyDescent="0.25">
      <c r="A167" s="1">
        <v>44560</v>
      </c>
      <c r="B167">
        <f>1.917</f>
        <v>1.917</v>
      </c>
      <c r="C167">
        <f>1.5083</f>
        <v>1.5083</v>
      </c>
      <c r="D167">
        <f>0.7244</f>
        <v>0.72440000000000004</v>
      </c>
      <c r="E167">
        <f>-0.177</f>
        <v>-0.17699999999999999</v>
      </c>
      <c r="F167">
        <f>0.197</f>
        <v>0.19700000000000001</v>
      </c>
      <c r="G167">
        <f>-0.619</f>
        <v>-0.61899999999999999</v>
      </c>
      <c r="H167">
        <f>0.977</f>
        <v>0.97699999999999998</v>
      </c>
    </row>
    <row r="168" spans="1:8" x14ac:dyDescent="0.25">
      <c r="A168" s="1">
        <v>44559</v>
      </c>
      <c r="B168">
        <f>1.961</f>
        <v>1.9610000000000001</v>
      </c>
      <c r="C168">
        <f>1.5496</f>
        <v>1.5496000000000001</v>
      </c>
      <c r="D168">
        <f>0.7461</f>
        <v>0.74609999999999999</v>
      </c>
      <c r="E168">
        <f>-0.184</f>
        <v>-0.184</v>
      </c>
      <c r="F168">
        <f>0.182</f>
        <v>0.182</v>
      </c>
      <c r="G168">
        <f>-0.625</f>
        <v>-0.625</v>
      </c>
      <c r="H168">
        <f>1.013</f>
        <v>1.0129999999999999</v>
      </c>
    </row>
    <row r="169" spans="1:8" x14ac:dyDescent="0.25">
      <c r="A169" s="1">
        <v>44558</v>
      </c>
      <c r="B169">
        <f>1.8997</f>
        <v>1.8996999999999999</v>
      </c>
      <c r="C169">
        <f>1.4807</f>
        <v>1.4806999999999999</v>
      </c>
      <c r="D169">
        <f>0.75</f>
        <v>0.75</v>
      </c>
      <c r="E169">
        <f>-0.236</f>
        <v>-0.23599999999999999</v>
      </c>
      <c r="F169">
        <f>0.109</f>
        <v>0.109</v>
      </c>
      <c r="G169">
        <f>-0.641</f>
        <v>-0.64100000000000001</v>
      </c>
      <c r="H169">
        <f>0.925</f>
        <v>0.92500000000000004</v>
      </c>
    </row>
    <row r="170" spans="1:8" x14ac:dyDescent="0.25">
      <c r="A170" s="1">
        <v>44557</v>
      </c>
      <c r="B170">
        <f>1.8839</f>
        <v>1.8838999999999999</v>
      </c>
      <c r="C170">
        <f>1.4756</f>
        <v>1.4756</v>
      </c>
      <c r="D170">
        <f>0.6987</f>
        <v>0.69869999999999999</v>
      </c>
      <c r="E170">
        <f>-0.243</f>
        <v>-0.24299999999999999</v>
      </c>
      <c r="F170">
        <f>0.109</f>
        <v>0.109</v>
      </c>
      <c r="G170">
        <f>-0.643</f>
        <v>-0.64300000000000002</v>
      </c>
      <c r="H170">
        <f>0.925</f>
        <v>0.92500000000000004</v>
      </c>
    </row>
    <row r="171" spans="1:8" x14ac:dyDescent="0.25">
      <c r="A171" s="1">
        <v>44554</v>
      </c>
      <c r="B171">
        <f>1.9052</f>
        <v>1.9052</v>
      </c>
      <c r="C171">
        <f>1.4927</f>
        <v>1.4926999999999999</v>
      </c>
      <c r="D171">
        <f>0.6881</f>
        <v>0.68810000000000004</v>
      </c>
      <c r="E171">
        <f>-0.25</f>
        <v>-0.25</v>
      </c>
      <c r="F171">
        <f>0.117</f>
        <v>0.11700000000000001</v>
      </c>
      <c r="G171">
        <f>-0.679</f>
        <v>-0.67900000000000005</v>
      </c>
      <c r="H171">
        <f>0.925</f>
        <v>0.92500000000000004</v>
      </c>
    </row>
    <row r="172" spans="1:8" x14ac:dyDescent="0.25">
      <c r="A172" s="1">
        <v>44553</v>
      </c>
      <c r="B172">
        <f>1.9052</f>
        <v>1.9052</v>
      </c>
      <c r="C172">
        <f>1.4927</f>
        <v>1.4926999999999999</v>
      </c>
      <c r="D172">
        <f>0.6881</f>
        <v>0.68810000000000004</v>
      </c>
      <c r="E172">
        <f>-0.249</f>
        <v>-0.249</v>
      </c>
      <c r="F172">
        <f>0.117</f>
        <v>0.11700000000000001</v>
      </c>
      <c r="G172">
        <f>-0.678</f>
        <v>-0.67800000000000005</v>
      </c>
      <c r="H172">
        <f>0.922</f>
        <v>0.92200000000000004</v>
      </c>
    </row>
    <row r="173" spans="1:8" x14ac:dyDescent="0.25">
      <c r="A173" s="1">
        <v>44552</v>
      </c>
      <c r="B173">
        <f>1.849</f>
        <v>1.849</v>
      </c>
      <c r="C173">
        <f>1.4515</f>
        <v>1.4515</v>
      </c>
      <c r="D173">
        <f>0.6606</f>
        <v>0.66059999999999997</v>
      </c>
      <c r="E173">
        <f>-0.293</f>
        <v>-0.29299999999999998</v>
      </c>
      <c r="F173">
        <f>0.064</f>
        <v>6.4000000000000001E-2</v>
      </c>
      <c r="G173">
        <f>-0.692</f>
        <v>-0.69199999999999995</v>
      </c>
      <c r="H173">
        <f>0.886</f>
        <v>0.88600000000000001</v>
      </c>
    </row>
    <row r="174" spans="1:8" x14ac:dyDescent="0.25">
      <c r="A174" s="1">
        <v>44551</v>
      </c>
      <c r="B174">
        <f>1.8627</f>
        <v>1.8627</v>
      </c>
      <c r="C174">
        <f>1.4617</f>
        <v>1.4617</v>
      </c>
      <c r="D174">
        <f>0.6665</f>
        <v>0.66649999999999998</v>
      </c>
      <c r="E174">
        <f>-0.306</f>
        <v>-0.30599999999999999</v>
      </c>
      <c r="F174">
        <f>0.066</f>
        <v>6.6000000000000003E-2</v>
      </c>
      <c r="G174">
        <f>-0.699</f>
        <v>-0.69899999999999995</v>
      </c>
      <c r="H174">
        <f>0.873</f>
        <v>0.873</v>
      </c>
    </row>
    <row r="175" spans="1:8" x14ac:dyDescent="0.25">
      <c r="A175" s="1">
        <v>44550</v>
      </c>
      <c r="B175">
        <f>1.8511</f>
        <v>1.8511</v>
      </c>
      <c r="C175">
        <f>1.4225</f>
        <v>1.4225000000000001</v>
      </c>
      <c r="D175">
        <f>0.6317</f>
        <v>0.63170000000000004</v>
      </c>
      <c r="E175">
        <f>-0.366</f>
        <v>-0.36599999999999999</v>
      </c>
      <c r="F175">
        <f>-0.009</f>
        <v>-8.9999999999999993E-3</v>
      </c>
      <c r="G175">
        <f>-0.732</f>
        <v>-0.73199999999999998</v>
      </c>
      <c r="H175">
        <f>0.772</f>
        <v>0.77200000000000002</v>
      </c>
    </row>
    <row r="176" spans="1:8" x14ac:dyDescent="0.25">
      <c r="A176" s="1">
        <v>44547</v>
      </c>
      <c r="B176">
        <f>1.8064</f>
        <v>1.8064</v>
      </c>
      <c r="C176">
        <f>1.4021</f>
        <v>1.4020999999999999</v>
      </c>
      <c r="D176">
        <f>0.6376</f>
        <v>0.63759999999999994</v>
      </c>
      <c r="E176">
        <f>-0.378</f>
        <v>-0.378</v>
      </c>
      <c r="F176">
        <f>-0.037</f>
        <v>-3.6999999999999998E-2</v>
      </c>
      <c r="G176">
        <f>-0.72</f>
        <v>-0.72</v>
      </c>
      <c r="H176">
        <f>0.759</f>
        <v>0.75900000000000001</v>
      </c>
    </row>
    <row r="177" spans="1:8" x14ac:dyDescent="0.25">
      <c r="A177" s="1">
        <v>44546</v>
      </c>
      <c r="B177">
        <f>1.8524</f>
        <v>1.8524</v>
      </c>
      <c r="C177">
        <f>1.4106</f>
        <v>1.4106000000000001</v>
      </c>
      <c r="D177">
        <f>0.6128</f>
        <v>0.61280000000000001</v>
      </c>
      <c r="E177">
        <f>-0.348</f>
        <v>-0.34799999999999998</v>
      </c>
      <c r="F177">
        <f>-0.005</f>
        <v>-5.0000000000000001E-3</v>
      </c>
      <c r="G177">
        <f>-0.69</f>
        <v>-0.69</v>
      </c>
      <c r="H177">
        <f>0.757</f>
        <v>0.75700000000000001</v>
      </c>
    </row>
    <row r="178" spans="1:8" x14ac:dyDescent="0.25">
      <c r="A178" s="1">
        <v>44545</v>
      </c>
      <c r="B178">
        <f>1.8599</f>
        <v>1.8599000000000001</v>
      </c>
      <c r="C178">
        <f>1.4565</f>
        <v>1.4564999999999999</v>
      </c>
      <c r="D178">
        <f>0.6631</f>
        <v>0.66310000000000002</v>
      </c>
      <c r="E178">
        <f>-0.36</f>
        <v>-0.36</v>
      </c>
      <c r="F178">
        <f>-0.046</f>
        <v>-4.5999999999999999E-2</v>
      </c>
      <c r="G178">
        <f>-0.68</f>
        <v>-0.68</v>
      </c>
      <c r="H178">
        <f>0.736</f>
        <v>0.73599999999999999</v>
      </c>
    </row>
    <row r="179" spans="1:8" x14ac:dyDescent="0.25">
      <c r="A179" s="1">
        <v>44544</v>
      </c>
      <c r="B179">
        <f>1.828</f>
        <v>1.8280000000000001</v>
      </c>
      <c r="C179">
        <f>1.4411</f>
        <v>1.4411</v>
      </c>
      <c r="D179">
        <f>0.6568</f>
        <v>0.65680000000000005</v>
      </c>
      <c r="E179">
        <f>-0.369</f>
        <v>-0.36899999999999999</v>
      </c>
      <c r="F179">
        <f>-0.065</f>
        <v>-6.5000000000000002E-2</v>
      </c>
      <c r="G179">
        <f>-0.683</f>
        <v>-0.68300000000000005</v>
      </c>
      <c r="H179">
        <f>0.724</f>
        <v>0.72399999999999998</v>
      </c>
    </row>
    <row r="180" spans="1:8" x14ac:dyDescent="0.25">
      <c r="A180" s="1">
        <v>44543</v>
      </c>
      <c r="B180">
        <f>1.7998</f>
        <v>1.7998000000000001</v>
      </c>
      <c r="C180">
        <f>1.4156</f>
        <v>1.4156</v>
      </c>
      <c r="D180">
        <f>0.6324</f>
        <v>0.63239999999999996</v>
      </c>
      <c r="E180">
        <f>-0.382</f>
        <v>-0.38200000000000001</v>
      </c>
      <c r="F180">
        <f>-0.077</f>
        <v>-7.6999999999999999E-2</v>
      </c>
      <c r="G180">
        <f>-0.702</f>
        <v>-0.70199999999999996</v>
      </c>
      <c r="H180">
        <f>0.697</f>
        <v>0.69699999999999995</v>
      </c>
    </row>
    <row r="181" spans="1:8" x14ac:dyDescent="0.25">
      <c r="A181" s="1">
        <v>44540</v>
      </c>
      <c r="B181">
        <f>1.8777</f>
        <v>1.8776999999999999</v>
      </c>
      <c r="C181">
        <f>1.4837</f>
        <v>1.4837</v>
      </c>
      <c r="D181">
        <f>0.6543</f>
        <v>0.65429999999999999</v>
      </c>
      <c r="E181">
        <f>-0.346</f>
        <v>-0.34599999999999997</v>
      </c>
      <c r="F181">
        <f>-0.035</f>
        <v>-3.5000000000000003E-2</v>
      </c>
      <c r="G181">
        <f>-0.692</f>
        <v>-0.69199999999999995</v>
      </c>
      <c r="H181">
        <f>0.741</f>
        <v>0.74099999999999999</v>
      </c>
    </row>
    <row r="182" spans="1:8" x14ac:dyDescent="0.25">
      <c r="A182" s="1">
        <v>44539</v>
      </c>
      <c r="B182">
        <f>1.8763</f>
        <v>1.8763000000000001</v>
      </c>
      <c r="C182">
        <f>1.499</f>
        <v>1.4990000000000001</v>
      </c>
      <c r="D182">
        <f>0.6877</f>
        <v>0.68769999999999998</v>
      </c>
      <c r="E182">
        <f>-0.353</f>
        <v>-0.35299999999999998</v>
      </c>
      <c r="F182">
        <f>-0.045</f>
        <v>-4.4999999999999998E-2</v>
      </c>
      <c r="G182">
        <f>-0.701</f>
        <v>-0.70099999999999996</v>
      </c>
      <c r="H182">
        <f>0.755</f>
        <v>0.755</v>
      </c>
    </row>
    <row r="183" spans="1:8" x14ac:dyDescent="0.25">
      <c r="A183" s="1">
        <v>44538</v>
      </c>
      <c r="B183">
        <f>1.8928</f>
        <v>1.8928</v>
      </c>
      <c r="C183">
        <f>1.5212</f>
        <v>1.5212000000000001</v>
      </c>
      <c r="D183">
        <f>0.6815</f>
        <v>0.68149999999999999</v>
      </c>
      <c r="E183">
        <f>-0.313</f>
        <v>-0.313</v>
      </c>
      <c r="F183">
        <f>-0.016</f>
        <v>-1.6E-2</v>
      </c>
      <c r="G183">
        <f>-0.676</f>
        <v>-0.67600000000000005</v>
      </c>
      <c r="H183">
        <f>0.775</f>
        <v>0.77500000000000002</v>
      </c>
    </row>
    <row r="184" spans="1:8" x14ac:dyDescent="0.25">
      <c r="A184" s="1">
        <v>44537</v>
      </c>
      <c r="B184">
        <f>1.8025</f>
        <v>1.8025</v>
      </c>
      <c r="C184">
        <f>1.4733</f>
        <v>1.4733000000000001</v>
      </c>
      <c r="D184">
        <f>0.6892</f>
        <v>0.68920000000000003</v>
      </c>
      <c r="E184">
        <f>-0.375</f>
        <v>-0.375</v>
      </c>
      <c r="F184">
        <f>-0.093</f>
        <v>-9.2999999999999999E-2</v>
      </c>
      <c r="G184">
        <f>-0.701</f>
        <v>-0.70099999999999996</v>
      </c>
      <c r="H184">
        <f>0.73</f>
        <v>0.73</v>
      </c>
    </row>
    <row r="185" spans="1:8" x14ac:dyDescent="0.25">
      <c r="A185" s="1">
        <v>44536</v>
      </c>
      <c r="B185">
        <f>1.7704</f>
        <v>1.7704</v>
      </c>
      <c r="C185">
        <f>1.4342</f>
        <v>1.4341999999999999</v>
      </c>
      <c r="D185">
        <f>0.6312</f>
        <v>0.63119999999999998</v>
      </c>
      <c r="E185">
        <f>-0.388</f>
        <v>-0.38800000000000001</v>
      </c>
      <c r="F185">
        <f>-0.09</f>
        <v>-0.09</v>
      </c>
      <c r="G185">
        <f>-0.726</f>
        <v>-0.72599999999999998</v>
      </c>
      <c r="H185">
        <f>0.738</f>
        <v>0.73799999999999999</v>
      </c>
    </row>
    <row r="186" spans="1:8" x14ac:dyDescent="0.25">
      <c r="A186" s="1">
        <v>44533</v>
      </c>
      <c r="B186">
        <f>1.6727</f>
        <v>1.6727000000000001</v>
      </c>
      <c r="C186">
        <f>1.343</f>
        <v>1.343</v>
      </c>
      <c r="D186">
        <f>0.5873</f>
        <v>0.58730000000000004</v>
      </c>
      <c r="E186">
        <f>-0.388</f>
        <v>-0.38800000000000001</v>
      </c>
      <c r="F186">
        <f>-0.096</f>
        <v>-9.6000000000000002E-2</v>
      </c>
      <c r="G186">
        <f>-0.743</f>
        <v>-0.74299999999999999</v>
      </c>
      <c r="H186">
        <f>0.747</f>
        <v>0.747</v>
      </c>
    </row>
    <row r="187" spans="1:8" x14ac:dyDescent="0.25">
      <c r="A187" s="1">
        <v>44532</v>
      </c>
      <c r="B187">
        <f>1.7625</f>
        <v>1.7625</v>
      </c>
      <c r="C187">
        <f>1.4443</f>
        <v>1.4442999999999999</v>
      </c>
      <c r="D187">
        <f>0.6126</f>
        <v>0.61260000000000003</v>
      </c>
      <c r="E187">
        <f>-0.369</f>
        <v>-0.36899999999999999</v>
      </c>
      <c r="F187">
        <f>-0.065</f>
        <v>-6.5000000000000002E-2</v>
      </c>
      <c r="G187">
        <f>-0.736</f>
        <v>-0.73599999999999999</v>
      </c>
      <c r="H187">
        <f>0.811</f>
        <v>0.81100000000000005</v>
      </c>
    </row>
    <row r="188" spans="1:8" x14ac:dyDescent="0.25">
      <c r="A188" s="1">
        <v>44531</v>
      </c>
      <c r="B188">
        <f>1.7393</f>
        <v>1.7393000000000001</v>
      </c>
      <c r="C188">
        <f>1.4037</f>
        <v>1.4036999999999999</v>
      </c>
      <c r="D188">
        <f>0.5513</f>
        <v>0.55130000000000001</v>
      </c>
      <c r="E188">
        <f>-0.343</f>
        <v>-0.34300000000000003</v>
      </c>
      <c r="F188">
        <f>-0.049</f>
        <v>-4.9000000000000002E-2</v>
      </c>
      <c r="G188">
        <f>-0.712</f>
        <v>-0.71199999999999997</v>
      </c>
      <c r="H188">
        <f>0.82</f>
        <v>0.82</v>
      </c>
    </row>
    <row r="189" spans="1:8" x14ac:dyDescent="0.25">
      <c r="A189" s="1">
        <v>44530</v>
      </c>
      <c r="B189">
        <f>1.7911</f>
        <v>1.7910999999999999</v>
      </c>
      <c r="C189">
        <f>1.4443</f>
        <v>1.4442999999999999</v>
      </c>
      <c r="D189">
        <f>0.565</f>
        <v>0.56499999999999995</v>
      </c>
      <c r="E189">
        <f>-0.349</f>
        <v>-0.34899999999999998</v>
      </c>
      <c r="F189">
        <f>-0.058</f>
        <v>-5.8000000000000003E-2</v>
      </c>
      <c r="G189">
        <f>-0.737</f>
        <v>-0.73699999999999999</v>
      </c>
      <c r="H189">
        <f>0.809</f>
        <v>0.80900000000000005</v>
      </c>
    </row>
    <row r="190" spans="1:8" x14ac:dyDescent="0.25">
      <c r="A190" s="1">
        <v>44529</v>
      </c>
      <c r="B190">
        <f>1.8545</f>
        <v>1.8545</v>
      </c>
      <c r="C190">
        <f>1.4987</f>
        <v>1.4986999999999999</v>
      </c>
      <c r="D190">
        <f>0.4843</f>
        <v>0.48430000000000001</v>
      </c>
      <c r="E190">
        <f>-0.317</f>
        <v>-0.317</v>
      </c>
      <c r="F190">
        <f>0.019</f>
        <v>1.9E-2</v>
      </c>
      <c r="G190">
        <f>-0.751</f>
        <v>-0.751</v>
      </c>
      <c r="H190">
        <f>0.861</f>
        <v>0.86099999999999999</v>
      </c>
    </row>
    <row r="191" spans="1:8" x14ac:dyDescent="0.25">
      <c r="A191" s="1">
        <v>44526</v>
      </c>
      <c r="B191">
        <f>1.8213</f>
        <v>1.8212999999999999</v>
      </c>
      <c r="C191">
        <f>1.4731</f>
        <v>1.4731000000000001</v>
      </c>
      <c r="D191">
        <f>0.498</f>
        <v>0.498</v>
      </c>
      <c r="E191">
        <f>-0.335</f>
        <v>-0.33500000000000002</v>
      </c>
      <c r="F191">
        <f>0.02</f>
        <v>0.02</v>
      </c>
      <c r="G191">
        <f>-0.756</f>
        <v>-0.75600000000000001</v>
      </c>
      <c r="H191">
        <f>0.825</f>
        <v>0.82499999999999996</v>
      </c>
    </row>
    <row r="192" spans="1:8" x14ac:dyDescent="0.25">
      <c r="A192" s="1">
        <v>44525</v>
      </c>
      <c r="B192">
        <f>1.9594</f>
        <v>1.9594</v>
      </c>
      <c r="C192">
        <f>1.6341</f>
        <v>1.6341000000000001</v>
      </c>
      <c r="D192">
        <f>0.6398</f>
        <v>0.63980000000000004</v>
      </c>
      <c r="E192">
        <f>-0.251</f>
        <v>-0.251</v>
      </c>
      <c r="F192">
        <f>0.093</f>
        <v>9.2999999999999999E-2</v>
      </c>
      <c r="G192">
        <f>-0.738</f>
        <v>-0.73799999999999999</v>
      </c>
      <c r="H192">
        <f>0.969</f>
        <v>0.96899999999999997</v>
      </c>
    </row>
    <row r="193" spans="1:8" x14ac:dyDescent="0.25">
      <c r="A193" s="1">
        <v>44524</v>
      </c>
      <c r="B193">
        <f>1.9594</f>
        <v>1.9594</v>
      </c>
      <c r="C193">
        <f>1.6341</f>
        <v>1.6341000000000001</v>
      </c>
      <c r="D193">
        <f>0.6398</f>
        <v>0.63980000000000004</v>
      </c>
      <c r="E193">
        <f>-0.228</f>
        <v>-0.22800000000000001</v>
      </c>
      <c r="F193">
        <f>0.116</f>
        <v>0.11600000000000001</v>
      </c>
      <c r="G193">
        <f>-0.743</f>
        <v>-0.74299999999999999</v>
      </c>
      <c r="H193">
        <f>0.996</f>
        <v>0.996</v>
      </c>
    </row>
    <row r="194" spans="1:8" x14ac:dyDescent="0.25">
      <c r="A194" s="1">
        <v>44523</v>
      </c>
      <c r="B194">
        <f>2.0229</f>
        <v>2.0228999999999999</v>
      </c>
      <c r="C194">
        <f>1.6651</f>
        <v>1.6651</v>
      </c>
      <c r="D194">
        <f>0.6142</f>
        <v>0.61419999999999997</v>
      </c>
      <c r="E194">
        <f>-0.22</f>
        <v>-0.22</v>
      </c>
      <c r="F194">
        <f>0.105</f>
        <v>0.105</v>
      </c>
      <c r="G194">
        <f>-0.729</f>
        <v>-0.72899999999999998</v>
      </c>
      <c r="H194">
        <f>0.997</f>
        <v>0.997</v>
      </c>
    </row>
    <row r="195" spans="1:8" x14ac:dyDescent="0.25">
      <c r="A195" s="1">
        <v>44522</v>
      </c>
      <c r="B195">
        <f>1.9615</f>
        <v>1.9615</v>
      </c>
      <c r="C195">
        <f>1.6236</f>
        <v>1.6235999999999999</v>
      </c>
      <c r="D195">
        <f>0.5842</f>
        <v>0.58420000000000005</v>
      </c>
      <c r="E195">
        <f>-0.301</f>
        <v>-0.30099999999999999</v>
      </c>
      <c r="F195">
        <f>0.028</f>
        <v>2.8000000000000001E-2</v>
      </c>
      <c r="G195">
        <f>-0.741</f>
        <v>-0.74099999999999999</v>
      </c>
      <c r="H195">
        <f>0.933</f>
        <v>0.93300000000000005</v>
      </c>
    </row>
    <row r="196" spans="1:8" x14ac:dyDescent="0.25">
      <c r="A196" s="1">
        <v>44519</v>
      </c>
      <c r="B196">
        <f>1.91</f>
        <v>1.91</v>
      </c>
      <c r="C196">
        <f>1.5462</f>
        <v>1.5462</v>
      </c>
      <c r="D196">
        <f>0.5067</f>
        <v>0.50670000000000004</v>
      </c>
      <c r="E196">
        <f>-0.342</f>
        <v>-0.34200000000000003</v>
      </c>
      <c r="F196">
        <f>-0.01</f>
        <v>-0.01</v>
      </c>
      <c r="G196">
        <f>-0.778</f>
        <v>-0.77800000000000002</v>
      </c>
      <c r="H196">
        <f>0.879</f>
        <v>0.879</v>
      </c>
    </row>
    <row r="197" spans="1:8" x14ac:dyDescent="0.25">
      <c r="A197" s="1">
        <v>44518</v>
      </c>
      <c r="B197">
        <f>1.9685</f>
        <v>1.9684999999999999</v>
      </c>
      <c r="C197">
        <f>1.5855</f>
        <v>1.5854999999999999</v>
      </c>
      <c r="D197">
        <f>0.5021</f>
        <v>0.50209999999999999</v>
      </c>
      <c r="E197">
        <f>-0.275</f>
        <v>-0.27500000000000002</v>
      </c>
      <c r="F197">
        <f>0.035</f>
        <v>3.5000000000000003E-2</v>
      </c>
      <c r="G197">
        <f>-0.746</f>
        <v>-0.746</v>
      </c>
      <c r="H197">
        <f>0.925</f>
        <v>0.92500000000000004</v>
      </c>
    </row>
    <row r="198" spans="1:8" x14ac:dyDescent="0.25">
      <c r="A198" s="1">
        <v>44517</v>
      </c>
      <c r="B198">
        <f>1.9755</f>
        <v>1.9755</v>
      </c>
      <c r="C198">
        <f>1.5889</f>
        <v>1.5889</v>
      </c>
      <c r="D198">
        <f>0.4979</f>
        <v>0.49790000000000001</v>
      </c>
      <c r="E198">
        <f>-0.246</f>
        <v>-0.246</v>
      </c>
      <c r="F198">
        <f>0.086</f>
        <v>8.5999999999999993E-2</v>
      </c>
      <c r="G198">
        <f>-0.727</f>
        <v>-0.72699999999999998</v>
      </c>
      <c r="H198">
        <f>0.963</f>
        <v>0.96299999999999997</v>
      </c>
    </row>
    <row r="199" spans="1:8" x14ac:dyDescent="0.25">
      <c r="A199" s="1">
        <v>44516</v>
      </c>
      <c r="B199">
        <f>2.0285</f>
        <v>2.0285000000000002</v>
      </c>
      <c r="C199">
        <f>1.6335</f>
        <v>1.6335</v>
      </c>
      <c r="D199">
        <f>0.5179</f>
        <v>0.51790000000000003</v>
      </c>
      <c r="E199">
        <f>-0.242</f>
        <v>-0.24199999999999999</v>
      </c>
      <c r="F199">
        <f>0.093</f>
        <v>9.2999999999999999E-2</v>
      </c>
      <c r="G199">
        <f>-0.731</f>
        <v>-0.73099999999999998</v>
      </c>
      <c r="H199">
        <f>0.991</f>
        <v>0.99099999999999999</v>
      </c>
    </row>
    <row r="200" spans="1:8" x14ac:dyDescent="0.25">
      <c r="A200" s="1">
        <v>44515</v>
      </c>
      <c r="B200">
        <f>1.9959</f>
        <v>1.9959</v>
      </c>
      <c r="C200">
        <f>1.6145</f>
        <v>1.6145</v>
      </c>
      <c r="D200">
        <f>0.5157</f>
        <v>0.51570000000000005</v>
      </c>
      <c r="E200">
        <f>-0.229</f>
        <v>-0.22900000000000001</v>
      </c>
      <c r="F200">
        <f>0.084</f>
        <v>8.4000000000000005E-2</v>
      </c>
      <c r="G200">
        <f>-0.69</f>
        <v>-0.69</v>
      </c>
      <c r="H200">
        <f>0.964</f>
        <v>0.96399999999999997</v>
      </c>
    </row>
    <row r="201" spans="1:8" x14ac:dyDescent="0.25">
      <c r="A201" s="1">
        <v>44512</v>
      </c>
      <c r="B201">
        <f>1.9308</f>
        <v>1.9308000000000001</v>
      </c>
      <c r="C201">
        <f>1.5613</f>
        <v>1.5612999999999999</v>
      </c>
      <c r="D201">
        <f>0.5115</f>
        <v>0.51149999999999995</v>
      </c>
      <c r="E201">
        <f>-0.259</f>
        <v>-0.25900000000000001</v>
      </c>
      <c r="F201">
        <f>0.059</f>
        <v>5.8999999999999997E-2</v>
      </c>
      <c r="G201">
        <f>-0.742</f>
        <v>-0.74199999999999999</v>
      </c>
      <c r="H201">
        <f>0.914</f>
        <v>0.91400000000000003</v>
      </c>
    </row>
    <row r="202" spans="1:8" x14ac:dyDescent="0.25">
      <c r="A202" s="1">
        <v>44511</v>
      </c>
      <c r="B202">
        <f>1.8997</f>
        <v>1.8996999999999999</v>
      </c>
      <c r="C202">
        <f>1.5493</f>
        <v>1.5492999999999999</v>
      </c>
      <c r="D202">
        <f>0.5129</f>
        <v>0.51290000000000002</v>
      </c>
      <c r="E202">
        <f>-0.231</f>
        <v>-0.23100000000000001</v>
      </c>
      <c r="F202">
        <f>0.073</f>
        <v>7.2999999999999995E-2</v>
      </c>
      <c r="G202">
        <f>-0.693</f>
        <v>-0.69299999999999995</v>
      </c>
      <c r="H202">
        <f>0.92</f>
        <v>0.92</v>
      </c>
    </row>
    <row r="203" spans="1:8" x14ac:dyDescent="0.25">
      <c r="A203" s="1">
        <v>44510</v>
      </c>
      <c r="B203">
        <f>1.904</f>
        <v>1.9039999999999999</v>
      </c>
      <c r="C203">
        <f>1.5493</f>
        <v>1.5492999999999999</v>
      </c>
      <c r="D203">
        <f>0.5129</f>
        <v>0.51290000000000002</v>
      </c>
      <c r="E203">
        <f>-0.247</f>
        <v>-0.247</v>
      </c>
      <c r="F203">
        <f>0.059</f>
        <v>5.8999999999999997E-2</v>
      </c>
      <c r="G203">
        <f>-0.7</f>
        <v>-0.7</v>
      </c>
      <c r="H203">
        <f>0.925</f>
        <v>0.92500000000000004</v>
      </c>
    </row>
    <row r="204" spans="1:8" x14ac:dyDescent="0.25">
      <c r="A204" s="1">
        <v>44509</v>
      </c>
      <c r="B204">
        <f>1.8178</f>
        <v>1.8178000000000001</v>
      </c>
      <c r="C204">
        <f>1.4358</f>
        <v>1.4358</v>
      </c>
      <c r="D204">
        <f>0.4208</f>
        <v>0.42080000000000001</v>
      </c>
      <c r="E204">
        <f>-0.298</f>
        <v>-0.29799999999999999</v>
      </c>
      <c r="F204">
        <f>0.007</f>
        <v>7.0000000000000001E-3</v>
      </c>
      <c r="G204">
        <f>-0.742</f>
        <v>-0.74199999999999999</v>
      </c>
      <c r="H204">
        <f>0.824</f>
        <v>0.82399999999999995</v>
      </c>
    </row>
    <row r="205" spans="1:8" x14ac:dyDescent="0.25">
      <c r="A205" s="1">
        <v>44508</v>
      </c>
      <c r="B205">
        <f>1.8816</f>
        <v>1.8815999999999999</v>
      </c>
      <c r="C205">
        <f>1.4897</f>
        <v>1.4897</v>
      </c>
      <c r="D205">
        <f>0.4426</f>
        <v>0.44259999999999999</v>
      </c>
      <c r="E205">
        <f>-0.243</f>
        <v>-0.24299999999999999</v>
      </c>
      <c r="F205">
        <f>0.115</f>
        <v>0.115</v>
      </c>
      <c r="G205">
        <f>-0.722</f>
        <v>-0.72199999999999998</v>
      </c>
      <c r="H205">
        <f>0.856</f>
        <v>0.85599999999999998</v>
      </c>
    </row>
    <row r="206" spans="1:8" x14ac:dyDescent="0.25">
      <c r="A206" s="1">
        <v>44505</v>
      </c>
      <c r="B206">
        <f>1.887</f>
        <v>1.887</v>
      </c>
      <c r="C206">
        <f>1.4513</f>
        <v>1.4513</v>
      </c>
      <c r="D206">
        <f>0.4008</f>
        <v>0.40079999999999999</v>
      </c>
      <c r="E206">
        <f>-0.28</f>
        <v>-0.28000000000000003</v>
      </c>
      <c r="F206">
        <f>0.067</f>
        <v>6.7000000000000004E-2</v>
      </c>
      <c r="G206">
        <f>-0.729</f>
        <v>-0.72899999999999998</v>
      </c>
      <c r="H206">
        <f>0.845</f>
        <v>0.84499999999999997</v>
      </c>
    </row>
    <row r="207" spans="1:8" x14ac:dyDescent="0.25">
      <c r="A207" s="1">
        <v>44504</v>
      </c>
      <c r="B207">
        <f>1.9631</f>
        <v>1.9631000000000001</v>
      </c>
      <c r="C207">
        <f>1.5262</f>
        <v>1.5262</v>
      </c>
      <c r="D207">
        <f>0.4244</f>
        <v>0.4244</v>
      </c>
      <c r="E207">
        <f>-0.224</f>
        <v>-0.224</v>
      </c>
      <c r="F207">
        <f>0.159</f>
        <v>0.159</v>
      </c>
      <c r="G207">
        <f>-0.71</f>
        <v>-0.71</v>
      </c>
      <c r="H207">
        <f>0.944</f>
        <v>0.94399999999999995</v>
      </c>
    </row>
    <row r="208" spans="1:8" x14ac:dyDescent="0.25">
      <c r="A208" s="1">
        <v>44503</v>
      </c>
      <c r="B208">
        <f>2.0203</f>
        <v>2.0203000000000002</v>
      </c>
      <c r="C208">
        <f>1.6034</f>
        <v>1.6033999999999999</v>
      </c>
      <c r="D208">
        <f>0.4659</f>
        <v>0.46589999999999998</v>
      </c>
      <c r="E208">
        <f>-0.168</f>
        <v>-0.16800000000000001</v>
      </c>
      <c r="F208">
        <f>0.147</f>
        <v>0.14699999999999999</v>
      </c>
      <c r="G208">
        <f>-0.654</f>
        <v>-0.65400000000000003</v>
      </c>
      <c r="H208">
        <f>1.075</f>
        <v>1.075</v>
      </c>
    </row>
    <row r="209" spans="1:8" x14ac:dyDescent="0.25">
      <c r="A209" s="1">
        <v>44502</v>
      </c>
      <c r="B209">
        <f>1.9589</f>
        <v>1.9589000000000001</v>
      </c>
      <c r="C209">
        <f>1.5488</f>
        <v>1.5488</v>
      </c>
      <c r="D209">
        <f>0.4499</f>
        <v>0.44990000000000002</v>
      </c>
      <c r="E209">
        <f>-0.165</f>
        <v>-0.16500000000000001</v>
      </c>
      <c r="F209">
        <f>0.176</f>
        <v>0.17599999999999999</v>
      </c>
      <c r="G209">
        <f>-0.666</f>
        <v>-0.66600000000000004</v>
      </c>
      <c r="H209">
        <f>1.039</f>
        <v>1.0389999999999999</v>
      </c>
    </row>
    <row r="210" spans="1:8" x14ac:dyDescent="0.25">
      <c r="A210" s="1">
        <v>44501</v>
      </c>
      <c r="B210">
        <f>1.9576</f>
        <v>1.9576</v>
      </c>
      <c r="C210">
        <f>1.5557</f>
        <v>1.5557000000000001</v>
      </c>
      <c r="D210">
        <f>0.4992</f>
        <v>0.49919999999999998</v>
      </c>
      <c r="E210">
        <f>-0.102</f>
        <v>-0.10199999999999999</v>
      </c>
      <c r="F210">
        <f>0.17</f>
        <v>0.17</v>
      </c>
      <c r="G210">
        <f>-0.609</f>
        <v>-0.60899999999999999</v>
      </c>
      <c r="H210">
        <f>1.062</f>
        <v>1.0620000000000001</v>
      </c>
    </row>
    <row r="211" spans="1:8" x14ac:dyDescent="0.25">
      <c r="A211" s="1">
        <v>44498</v>
      </c>
      <c r="B211">
        <f>1.9328</f>
        <v>1.9328000000000001</v>
      </c>
      <c r="C211">
        <f>1.5521</f>
        <v>1.5521</v>
      </c>
      <c r="D211">
        <f>0.497</f>
        <v>0.497</v>
      </c>
      <c r="E211">
        <f>-0.106</f>
        <v>-0.106</v>
      </c>
      <c r="F211">
        <f>0.138</f>
        <v>0.13800000000000001</v>
      </c>
      <c r="G211">
        <f>-0.585</f>
        <v>-0.58499999999999996</v>
      </c>
      <c r="H211">
        <f>1.034</f>
        <v>1.034</v>
      </c>
    </row>
    <row r="212" spans="1:8" x14ac:dyDescent="0.25">
      <c r="A212" s="1">
        <v>44497</v>
      </c>
      <c r="B212">
        <f>1.9811</f>
        <v>1.9811000000000001</v>
      </c>
      <c r="C212">
        <f>1.58</f>
        <v>1.58</v>
      </c>
      <c r="D212">
        <f>0.4891</f>
        <v>0.48909999999999998</v>
      </c>
      <c r="E212">
        <f>-0.136</f>
        <v>-0.13600000000000001</v>
      </c>
      <c r="F212">
        <f>0.169</f>
        <v>0.16900000000000001</v>
      </c>
      <c r="G212">
        <f>-0.617</f>
        <v>-0.61699999999999999</v>
      </c>
      <c r="H212">
        <f>1.009</f>
        <v>1.0089999999999999</v>
      </c>
    </row>
    <row r="213" spans="1:8" x14ac:dyDescent="0.25">
      <c r="A213" s="1">
        <v>44496</v>
      </c>
      <c r="B213">
        <f>1.9507</f>
        <v>1.9507000000000001</v>
      </c>
      <c r="C213">
        <f>1.5413</f>
        <v>1.5412999999999999</v>
      </c>
      <c r="D213">
        <f>0.5029</f>
        <v>0.50290000000000001</v>
      </c>
      <c r="E213">
        <f>-0.178</f>
        <v>-0.17799999999999999</v>
      </c>
      <c r="F213">
        <f>0.155</f>
        <v>0.155</v>
      </c>
      <c r="G213">
        <f>-0.64</f>
        <v>-0.64</v>
      </c>
      <c r="H213">
        <f>0.986</f>
        <v>0.98599999999999999</v>
      </c>
    </row>
    <row r="214" spans="1:8" x14ac:dyDescent="0.25">
      <c r="A214" s="1">
        <v>44495</v>
      </c>
      <c r="B214">
        <f>2.0407</f>
        <v>2.0407000000000002</v>
      </c>
      <c r="C214">
        <f>1.6079</f>
        <v>1.6079000000000001</v>
      </c>
      <c r="D214">
        <f>0.4396</f>
        <v>0.43959999999999999</v>
      </c>
      <c r="E214">
        <f>-0.117</f>
        <v>-0.11700000000000001</v>
      </c>
      <c r="F214">
        <f>0.244</f>
        <v>0.24399999999999999</v>
      </c>
      <c r="G214">
        <f>-0.658</f>
        <v>-0.65800000000000003</v>
      </c>
      <c r="H214">
        <f>1.11</f>
        <v>1.1100000000000001</v>
      </c>
    </row>
    <row r="215" spans="1:8" x14ac:dyDescent="0.25">
      <c r="A215" s="1">
        <v>44494</v>
      </c>
      <c r="B215">
        <f>2.0812</f>
        <v>2.0811999999999999</v>
      </c>
      <c r="C215">
        <f>1.6307</f>
        <v>1.6307</v>
      </c>
      <c r="D215">
        <f>0.4353</f>
        <v>0.43530000000000002</v>
      </c>
      <c r="E215">
        <f>-0.114</f>
        <v>-0.114</v>
      </c>
      <c r="F215">
        <f>0.269</f>
        <v>0.26900000000000002</v>
      </c>
      <c r="G215">
        <f>-0.664</f>
        <v>-0.66400000000000003</v>
      </c>
      <c r="H215">
        <f>1.14</f>
        <v>1.1399999999999999</v>
      </c>
    </row>
    <row r="216" spans="1:8" x14ac:dyDescent="0.25">
      <c r="A216" s="1">
        <v>44491</v>
      </c>
      <c r="B216">
        <f>2.0683</f>
        <v>2.0682999999999998</v>
      </c>
      <c r="C216">
        <f>1.6324</f>
        <v>1.6324000000000001</v>
      </c>
      <c r="D216">
        <f>0.4534</f>
        <v>0.45340000000000003</v>
      </c>
      <c r="E216">
        <f>-0.105</f>
        <v>-0.105</v>
      </c>
      <c r="F216">
        <f>0.239</f>
        <v>0.23899999999999999</v>
      </c>
      <c r="G216">
        <f>-0.637</f>
        <v>-0.63700000000000001</v>
      </c>
      <c r="H216">
        <f>1.145</f>
        <v>1.145</v>
      </c>
    </row>
    <row r="217" spans="1:8" x14ac:dyDescent="0.25">
      <c r="A217" s="1">
        <v>44490</v>
      </c>
      <c r="B217">
        <f>2.1474</f>
        <v>2.1474000000000002</v>
      </c>
      <c r="C217">
        <f>1.7011</f>
        <v>1.7011000000000001</v>
      </c>
      <c r="D217">
        <f>0.4545</f>
        <v>0.45450000000000002</v>
      </c>
      <c r="E217">
        <f>-0.102</f>
        <v>-0.10199999999999999</v>
      </c>
      <c r="F217">
        <f>0.272</f>
        <v>0.27200000000000002</v>
      </c>
      <c r="G217">
        <f>-0.646</f>
        <v>-0.64600000000000002</v>
      </c>
      <c r="H217">
        <f>1.202</f>
        <v>1.202</v>
      </c>
    </row>
    <row r="218" spans="1:8" x14ac:dyDescent="0.25">
      <c r="A218" s="1">
        <v>44489</v>
      </c>
      <c r="B218">
        <f>2.1343</f>
        <v>2.1343000000000001</v>
      </c>
      <c r="C218">
        <f>1.6567</f>
        <v>1.6567000000000001</v>
      </c>
      <c r="D218">
        <f>0.3854</f>
        <v>0.38540000000000002</v>
      </c>
      <c r="E218">
        <f>-0.126</f>
        <v>-0.126</v>
      </c>
      <c r="F218">
        <f>0.291</f>
        <v>0.29099999999999998</v>
      </c>
      <c r="G218">
        <f>-0.658</f>
        <v>-0.65800000000000003</v>
      </c>
      <c r="H218">
        <f>1.148</f>
        <v>1.1479999999999999</v>
      </c>
    </row>
    <row r="219" spans="1:8" x14ac:dyDescent="0.25">
      <c r="A219" s="1">
        <v>44488</v>
      </c>
      <c r="B219">
        <f>2.0847</f>
        <v>2.0847000000000002</v>
      </c>
      <c r="C219">
        <f>1.6372</f>
        <v>1.6372</v>
      </c>
      <c r="D219">
        <f>0.3953</f>
        <v>0.39529999999999998</v>
      </c>
      <c r="E219">
        <f>-0.106</f>
        <v>-0.106</v>
      </c>
      <c r="F219">
        <f>0.296</f>
        <v>0.29599999999999999</v>
      </c>
      <c r="G219">
        <f>-0.625</f>
        <v>-0.625</v>
      </c>
      <c r="H219">
        <f>1.169</f>
        <v>1.169</v>
      </c>
    </row>
    <row r="220" spans="1:8" x14ac:dyDescent="0.25">
      <c r="A220" s="1">
        <v>44487</v>
      </c>
      <c r="B220">
        <f>2.0336</f>
        <v>2.0335999999999999</v>
      </c>
      <c r="C220">
        <f>1.6002</f>
        <v>1.6002000000000001</v>
      </c>
      <c r="D220">
        <f>0.4254</f>
        <v>0.4254</v>
      </c>
      <c r="E220">
        <f>-0.148</f>
        <v>-0.14799999999999999</v>
      </c>
      <c r="F220">
        <f>0.237</f>
        <v>0.23699999999999999</v>
      </c>
      <c r="G220">
        <f>-0.627</f>
        <v>-0.627</v>
      </c>
      <c r="H220">
        <f>1.136</f>
        <v>1.1359999999999999</v>
      </c>
    </row>
    <row r="221" spans="1:8" x14ac:dyDescent="0.25">
      <c r="A221" s="1">
        <v>44484</v>
      </c>
      <c r="B221">
        <f>2.0414</f>
        <v>2.0413999999999999</v>
      </c>
      <c r="C221">
        <f>1.5703</f>
        <v>1.5703</v>
      </c>
      <c r="D221">
        <f>0.3949</f>
        <v>0.39489999999999997</v>
      </c>
      <c r="E221">
        <f>-0.167</f>
        <v>-0.16700000000000001</v>
      </c>
      <c r="F221">
        <f>0.281</f>
        <v>0.28100000000000003</v>
      </c>
      <c r="G221">
        <f>-0.677</f>
        <v>-0.67700000000000005</v>
      </c>
      <c r="H221">
        <f>1.106</f>
        <v>1.1060000000000001</v>
      </c>
    </row>
    <row r="222" spans="1:8" x14ac:dyDescent="0.25">
      <c r="A222" s="1">
        <v>44483</v>
      </c>
      <c r="B222">
        <f>2.0146</f>
        <v>2.0146000000000002</v>
      </c>
      <c r="C222">
        <f>1.5107</f>
        <v>1.5106999999999999</v>
      </c>
      <c r="D222">
        <f>0.3602</f>
        <v>0.36020000000000002</v>
      </c>
      <c r="E222">
        <f>-0.191</f>
        <v>-0.191</v>
      </c>
      <c r="F222">
        <f>0.238</f>
        <v>0.23799999999999999</v>
      </c>
      <c r="G222">
        <f>-0.692</f>
        <v>-0.69199999999999995</v>
      </c>
      <c r="H222">
        <f>1.042</f>
        <v>1.042</v>
      </c>
    </row>
    <row r="223" spans="1:8" x14ac:dyDescent="0.25">
      <c r="A223" s="1">
        <v>44482</v>
      </c>
      <c r="B223">
        <f>2.0287</f>
        <v>2.0287000000000002</v>
      </c>
      <c r="C223">
        <f>1.5368</f>
        <v>1.5367999999999999</v>
      </c>
      <c r="D223">
        <f>0.358</f>
        <v>0.35799999999999998</v>
      </c>
      <c r="E223">
        <f>-0.127</f>
        <v>-0.127</v>
      </c>
      <c r="F223">
        <f>0.299</f>
        <v>0.29899999999999999</v>
      </c>
      <c r="G223">
        <f>-0.669</f>
        <v>-0.66900000000000004</v>
      </c>
      <c r="H223">
        <f>1.089</f>
        <v>1.089</v>
      </c>
    </row>
    <row r="224" spans="1:8" x14ac:dyDescent="0.25">
      <c r="A224" s="1">
        <v>44481</v>
      </c>
      <c r="B224">
        <f>2.0954</f>
        <v>2.0954000000000002</v>
      </c>
      <c r="C224">
        <f>1.5769</f>
        <v>1.5769</v>
      </c>
      <c r="D224">
        <f>0.3379</f>
        <v>0.33789999999999998</v>
      </c>
      <c r="E224">
        <f>-0.086</f>
        <v>-8.5999999999999993E-2</v>
      </c>
      <c r="F224">
        <f>0.376</f>
        <v>0.376</v>
      </c>
      <c r="G224">
        <f>-0.662</f>
        <v>-0.66200000000000003</v>
      </c>
      <c r="H224">
        <f>1.148</f>
        <v>1.1479999999999999</v>
      </c>
    </row>
    <row r="225" spans="1:8" x14ac:dyDescent="0.25">
      <c r="A225" s="1">
        <v>44480</v>
      </c>
      <c r="B225">
        <f>2.164</f>
        <v>2.1640000000000001</v>
      </c>
      <c r="C225">
        <f>1.6118</f>
        <v>1.6117999999999999</v>
      </c>
      <c r="D225">
        <f>0.3178</f>
        <v>0.31780000000000003</v>
      </c>
      <c r="E225">
        <f>-0.121</f>
        <v>-0.121</v>
      </c>
      <c r="F225">
        <f>0.357</f>
        <v>0.35699999999999998</v>
      </c>
      <c r="G225">
        <f>-0.671</f>
        <v>-0.67100000000000004</v>
      </c>
      <c r="H225">
        <f>1.188</f>
        <v>1.1879999999999999</v>
      </c>
    </row>
    <row r="226" spans="1:8" x14ac:dyDescent="0.25">
      <c r="A226" s="1">
        <v>44477</v>
      </c>
      <c r="B226">
        <f>2.164</f>
        <v>2.1640000000000001</v>
      </c>
      <c r="C226">
        <f>1.6118</f>
        <v>1.6117999999999999</v>
      </c>
      <c r="D226">
        <f>0.3178</f>
        <v>0.31780000000000003</v>
      </c>
      <c r="E226">
        <f>-0.151</f>
        <v>-0.151</v>
      </c>
      <c r="F226">
        <f>0.33</f>
        <v>0.33</v>
      </c>
      <c r="G226">
        <f>-0.691</f>
        <v>-0.69099999999999995</v>
      </c>
      <c r="H226">
        <f>1.158</f>
        <v>1.1579999999999999</v>
      </c>
    </row>
    <row r="227" spans="1:8" x14ac:dyDescent="0.25">
      <c r="A227" s="1">
        <v>44476</v>
      </c>
      <c r="B227">
        <f>2.1263</f>
        <v>2.1263000000000001</v>
      </c>
      <c r="C227">
        <f>1.5729</f>
        <v>1.5729</v>
      </c>
      <c r="D227">
        <f>0.3055</f>
        <v>0.30549999999999999</v>
      </c>
      <c r="E227">
        <f>-0.185</f>
        <v>-0.185</v>
      </c>
      <c r="F227">
        <f>0.302</f>
        <v>0.30199999999999999</v>
      </c>
      <c r="G227">
        <f>-0.704</f>
        <v>-0.70399999999999996</v>
      </c>
      <c r="H227">
        <f>1.077</f>
        <v>1.077</v>
      </c>
    </row>
    <row r="228" spans="1:8" x14ac:dyDescent="0.25">
      <c r="A228" s="1">
        <v>44475</v>
      </c>
      <c r="B228">
        <f>2.0789</f>
        <v>2.0789</v>
      </c>
      <c r="C228">
        <f>1.5206</f>
        <v>1.5206</v>
      </c>
      <c r="D228">
        <f>0.2935</f>
        <v>0.29349999999999998</v>
      </c>
      <c r="E228">
        <f>-0.182</f>
        <v>-0.182</v>
      </c>
      <c r="F228">
        <f>0.301</f>
        <v>0.30099999999999999</v>
      </c>
      <c r="G228">
        <f>-0.694</f>
        <v>-0.69399999999999995</v>
      </c>
      <c r="H228">
        <f>1.071</f>
        <v>1.071</v>
      </c>
    </row>
    <row r="229" spans="1:8" x14ac:dyDescent="0.25">
      <c r="A229" s="1">
        <v>44474</v>
      </c>
      <c r="B229">
        <f>2.0953</f>
        <v>2.0952999999999999</v>
      </c>
      <c r="C229">
        <f>1.5258</f>
        <v>1.5258</v>
      </c>
      <c r="D229">
        <f>0.2836</f>
        <v>0.28360000000000002</v>
      </c>
      <c r="E229">
        <f>-0.188</f>
        <v>-0.188</v>
      </c>
      <c r="F229">
        <f>0.292</f>
        <v>0.29199999999999998</v>
      </c>
      <c r="G229">
        <f>-0.696</f>
        <v>-0.69599999999999995</v>
      </c>
      <c r="H229">
        <f>1.084</f>
        <v>1.0840000000000001</v>
      </c>
    </row>
    <row r="230" spans="1:8" x14ac:dyDescent="0.25">
      <c r="A230" s="1">
        <v>44473</v>
      </c>
      <c r="B230">
        <f>2.0442</f>
        <v>2.0442</v>
      </c>
      <c r="C230">
        <f>1.4789</f>
        <v>1.4789000000000001</v>
      </c>
      <c r="D230">
        <f>0.2776</f>
        <v>0.27760000000000001</v>
      </c>
      <c r="E230">
        <f>-0.214</f>
        <v>-0.214</v>
      </c>
      <c r="F230">
        <f>0.268</f>
        <v>0.26800000000000002</v>
      </c>
      <c r="G230">
        <f>-0.703</f>
        <v>-0.70299999999999996</v>
      </c>
      <c r="H230">
        <f>1.011</f>
        <v>1.0109999999999999</v>
      </c>
    </row>
    <row r="231" spans="1:8" x14ac:dyDescent="0.25">
      <c r="A231" s="1">
        <v>44470</v>
      </c>
      <c r="B231">
        <f>2.0287</f>
        <v>2.0287000000000002</v>
      </c>
      <c r="C231">
        <f>1.4616</f>
        <v>1.4616</v>
      </c>
      <c r="D231">
        <f>0.2638</f>
        <v>0.26379999999999998</v>
      </c>
      <c r="E231">
        <f>-0.224</f>
        <v>-0.224</v>
      </c>
      <c r="F231">
        <f>0.256</f>
        <v>0.25600000000000001</v>
      </c>
      <c r="G231">
        <f>-0.703</f>
        <v>-0.70299999999999996</v>
      </c>
      <c r="H231">
        <f>1.002</f>
        <v>1.002</v>
      </c>
    </row>
    <row r="232" spans="1:8" x14ac:dyDescent="0.25">
      <c r="A232" s="1">
        <v>44469</v>
      </c>
      <c r="B232">
        <f>2.0449</f>
        <v>2.0449000000000002</v>
      </c>
      <c r="C232">
        <f>1.4873</f>
        <v>1.4873000000000001</v>
      </c>
      <c r="D232">
        <f>0.2755</f>
        <v>0.27550000000000002</v>
      </c>
      <c r="E232">
        <f>-0.199</f>
        <v>-0.19900000000000001</v>
      </c>
      <c r="F232">
        <f>0.276</f>
        <v>0.27600000000000002</v>
      </c>
      <c r="G232">
        <f>-0.689</f>
        <v>-0.68899999999999995</v>
      </c>
      <c r="H232">
        <f>1.022</f>
        <v>1.022</v>
      </c>
    </row>
    <row r="233" spans="1:8" x14ac:dyDescent="0.25">
      <c r="A233" s="1">
        <v>44468</v>
      </c>
      <c r="B233">
        <f>2.0604</f>
        <v>2.0604</v>
      </c>
      <c r="C233">
        <f>1.5167</f>
        <v>1.5166999999999999</v>
      </c>
      <c r="D233">
        <f>0.2892</f>
        <v>0.28920000000000001</v>
      </c>
      <c r="E233">
        <f>-0.213</f>
        <v>-0.21299999999999999</v>
      </c>
      <c r="F233">
        <f>0.251</f>
        <v>0.251</v>
      </c>
      <c r="G233">
        <f>-0.688</f>
        <v>-0.68799999999999994</v>
      </c>
      <c r="H233">
        <f>0.991</f>
        <v>0.99099999999999999</v>
      </c>
    </row>
    <row r="234" spans="1:8" x14ac:dyDescent="0.25">
      <c r="A234" s="1">
        <v>44467</v>
      </c>
      <c r="B234">
        <f>2.086</f>
        <v>2.0859999999999999</v>
      </c>
      <c r="C234">
        <f>1.5374</f>
        <v>1.5374000000000001</v>
      </c>
      <c r="D234">
        <f>0.301</f>
        <v>0.30099999999999999</v>
      </c>
      <c r="E234">
        <f>-0.199</f>
        <v>-0.19900000000000001</v>
      </c>
      <c r="F234">
        <f>0.264</f>
        <v>0.26400000000000001</v>
      </c>
      <c r="G234">
        <f>-0.683</f>
        <v>-0.68300000000000005</v>
      </c>
      <c r="H234">
        <f>0.994</f>
        <v>0.99399999999999999</v>
      </c>
    </row>
    <row r="235" spans="1:8" x14ac:dyDescent="0.25">
      <c r="A235" s="1">
        <v>44466</v>
      </c>
      <c r="B235">
        <f>1.9944</f>
        <v>1.9944</v>
      </c>
      <c r="C235">
        <f>1.4871</f>
        <v>1.4871000000000001</v>
      </c>
      <c r="D235">
        <f>0.2779</f>
        <v>0.27789999999999998</v>
      </c>
      <c r="E235">
        <f>-0.223</f>
        <v>-0.223</v>
      </c>
      <c r="F235">
        <f>0.25</f>
        <v>0.25</v>
      </c>
      <c r="G235">
        <f>-0.689</f>
        <v>-0.68899999999999995</v>
      </c>
      <c r="H235">
        <f>0.952</f>
        <v>0.95199999999999996</v>
      </c>
    </row>
    <row r="236" spans="1:8" x14ac:dyDescent="0.25">
      <c r="A236" s="1">
        <v>44463</v>
      </c>
      <c r="B236">
        <f>1.9833</f>
        <v>1.9833000000000001</v>
      </c>
      <c r="C236">
        <f>1.4509</f>
        <v>1.4509000000000001</v>
      </c>
      <c r="D236">
        <f>0.2695</f>
        <v>0.26950000000000002</v>
      </c>
      <c r="E236">
        <f>-0.228</f>
        <v>-0.22800000000000001</v>
      </c>
      <c r="F236">
        <f>0.26</f>
        <v>0.26</v>
      </c>
      <c r="G236">
        <f>-0.686</f>
        <v>-0.68600000000000005</v>
      </c>
      <c r="H236">
        <f>0.925</f>
        <v>0.92500000000000004</v>
      </c>
    </row>
    <row r="237" spans="1:8" x14ac:dyDescent="0.25">
      <c r="A237" s="1">
        <v>44462</v>
      </c>
      <c r="B237">
        <f>1.9398</f>
        <v>1.9398</v>
      </c>
      <c r="C237">
        <f>1.4301</f>
        <v>1.4300999999999999</v>
      </c>
      <c r="D237">
        <f>0.2608</f>
        <v>0.26079999999999998</v>
      </c>
      <c r="E237">
        <f>-0.258</f>
        <v>-0.25800000000000001</v>
      </c>
      <c r="F237">
        <f>0.224</f>
        <v>0.224</v>
      </c>
      <c r="G237">
        <f>-0.69</f>
        <v>-0.69</v>
      </c>
      <c r="H237">
        <f>0.907</f>
        <v>0.90700000000000003</v>
      </c>
    </row>
    <row r="238" spans="1:8" x14ac:dyDescent="0.25">
      <c r="A238" s="1">
        <v>44461</v>
      </c>
      <c r="B238">
        <f>1.8078</f>
        <v>1.8078000000000001</v>
      </c>
      <c r="C238">
        <f>1.3006</f>
        <v>1.3006</v>
      </c>
      <c r="D238">
        <f>0.2363</f>
        <v>0.23630000000000001</v>
      </c>
      <c r="E238">
        <f>-0.324</f>
        <v>-0.32400000000000001</v>
      </c>
      <c r="F238">
        <f>0.165</f>
        <v>0.16500000000000001</v>
      </c>
      <c r="G238">
        <f>-0.711</f>
        <v>-0.71099999999999997</v>
      </c>
      <c r="H238">
        <f>0.799</f>
        <v>0.79900000000000004</v>
      </c>
    </row>
    <row r="239" spans="1:8" x14ac:dyDescent="0.25">
      <c r="A239" s="1">
        <v>44460</v>
      </c>
      <c r="B239">
        <f>1.8558</f>
        <v>1.8557999999999999</v>
      </c>
      <c r="C239">
        <f>1.3226</f>
        <v>1.3226</v>
      </c>
      <c r="D239">
        <f>0.2139</f>
        <v>0.21390000000000001</v>
      </c>
      <c r="E239">
        <f>-0.317</f>
        <v>-0.317</v>
      </c>
      <c r="F239">
        <f>0.173</f>
        <v>0.17299999999999999</v>
      </c>
      <c r="G239">
        <f>-0.712</f>
        <v>-0.71199999999999997</v>
      </c>
      <c r="H239">
        <f>0.807</f>
        <v>0.80700000000000005</v>
      </c>
    </row>
    <row r="240" spans="1:8" x14ac:dyDescent="0.25">
      <c r="A240" s="1">
        <v>44459</v>
      </c>
      <c r="B240">
        <f>1.8471</f>
        <v>1.8471</v>
      </c>
      <c r="C240">
        <f>1.3107</f>
        <v>1.3107</v>
      </c>
      <c r="D240">
        <f>0.2158</f>
        <v>0.21579999999999999</v>
      </c>
      <c r="E240">
        <f>-0.32</f>
        <v>-0.32</v>
      </c>
      <c r="F240">
        <f>0.172</f>
        <v>0.17199999999999999</v>
      </c>
      <c r="G240">
        <f>-0.718</f>
        <v>-0.71799999999999997</v>
      </c>
      <c r="H240">
        <f>0.794</f>
        <v>0.79400000000000004</v>
      </c>
    </row>
    <row r="241" spans="1:8" x14ac:dyDescent="0.25">
      <c r="A241" s="1">
        <v>44456</v>
      </c>
      <c r="B241">
        <f>1.8989</f>
        <v>1.8989</v>
      </c>
      <c r="C241">
        <f>1.3616</f>
        <v>1.3615999999999999</v>
      </c>
      <c r="D241">
        <f>0.2217</f>
        <v>0.22170000000000001</v>
      </c>
      <c r="E241">
        <f>-0.28</f>
        <v>-0.28000000000000003</v>
      </c>
      <c r="F241">
        <f>0.217</f>
        <v>0.217</v>
      </c>
      <c r="G241">
        <f>-0.695</f>
        <v>-0.69499999999999995</v>
      </c>
      <c r="H241">
        <f>0.846</f>
        <v>0.84599999999999997</v>
      </c>
    </row>
    <row r="242" spans="1:8" x14ac:dyDescent="0.25">
      <c r="A242" s="1">
        <v>44455</v>
      </c>
      <c r="B242">
        <f>1.8834</f>
        <v>1.8834</v>
      </c>
      <c r="C242">
        <f>1.3378</f>
        <v>1.3378000000000001</v>
      </c>
      <c r="D242">
        <f>0.2193</f>
        <v>0.21929999999999999</v>
      </c>
      <c r="E242">
        <f>-0.302</f>
        <v>-0.30199999999999999</v>
      </c>
      <c r="F242">
        <f>0.195</f>
        <v>0.19500000000000001</v>
      </c>
      <c r="G242">
        <f>-0.703</f>
        <v>-0.70299999999999996</v>
      </c>
      <c r="H242">
        <f>0.817</f>
        <v>0.81699999999999995</v>
      </c>
    </row>
    <row r="243" spans="1:8" x14ac:dyDescent="0.25">
      <c r="A243" s="1">
        <v>44454</v>
      </c>
      <c r="B243">
        <f>1.8592</f>
        <v>1.8592</v>
      </c>
      <c r="C243">
        <f>1.2988</f>
        <v>1.2988</v>
      </c>
      <c r="D243">
        <f>0.2111</f>
        <v>0.21110000000000001</v>
      </c>
      <c r="E243">
        <f>-0.306</f>
        <v>-0.30599999999999999</v>
      </c>
      <c r="F243">
        <f>0.192</f>
        <v>0.192</v>
      </c>
      <c r="G243">
        <f>-0.701</f>
        <v>-0.70099999999999996</v>
      </c>
      <c r="H243">
        <f>0.778</f>
        <v>0.77800000000000002</v>
      </c>
    </row>
    <row r="244" spans="1:8" x14ac:dyDescent="0.25">
      <c r="A244" s="1">
        <v>44453</v>
      </c>
      <c r="B244">
        <f>1.8592</f>
        <v>1.8592</v>
      </c>
      <c r="C244">
        <f>1.2836</f>
        <v>1.2836000000000001</v>
      </c>
      <c r="D244">
        <f>0.207</f>
        <v>0.20699999999999999</v>
      </c>
      <c r="E244">
        <f>-0.34</f>
        <v>-0.34</v>
      </c>
      <c r="F244">
        <f>0.152</f>
        <v>0.152</v>
      </c>
      <c r="G244">
        <f>-0.7</f>
        <v>-0.7</v>
      </c>
      <c r="H244">
        <f>0.738</f>
        <v>0.73799999999999999</v>
      </c>
    </row>
    <row r="245" spans="1:8" x14ac:dyDescent="0.25">
      <c r="A245" s="1">
        <v>44452</v>
      </c>
      <c r="B245">
        <f>1.9044</f>
        <v>1.9044000000000001</v>
      </c>
      <c r="C245">
        <f>1.3259</f>
        <v>1.3259000000000001</v>
      </c>
      <c r="D245">
        <f>0.2129</f>
        <v>0.21290000000000001</v>
      </c>
      <c r="E245">
        <f>-0.331</f>
        <v>-0.33100000000000002</v>
      </c>
      <c r="F245">
        <f>0.166</f>
        <v>0.16600000000000001</v>
      </c>
      <c r="G245">
        <f>-0.705</f>
        <v>-0.70499999999999996</v>
      </c>
      <c r="H245">
        <f>0.745</f>
        <v>0.745</v>
      </c>
    </row>
    <row r="246" spans="1:8" x14ac:dyDescent="0.25">
      <c r="A246" s="1">
        <v>44449</v>
      </c>
      <c r="B246">
        <f>1.9337</f>
        <v>1.9337</v>
      </c>
      <c r="C246">
        <f>1.3411</f>
        <v>1.3411</v>
      </c>
      <c r="D246">
        <f>0.2127</f>
        <v>0.2127</v>
      </c>
      <c r="E246">
        <f>-0.33</f>
        <v>-0.33</v>
      </c>
      <c r="F246">
        <f>0.158</f>
        <v>0.158</v>
      </c>
      <c r="G246">
        <f>-0.704</f>
        <v>-0.70399999999999996</v>
      </c>
      <c r="H246">
        <f>0.758</f>
        <v>0.75800000000000001</v>
      </c>
    </row>
    <row r="247" spans="1:8" x14ac:dyDescent="0.25">
      <c r="A247" s="1">
        <v>44448</v>
      </c>
      <c r="B247">
        <f>1.8977</f>
        <v>1.8976999999999999</v>
      </c>
      <c r="C247">
        <f>1.2971</f>
        <v>1.2970999999999999</v>
      </c>
      <c r="D247">
        <f>0.2124</f>
        <v>0.21240000000000001</v>
      </c>
      <c r="E247">
        <f>-0.361</f>
        <v>-0.36099999999999999</v>
      </c>
      <c r="F247">
        <f>0.128</f>
        <v>0.128</v>
      </c>
      <c r="G247">
        <f>-0.711</f>
        <v>-0.71099999999999997</v>
      </c>
      <c r="H247">
        <f>0.736</f>
        <v>0.73599999999999999</v>
      </c>
    </row>
    <row r="248" spans="1:8" x14ac:dyDescent="0.25">
      <c r="A248" s="1">
        <v>44447</v>
      </c>
      <c r="B248">
        <f>1.9557</f>
        <v>1.9557</v>
      </c>
      <c r="C248">
        <f>1.3376</f>
        <v>1.3375999999999999</v>
      </c>
      <c r="D248">
        <f>0.2162</f>
        <v>0.2162</v>
      </c>
      <c r="E248">
        <f>-0.323</f>
        <v>-0.32300000000000001</v>
      </c>
      <c r="F248">
        <f>0.167</f>
        <v>0.16700000000000001</v>
      </c>
      <c r="G248">
        <f>-0.696</f>
        <v>-0.69599999999999995</v>
      </c>
      <c r="H248">
        <f>0.744</f>
        <v>0.74399999999999999</v>
      </c>
    </row>
    <row r="249" spans="1:8" x14ac:dyDescent="0.25">
      <c r="A249" s="1">
        <v>44446</v>
      </c>
      <c r="B249">
        <f>1.9868</f>
        <v>1.9867999999999999</v>
      </c>
      <c r="C249">
        <f>1.3732</f>
        <v>1.3732</v>
      </c>
      <c r="D249">
        <f>0.2201</f>
        <v>0.22009999999999999</v>
      </c>
      <c r="E249">
        <f>-0.322</f>
        <v>-0.32200000000000001</v>
      </c>
      <c r="F249">
        <f>0.169</f>
        <v>0.16900000000000001</v>
      </c>
      <c r="G249">
        <f>-0.698</f>
        <v>-0.69799999999999995</v>
      </c>
      <c r="H249">
        <f>0.737</f>
        <v>0.73699999999999999</v>
      </c>
    </row>
    <row r="250" spans="1:8" x14ac:dyDescent="0.25">
      <c r="A250" s="1">
        <v>44445</v>
      </c>
      <c r="B250">
        <f>1.942</f>
        <v>1.9419999999999999</v>
      </c>
      <c r="C250">
        <f>1.3223</f>
        <v>1.3223</v>
      </c>
      <c r="D250">
        <f>0.2061</f>
        <v>0.20610000000000001</v>
      </c>
      <c r="E250">
        <f>-0.367</f>
        <v>-0.36699999999999999</v>
      </c>
      <c r="F250">
        <f>0.135</f>
        <v>0.13500000000000001</v>
      </c>
      <c r="G250">
        <f>-0.715</f>
        <v>-0.71499999999999997</v>
      </c>
      <c r="H250">
        <f>0.694</f>
        <v>0.69399999999999995</v>
      </c>
    </row>
    <row r="251" spans="1:8" x14ac:dyDescent="0.25">
      <c r="A251" s="1">
        <v>44442</v>
      </c>
      <c r="B251">
        <f>1.942</f>
        <v>1.9419999999999999</v>
      </c>
      <c r="C251">
        <f>1.3223</f>
        <v>1.3223</v>
      </c>
      <c r="D251">
        <f>0.2061</f>
        <v>0.20610000000000001</v>
      </c>
      <c r="E251">
        <f>-0.361</f>
        <v>-0.36099999999999999</v>
      </c>
      <c r="F251">
        <f>0.145</f>
        <v>0.14499999999999999</v>
      </c>
      <c r="G251">
        <f>-0.707</f>
        <v>-0.70699999999999996</v>
      </c>
      <c r="H251">
        <f>0.717</f>
        <v>0.71699999999999997</v>
      </c>
    </row>
    <row r="252" spans="1:8" x14ac:dyDescent="0.25">
      <c r="A252" s="1">
        <v>44441</v>
      </c>
      <c r="B252">
        <f>1.897</f>
        <v>1.897</v>
      </c>
      <c r="C252">
        <f>1.2835</f>
        <v>1.2835000000000001</v>
      </c>
      <c r="D252">
        <f>0.2056</f>
        <v>0.2056</v>
      </c>
      <c r="E252">
        <f>-0.385</f>
        <v>-0.38500000000000001</v>
      </c>
      <c r="F252">
        <f>0.115</f>
        <v>0.115</v>
      </c>
      <c r="G252">
        <f>-0.717</f>
        <v>-0.71699999999999997</v>
      </c>
      <c r="H252">
        <f>0.681</f>
        <v>0.68100000000000005</v>
      </c>
    </row>
    <row r="253" spans="1:8" x14ac:dyDescent="0.25">
      <c r="A253" s="1">
        <v>44440</v>
      </c>
      <c r="B253">
        <f>1.9133</f>
        <v>1.9133</v>
      </c>
      <c r="C253">
        <f>1.2936</f>
        <v>1.2936000000000001</v>
      </c>
      <c r="D253">
        <f>0.2094</f>
        <v>0.2094</v>
      </c>
      <c r="E253">
        <f>-0.373</f>
        <v>-0.373</v>
      </c>
      <c r="F253">
        <f>0.117</f>
        <v>0.11700000000000001</v>
      </c>
      <c r="G253">
        <f>-0.711</f>
        <v>-0.71099999999999997</v>
      </c>
      <c r="H253">
        <f>0.693</f>
        <v>0.69299999999999995</v>
      </c>
    </row>
    <row r="254" spans="1:8" x14ac:dyDescent="0.25">
      <c r="A254" s="1">
        <v>44439</v>
      </c>
      <c r="B254">
        <f>1.9324</f>
        <v>1.9323999999999999</v>
      </c>
      <c r="C254">
        <f>1.3088</f>
        <v>1.3088</v>
      </c>
      <c r="D254">
        <f>0.2093</f>
        <v>0.20930000000000001</v>
      </c>
      <c r="E254">
        <f>-0.383</f>
        <v>-0.38300000000000001</v>
      </c>
      <c r="F254">
        <f>0.092</f>
        <v>9.1999999999999998E-2</v>
      </c>
      <c r="G254">
        <f>-0.713</f>
        <v>-0.71299999999999997</v>
      </c>
      <c r="H254">
        <f>0.714</f>
        <v>0.71399999999999997</v>
      </c>
    </row>
    <row r="255" spans="1:8" x14ac:dyDescent="0.25">
      <c r="A255" s="1">
        <v>44438</v>
      </c>
      <c r="B255">
        <f>1.8964</f>
        <v>1.8964000000000001</v>
      </c>
      <c r="C255">
        <f>1.2785</f>
        <v>1.2785</v>
      </c>
      <c r="D255">
        <f>0.2014</f>
        <v>0.2014</v>
      </c>
      <c r="E255">
        <f>-0.439</f>
        <v>-0.439</v>
      </c>
      <c r="F255">
        <f>0.031</f>
        <v>3.1E-2</v>
      </c>
      <c r="G255">
        <f>-0.736</f>
        <v>-0.73599999999999999</v>
      </c>
      <c r="H255">
        <f>0.578</f>
        <v>0.57799999999999996</v>
      </c>
    </row>
    <row r="256" spans="1:8" x14ac:dyDescent="0.25">
      <c r="A256" s="1">
        <v>44435</v>
      </c>
      <c r="B256">
        <f>1.9167</f>
        <v>1.9167000000000001</v>
      </c>
      <c r="C256">
        <f>1.307</f>
        <v>1.3069999999999999</v>
      </c>
      <c r="D256">
        <f>0.2151</f>
        <v>0.21510000000000001</v>
      </c>
      <c r="E256">
        <f>-0.423</f>
        <v>-0.42299999999999999</v>
      </c>
      <c r="F256">
        <f>0.048</f>
        <v>4.8000000000000001E-2</v>
      </c>
      <c r="G256">
        <f>-0.736</f>
        <v>-0.73599999999999999</v>
      </c>
      <c r="H256">
        <f>0.578</f>
        <v>0.57799999999999996</v>
      </c>
    </row>
    <row r="257" spans="1:8" x14ac:dyDescent="0.25">
      <c r="A257" s="1">
        <v>44434</v>
      </c>
      <c r="B257">
        <f>1.9468</f>
        <v>1.9468000000000001</v>
      </c>
      <c r="C257">
        <f>1.3491</f>
        <v>1.3491</v>
      </c>
      <c r="D257">
        <f>0.2406</f>
        <v>0.24060000000000001</v>
      </c>
      <c r="E257">
        <f>-0.407</f>
        <v>-0.40699999999999997</v>
      </c>
      <c r="F257">
        <f>0.056</f>
        <v>5.6000000000000001E-2</v>
      </c>
      <c r="G257">
        <f>-0.735</f>
        <v>-0.73499999999999999</v>
      </c>
      <c r="H257">
        <f>0.6</f>
        <v>0.6</v>
      </c>
    </row>
    <row r="258" spans="1:8" x14ac:dyDescent="0.25">
      <c r="A258" s="1">
        <v>44433</v>
      </c>
      <c r="B258">
        <f>1.9482</f>
        <v>1.9481999999999999</v>
      </c>
      <c r="C258">
        <f>1.339</f>
        <v>1.339</v>
      </c>
      <c r="D258">
        <f>0.2386</f>
        <v>0.23860000000000001</v>
      </c>
      <c r="E258">
        <f>-0.422</f>
        <v>-0.42199999999999999</v>
      </c>
      <c r="F258">
        <f>0.047</f>
        <v>4.7E-2</v>
      </c>
      <c r="G258">
        <f>-0.733</f>
        <v>-0.73299999999999998</v>
      </c>
      <c r="H258">
        <f>0.597</f>
        <v>0.59699999999999998</v>
      </c>
    </row>
    <row r="259" spans="1:8" x14ac:dyDescent="0.25">
      <c r="A259" s="1">
        <v>44432</v>
      </c>
      <c r="B259">
        <f>1.9161</f>
        <v>1.9160999999999999</v>
      </c>
      <c r="C259">
        <f>1.2935</f>
        <v>1.2935000000000001</v>
      </c>
      <c r="D259">
        <f>0.2223</f>
        <v>0.2223</v>
      </c>
      <c r="E259">
        <f>-0.478</f>
        <v>-0.47799999999999998</v>
      </c>
      <c r="F259">
        <f>-0.028</f>
        <v>-2.8000000000000001E-2</v>
      </c>
      <c r="G259">
        <f>-0.744</f>
        <v>-0.74399999999999999</v>
      </c>
      <c r="H259">
        <f>0.538</f>
        <v>0.53800000000000003</v>
      </c>
    </row>
    <row r="260" spans="1:8" x14ac:dyDescent="0.25">
      <c r="A260" s="1">
        <v>44431</v>
      </c>
      <c r="B260">
        <f>1.8708</f>
        <v>1.8708</v>
      </c>
      <c r="C260">
        <f>1.2517</f>
        <v>1.2517</v>
      </c>
      <c r="D260">
        <f>0.2242</f>
        <v>0.22420000000000001</v>
      </c>
      <c r="E260">
        <f>-0.481</f>
        <v>-0.48099999999999998</v>
      </c>
      <c r="F260">
        <f>-0.031</f>
        <v>-3.1E-2</v>
      </c>
      <c r="G260">
        <f>-0.747</f>
        <v>-0.747</v>
      </c>
      <c r="H260">
        <f>0.535</f>
        <v>0.53500000000000003</v>
      </c>
    </row>
    <row r="261" spans="1:8" x14ac:dyDescent="0.25">
      <c r="A261" s="1">
        <v>44428</v>
      </c>
      <c r="B261">
        <f>1.8688</f>
        <v>1.8688</v>
      </c>
      <c r="C261">
        <f>1.255</f>
        <v>1.2549999999999999</v>
      </c>
      <c r="D261">
        <f>0.2241</f>
        <v>0.22409999999999999</v>
      </c>
      <c r="E261">
        <f>-0.495</f>
        <v>-0.495</v>
      </c>
      <c r="F261">
        <f>-0.051</f>
        <v>-5.0999999999999997E-2</v>
      </c>
      <c r="G261">
        <f>-0.748</f>
        <v>-0.748</v>
      </c>
      <c r="H261">
        <f>0.523</f>
        <v>0.52300000000000002</v>
      </c>
    </row>
    <row r="262" spans="1:8" x14ac:dyDescent="0.25">
      <c r="A262" s="1">
        <v>44427</v>
      </c>
      <c r="B262">
        <f>1.8709</f>
        <v>1.8709</v>
      </c>
      <c r="C262">
        <f>1.2433</f>
        <v>1.2433000000000001</v>
      </c>
      <c r="D262">
        <f>0.2196</f>
        <v>0.21959999999999999</v>
      </c>
      <c r="E262">
        <f>-0.489</f>
        <v>-0.48899999999999999</v>
      </c>
      <c r="F262">
        <f>-0.051</f>
        <v>-5.0999999999999997E-2</v>
      </c>
      <c r="G262">
        <f>-0.747</f>
        <v>-0.747</v>
      </c>
      <c r="H262">
        <f>0.538</f>
        <v>0.53800000000000003</v>
      </c>
    </row>
    <row r="263" spans="1:8" x14ac:dyDescent="0.25">
      <c r="A263" s="1">
        <v>44426</v>
      </c>
      <c r="B263">
        <f>1.8972</f>
        <v>1.8972</v>
      </c>
      <c r="C263">
        <f>1.2583</f>
        <v>1.2583</v>
      </c>
      <c r="D263">
        <f>0.2155</f>
        <v>0.2155</v>
      </c>
      <c r="E263">
        <f>-0.482</f>
        <v>-0.48199999999999998</v>
      </c>
      <c r="F263">
        <f>-0.034</f>
        <v>-3.4000000000000002E-2</v>
      </c>
      <c r="G263">
        <f>-0.744</f>
        <v>-0.74399999999999999</v>
      </c>
      <c r="H263">
        <f>0.565</f>
        <v>0.56499999999999995</v>
      </c>
    </row>
    <row r="264" spans="1:8" x14ac:dyDescent="0.25">
      <c r="A264" s="1">
        <v>44425</v>
      </c>
      <c r="B264">
        <f>1.9189</f>
        <v>1.9189000000000001</v>
      </c>
      <c r="C264">
        <f>1.2617</f>
        <v>1.2617</v>
      </c>
      <c r="D264">
        <f>0.2133</f>
        <v>0.21329999999999999</v>
      </c>
      <c r="E264">
        <f>-0.471</f>
        <v>-0.47099999999999997</v>
      </c>
      <c r="F264">
        <f>-0.021</f>
        <v>-2.1000000000000001E-2</v>
      </c>
      <c r="G264">
        <f>-0.736</f>
        <v>-0.73599999999999999</v>
      </c>
      <c r="H264">
        <f>0.562</f>
        <v>0.56200000000000006</v>
      </c>
    </row>
    <row r="265" spans="1:8" x14ac:dyDescent="0.25">
      <c r="A265" s="1">
        <v>44424</v>
      </c>
      <c r="B265">
        <f>1.927</f>
        <v>1.927</v>
      </c>
      <c r="C265">
        <f>1.265</f>
        <v>1.2649999999999999</v>
      </c>
      <c r="D265">
        <f>0.2092</f>
        <v>0.2092</v>
      </c>
      <c r="E265">
        <f>-0.469</f>
        <v>-0.46899999999999997</v>
      </c>
      <c r="F265">
        <f>-0.02</f>
        <v>-0.02</v>
      </c>
      <c r="G265">
        <f>-0.739</f>
        <v>-0.73899999999999999</v>
      </c>
      <c r="H265">
        <f>0.573</f>
        <v>0.57299999999999995</v>
      </c>
    </row>
    <row r="266" spans="1:8" x14ac:dyDescent="0.25">
      <c r="A266" s="1">
        <v>44421</v>
      </c>
      <c r="B266">
        <f>1.9291</f>
        <v>1.9291</v>
      </c>
      <c r="C266">
        <f>1.2767</f>
        <v>1.2766999999999999</v>
      </c>
      <c r="D266">
        <f>0.2071</f>
        <v>0.20710000000000001</v>
      </c>
      <c r="E266">
        <f>-0.467</f>
        <v>-0.46700000000000003</v>
      </c>
      <c r="F266">
        <f>-0.022</f>
        <v>-2.1999999999999999E-2</v>
      </c>
      <c r="G266">
        <f>-0.739</f>
        <v>-0.73899999999999999</v>
      </c>
      <c r="H266">
        <f>0.573</f>
        <v>0.57299999999999995</v>
      </c>
    </row>
    <row r="267" spans="1:8" x14ac:dyDescent="0.25">
      <c r="A267" s="1">
        <v>44420</v>
      </c>
      <c r="B267">
        <f>1.9988</f>
        <v>1.9987999999999999</v>
      </c>
      <c r="C267">
        <f>1.359</f>
        <v>1.359</v>
      </c>
      <c r="D267">
        <f>0.2227</f>
        <v>0.22270000000000001</v>
      </c>
      <c r="E267">
        <f>-0.46</f>
        <v>-0.46</v>
      </c>
      <c r="F267">
        <f>-0.007</f>
        <v>-7.0000000000000001E-3</v>
      </c>
      <c r="G267">
        <f>-0.746</f>
        <v>-0.746</v>
      </c>
      <c r="H267">
        <f>0.601</f>
        <v>0.60099999999999998</v>
      </c>
    </row>
    <row r="268" spans="1:8" x14ac:dyDescent="0.25">
      <c r="A268" s="1">
        <v>44419</v>
      </c>
      <c r="B268">
        <f>1.9988</f>
        <v>1.9987999999999999</v>
      </c>
      <c r="C268">
        <f>1.3303</f>
        <v>1.3303</v>
      </c>
      <c r="D268">
        <f>0.2186</f>
        <v>0.21859999999999999</v>
      </c>
      <c r="E268">
        <f>-0.464</f>
        <v>-0.46400000000000002</v>
      </c>
      <c r="F268">
        <f>-0.009</f>
        <v>-8.9999999999999993E-3</v>
      </c>
      <c r="G268">
        <f>-0.748</f>
        <v>-0.748</v>
      </c>
      <c r="H268">
        <f>0.571</f>
        <v>0.57099999999999995</v>
      </c>
    </row>
    <row r="269" spans="1:8" x14ac:dyDescent="0.25">
      <c r="A269" s="1">
        <v>44418</v>
      </c>
      <c r="B269">
        <f>1.9988</f>
        <v>1.9987999999999999</v>
      </c>
      <c r="C269">
        <f>1.349</f>
        <v>1.349</v>
      </c>
      <c r="D269">
        <f>0.2383</f>
        <v>0.23830000000000001</v>
      </c>
      <c r="E269">
        <f>-0.457</f>
        <v>-0.45700000000000002</v>
      </c>
      <c r="F269">
        <f>-0.01</f>
        <v>-0.01</v>
      </c>
      <c r="G269">
        <f>-0.748</f>
        <v>-0.748</v>
      </c>
      <c r="H269">
        <f>0.589</f>
        <v>0.58899999999999997</v>
      </c>
    </row>
    <row r="270" spans="1:8" x14ac:dyDescent="0.25">
      <c r="A270" s="1">
        <v>44417</v>
      </c>
      <c r="B270">
        <f>1.9703</f>
        <v>1.9702999999999999</v>
      </c>
      <c r="C270">
        <f>1.3237</f>
        <v>1.3237000000000001</v>
      </c>
      <c r="D270">
        <f>0.2203</f>
        <v>0.2203</v>
      </c>
      <c r="E270">
        <f>-0.46</f>
        <v>-0.46</v>
      </c>
      <c r="F270">
        <f>-0.012</f>
        <v>-1.2E-2</v>
      </c>
      <c r="G270">
        <f>-0.75</f>
        <v>-0.75</v>
      </c>
      <c r="H270">
        <f>0.584</f>
        <v>0.58399999999999996</v>
      </c>
    </row>
    <row r="271" spans="1:8" x14ac:dyDescent="0.25">
      <c r="A271" s="1">
        <v>44414</v>
      </c>
      <c r="B271">
        <f>1.9454</f>
        <v>1.9454</v>
      </c>
      <c r="C271">
        <f>1.2969</f>
        <v>1.2968999999999999</v>
      </c>
      <c r="D271">
        <f>0.2083</f>
        <v>0.20830000000000001</v>
      </c>
      <c r="E271">
        <f>-0.456</f>
        <v>-0.45600000000000002</v>
      </c>
      <c r="F271">
        <f>-0.001</f>
        <v>-1E-3</v>
      </c>
      <c r="G271">
        <f>-0.757</f>
        <v>-0.75700000000000001</v>
      </c>
      <c r="H271">
        <f>0.611</f>
        <v>0.61099999999999999</v>
      </c>
    </row>
    <row r="272" spans="1:8" x14ac:dyDescent="0.25">
      <c r="A272" s="1">
        <v>44413</v>
      </c>
      <c r="B272">
        <f>1.8612</f>
        <v>1.8612</v>
      </c>
      <c r="C272">
        <f>1.2235</f>
        <v>1.2235</v>
      </c>
      <c r="D272">
        <f>0.198</f>
        <v>0.19800000000000001</v>
      </c>
      <c r="E272">
        <f>-0.498</f>
        <v>-0.498</v>
      </c>
      <c r="F272">
        <f>-0.047</f>
        <v>-4.7E-2</v>
      </c>
      <c r="G272">
        <f>-0.776</f>
        <v>-0.77600000000000002</v>
      </c>
      <c r="H272">
        <f>0.524</f>
        <v>0.52400000000000002</v>
      </c>
    </row>
    <row r="273" spans="1:8" x14ac:dyDescent="0.25">
      <c r="A273" s="1">
        <v>44412</v>
      </c>
      <c r="B273">
        <f>1.8389</f>
        <v>1.8389</v>
      </c>
      <c r="C273">
        <f>1.182</f>
        <v>1.1819999999999999</v>
      </c>
      <c r="D273">
        <f>0.1802</f>
        <v>0.1802</v>
      </c>
      <c r="E273">
        <f>-0.501</f>
        <v>-0.501</v>
      </c>
      <c r="F273">
        <f>-0.04</f>
        <v>-0.04</v>
      </c>
      <c r="G273">
        <f>-0.781</f>
        <v>-0.78100000000000003</v>
      </c>
      <c r="H273">
        <f>0.512</f>
        <v>0.51200000000000001</v>
      </c>
    </row>
    <row r="274" spans="1:8" x14ac:dyDescent="0.25">
      <c r="A274" s="1">
        <v>44411</v>
      </c>
      <c r="B274">
        <f>1.8408</f>
        <v>1.8408</v>
      </c>
      <c r="C274">
        <f>1.1722</f>
        <v>1.1721999999999999</v>
      </c>
      <c r="D274">
        <f>0.1703</f>
        <v>0.17030000000000001</v>
      </c>
      <c r="E274">
        <f>-0.482</f>
        <v>-0.48199999999999998</v>
      </c>
      <c r="F274">
        <f>-0.011</f>
        <v>-1.0999999999999999E-2</v>
      </c>
      <c r="G274">
        <f>-0.771</f>
        <v>-0.77100000000000002</v>
      </c>
      <c r="H274">
        <f>0.52</f>
        <v>0.52</v>
      </c>
    </row>
    <row r="275" spans="1:8" x14ac:dyDescent="0.25">
      <c r="A275" s="1">
        <v>44410</v>
      </c>
      <c r="B275">
        <f>1.8498</f>
        <v>1.8498000000000001</v>
      </c>
      <c r="C275">
        <f>1.1773</f>
        <v>1.1773</v>
      </c>
      <c r="D275">
        <f>0.1722</f>
        <v>0.17219999999999999</v>
      </c>
      <c r="E275">
        <f>-0.487</f>
        <v>-0.48699999999999999</v>
      </c>
      <c r="F275">
        <f>-0.011</f>
        <v>-1.0999999999999999E-2</v>
      </c>
      <c r="G275">
        <f>-0.775</f>
        <v>-0.77500000000000002</v>
      </c>
      <c r="H275">
        <f>0.521</f>
        <v>0.52100000000000002</v>
      </c>
    </row>
    <row r="276" spans="1:8" x14ac:dyDescent="0.25">
      <c r="A276" s="1">
        <v>44407</v>
      </c>
      <c r="B276">
        <f>1.8922</f>
        <v>1.8922000000000001</v>
      </c>
      <c r="C276">
        <f>1.2223</f>
        <v>1.2222999999999999</v>
      </c>
      <c r="D276">
        <f>0.1839</f>
        <v>0.18390000000000001</v>
      </c>
      <c r="E276">
        <f>-0.461</f>
        <v>-0.46100000000000002</v>
      </c>
      <c r="F276">
        <f>0.02</f>
        <v>0.02</v>
      </c>
      <c r="G276">
        <f>-0.762</f>
        <v>-0.76200000000000001</v>
      </c>
      <c r="H276">
        <f>0.565</f>
        <v>0.56499999999999995</v>
      </c>
    </row>
    <row r="277" spans="1:8" x14ac:dyDescent="0.25">
      <c r="A277" s="1">
        <v>44406</v>
      </c>
      <c r="B277">
        <f>1.9195</f>
        <v>1.9195</v>
      </c>
      <c r="C277">
        <f>1.2693</f>
        <v>1.2693000000000001</v>
      </c>
      <c r="D277">
        <f>0.2035</f>
        <v>0.20349999999999999</v>
      </c>
      <c r="E277">
        <f>-0.45</f>
        <v>-0.45</v>
      </c>
      <c r="F277">
        <f>0.037</f>
        <v>3.6999999999999998E-2</v>
      </c>
      <c r="G277">
        <f>-0.758</f>
        <v>-0.75800000000000001</v>
      </c>
      <c r="H277">
        <f>0.573</f>
        <v>0.57299999999999995</v>
      </c>
    </row>
    <row r="278" spans="1:8" x14ac:dyDescent="0.25">
      <c r="A278" s="1">
        <v>44405</v>
      </c>
      <c r="B278">
        <f>1.8801</f>
        <v>1.8801000000000001</v>
      </c>
      <c r="C278">
        <f>1.2327</f>
        <v>1.2326999999999999</v>
      </c>
      <c r="D278">
        <f>0.2016</f>
        <v>0.2016</v>
      </c>
      <c r="E278">
        <f>-0.45</f>
        <v>-0.45</v>
      </c>
      <c r="F278">
        <f>0.037</f>
        <v>3.6999999999999998E-2</v>
      </c>
      <c r="G278">
        <f>-0.756</f>
        <v>-0.75600000000000001</v>
      </c>
      <c r="H278">
        <f>0.575</f>
        <v>0.57499999999999996</v>
      </c>
    </row>
    <row r="279" spans="1:8" x14ac:dyDescent="0.25">
      <c r="A279" s="1">
        <v>44404</v>
      </c>
      <c r="B279">
        <f>1.8936</f>
        <v>1.8935999999999999</v>
      </c>
      <c r="C279">
        <f>1.2411</f>
        <v>1.2411000000000001</v>
      </c>
      <c r="D279">
        <f>0.2035</f>
        <v>0.20349999999999999</v>
      </c>
      <c r="E279">
        <f>-0.441</f>
        <v>-0.441</v>
      </c>
      <c r="F279">
        <f>0.037</f>
        <v>3.6999999999999998E-2</v>
      </c>
      <c r="G279">
        <f>-0.746</f>
        <v>-0.746</v>
      </c>
      <c r="H279">
        <f>0.558</f>
        <v>0.55800000000000005</v>
      </c>
    </row>
    <row r="280" spans="1:8" x14ac:dyDescent="0.25">
      <c r="A280" s="1">
        <v>44403</v>
      </c>
      <c r="B280">
        <f>1.9418</f>
        <v>1.9418</v>
      </c>
      <c r="C280">
        <f>1.2896</f>
        <v>1.2896000000000001</v>
      </c>
      <c r="D280">
        <f>0.1941</f>
        <v>0.19409999999999999</v>
      </c>
      <c r="E280">
        <f>-0.418</f>
        <v>-0.41799999999999998</v>
      </c>
      <c r="F280">
        <f>0.064</f>
        <v>6.4000000000000001E-2</v>
      </c>
      <c r="G280">
        <f>-0.733</f>
        <v>-0.73299999999999998</v>
      </c>
      <c r="H280">
        <f>0.571</f>
        <v>0.57099999999999995</v>
      </c>
    </row>
    <row r="281" spans="1:8" x14ac:dyDescent="0.25">
      <c r="A281" s="1">
        <v>44400</v>
      </c>
      <c r="B281">
        <f>1.9151</f>
        <v>1.9151</v>
      </c>
      <c r="C281">
        <f>1.2763</f>
        <v>1.2763</v>
      </c>
      <c r="D281">
        <f>0.1981</f>
        <v>0.1981</v>
      </c>
      <c r="E281">
        <f>-0.42</f>
        <v>-0.42</v>
      </c>
      <c r="F281">
        <f>0.061</f>
        <v>6.0999999999999999E-2</v>
      </c>
      <c r="G281">
        <f>-0.726</f>
        <v>-0.72599999999999998</v>
      </c>
      <c r="H281">
        <f>0.584</f>
        <v>0.58399999999999996</v>
      </c>
    </row>
    <row r="282" spans="1:8" x14ac:dyDescent="0.25">
      <c r="A282" s="1">
        <v>44399</v>
      </c>
      <c r="B282">
        <f>1.9165</f>
        <v>1.9165000000000001</v>
      </c>
      <c r="C282">
        <f>1.2783</f>
        <v>1.2783</v>
      </c>
      <c r="D282">
        <f>0.1998</f>
        <v>0.19980000000000001</v>
      </c>
      <c r="E282">
        <f>-0.426</f>
        <v>-0.42599999999999999</v>
      </c>
      <c r="F282">
        <f>0.053</f>
        <v>5.2999999999999999E-2</v>
      </c>
      <c r="G282">
        <f>-0.72</f>
        <v>-0.72</v>
      </c>
      <c r="H282">
        <f>0.566</f>
        <v>0.56599999999999995</v>
      </c>
    </row>
    <row r="283" spans="1:8" x14ac:dyDescent="0.25">
      <c r="A283" s="1">
        <v>44398</v>
      </c>
      <c r="B283">
        <f>1.9387</f>
        <v>1.9387000000000001</v>
      </c>
      <c r="C283">
        <f>1.2884</f>
        <v>1.2884</v>
      </c>
      <c r="D283">
        <f>0.2078</f>
        <v>0.20780000000000001</v>
      </c>
      <c r="E283">
        <f>-0.395</f>
        <v>-0.39500000000000002</v>
      </c>
      <c r="F283">
        <f>0.088</f>
        <v>8.7999999999999995E-2</v>
      </c>
      <c r="G283">
        <f>-0.715</f>
        <v>-0.71499999999999997</v>
      </c>
      <c r="H283">
        <f>0.603</f>
        <v>0.60299999999999998</v>
      </c>
    </row>
    <row r="284" spans="1:8" x14ac:dyDescent="0.25">
      <c r="A284" s="1">
        <v>44397</v>
      </c>
      <c r="B284">
        <f>1.8771</f>
        <v>1.8771</v>
      </c>
      <c r="C284">
        <f>1.2218</f>
        <v>1.2218</v>
      </c>
      <c r="D284">
        <f>0.1996</f>
        <v>0.1996</v>
      </c>
      <c r="E284">
        <f>-0.41</f>
        <v>-0.41</v>
      </c>
      <c r="F284">
        <f>0.058</f>
        <v>5.8000000000000003E-2</v>
      </c>
      <c r="G284">
        <f>-0.714</f>
        <v>-0.71399999999999997</v>
      </c>
      <c r="H284">
        <f>0.564</f>
        <v>0.56399999999999995</v>
      </c>
    </row>
    <row r="285" spans="1:8" x14ac:dyDescent="0.25">
      <c r="A285" s="1">
        <v>44396</v>
      </c>
      <c r="B285">
        <f>1.8197</f>
        <v>1.8197000000000001</v>
      </c>
      <c r="C285">
        <f>1.1888</f>
        <v>1.1888000000000001</v>
      </c>
      <c r="D285">
        <f>0.2156</f>
        <v>0.21560000000000001</v>
      </c>
      <c r="E285">
        <f>-0.386</f>
        <v>-0.38600000000000001</v>
      </c>
      <c r="F285">
        <f>0.088</f>
        <v>8.7999999999999995E-2</v>
      </c>
      <c r="G285">
        <f>-0.691</f>
        <v>-0.69099999999999995</v>
      </c>
      <c r="H285">
        <f>0.56</f>
        <v>0.56000000000000005</v>
      </c>
    </row>
    <row r="286" spans="1:8" x14ac:dyDescent="0.25">
      <c r="A286" s="1">
        <v>44393</v>
      </c>
      <c r="B286">
        <f>1.9192</f>
        <v>1.9192</v>
      </c>
      <c r="C286">
        <f>1.2903</f>
        <v>1.2903</v>
      </c>
      <c r="D286">
        <f>0.2215</f>
        <v>0.2215</v>
      </c>
      <c r="E286">
        <f>-0.353</f>
        <v>-0.35299999999999998</v>
      </c>
      <c r="F286">
        <f>0.132</f>
        <v>0.13200000000000001</v>
      </c>
      <c r="G286">
        <f>-0.684</f>
        <v>-0.68400000000000005</v>
      </c>
      <c r="H286">
        <f>0.626</f>
        <v>0.626</v>
      </c>
    </row>
    <row r="287" spans="1:8" x14ac:dyDescent="0.25">
      <c r="A287" s="1">
        <v>44392</v>
      </c>
      <c r="B287">
        <f>1.9206</f>
        <v>1.9206000000000001</v>
      </c>
      <c r="C287">
        <f>1.2989</f>
        <v>1.2988999999999999</v>
      </c>
      <c r="D287">
        <f>0.2231</f>
        <v>0.22309999999999999</v>
      </c>
      <c r="E287">
        <f>-0.334</f>
        <v>-0.33400000000000002</v>
      </c>
      <c r="F287">
        <f>0.152</f>
        <v>0.152</v>
      </c>
      <c r="G287">
        <f>-0.678</f>
        <v>-0.67800000000000005</v>
      </c>
      <c r="H287">
        <f>0.664</f>
        <v>0.66400000000000003</v>
      </c>
    </row>
    <row r="288" spans="1:8" x14ac:dyDescent="0.25">
      <c r="A288" s="1">
        <v>44391</v>
      </c>
      <c r="B288">
        <f>1.971</f>
        <v>1.9710000000000001</v>
      </c>
      <c r="C288">
        <f>1.3459</f>
        <v>1.3459000000000001</v>
      </c>
      <c r="D288">
        <f>0.223</f>
        <v>0.223</v>
      </c>
      <c r="E288">
        <f>-0.319</f>
        <v>-0.31900000000000001</v>
      </c>
      <c r="F288">
        <f>0.177</f>
        <v>0.17699999999999999</v>
      </c>
      <c r="G288">
        <f>-0.678</f>
        <v>-0.67800000000000005</v>
      </c>
      <c r="H288">
        <f>0.627</f>
        <v>0.627</v>
      </c>
    </row>
    <row r="289" spans="1:8" x14ac:dyDescent="0.25">
      <c r="A289" s="1">
        <v>44390</v>
      </c>
      <c r="B289">
        <f>2.0469</f>
        <v>2.0468999999999999</v>
      </c>
      <c r="C289">
        <f>1.4166</f>
        <v>1.4166000000000001</v>
      </c>
      <c r="D289">
        <f>0.2528</f>
        <v>0.25280000000000002</v>
      </c>
      <c r="E289">
        <f>-0.294</f>
        <v>-0.29399999999999998</v>
      </c>
      <c r="F289">
        <f>0.211</f>
        <v>0.21099999999999999</v>
      </c>
      <c r="G289">
        <f>-0.672</f>
        <v>-0.67200000000000004</v>
      </c>
      <c r="H289">
        <f>0.632</f>
        <v>0.63200000000000001</v>
      </c>
    </row>
    <row r="290" spans="1:8" x14ac:dyDescent="0.25">
      <c r="A290" s="1">
        <v>44389</v>
      </c>
      <c r="B290">
        <f>1.9975</f>
        <v>1.9975000000000001</v>
      </c>
      <c r="C290">
        <f>1.3645</f>
        <v>1.3645</v>
      </c>
      <c r="D290">
        <f>0.2267</f>
        <v>0.22670000000000001</v>
      </c>
      <c r="E290">
        <f>-0.295</f>
        <v>-0.29499999999999998</v>
      </c>
      <c r="F290">
        <f>0.205</f>
        <v>0.20499999999999999</v>
      </c>
      <c r="G290">
        <f>-0.672</f>
        <v>-0.67200000000000004</v>
      </c>
      <c r="H290">
        <f>0.651</f>
        <v>0.65100000000000002</v>
      </c>
    </row>
    <row r="291" spans="1:8" x14ac:dyDescent="0.25">
      <c r="A291" s="1">
        <v>44386</v>
      </c>
      <c r="B291">
        <f>1.9889</f>
        <v>1.9888999999999999</v>
      </c>
      <c r="C291">
        <f>1.3595</f>
        <v>1.3594999999999999</v>
      </c>
      <c r="D291">
        <f>0.2126</f>
        <v>0.21260000000000001</v>
      </c>
      <c r="E291">
        <f>-0.293</f>
        <v>-0.29299999999999998</v>
      </c>
      <c r="F291">
        <f>0.206</f>
        <v>0.20599999999999999</v>
      </c>
      <c r="G291">
        <f>-0.676</f>
        <v>-0.67600000000000005</v>
      </c>
      <c r="H291">
        <f>0.655</f>
        <v>0.65500000000000003</v>
      </c>
    </row>
    <row r="292" spans="1:8" x14ac:dyDescent="0.25">
      <c r="A292" s="1">
        <v>44385</v>
      </c>
      <c r="B292">
        <f>1.9266</f>
        <v>1.9266000000000001</v>
      </c>
      <c r="C292">
        <f>1.2928</f>
        <v>1.2927999999999999</v>
      </c>
      <c r="D292">
        <f>0.1944</f>
        <v>0.19439999999999999</v>
      </c>
      <c r="E292">
        <f>-0.307</f>
        <v>-0.307</v>
      </c>
      <c r="F292">
        <f>0.183</f>
        <v>0.183</v>
      </c>
      <c r="G292">
        <f>-0.683</f>
        <v>-0.68300000000000005</v>
      </c>
      <c r="H292">
        <f>0.612</f>
        <v>0.61199999999999999</v>
      </c>
    </row>
    <row r="293" spans="1:8" x14ac:dyDescent="0.25">
      <c r="A293" s="1">
        <v>44384</v>
      </c>
      <c r="B293">
        <f>1.9378</f>
        <v>1.9378</v>
      </c>
      <c r="C293">
        <f>1.3163</f>
        <v>1.3163</v>
      </c>
      <c r="D293">
        <f>0.2141</f>
        <v>0.21410000000000001</v>
      </c>
      <c r="E293">
        <f>-0.298</f>
        <v>-0.29799999999999999</v>
      </c>
      <c r="F293">
        <f>0.187</f>
        <v>0.187</v>
      </c>
      <c r="G293">
        <f>-0.676</f>
        <v>-0.67600000000000005</v>
      </c>
      <c r="H293">
        <f>0.6</f>
        <v>0.6</v>
      </c>
    </row>
    <row r="294" spans="1:8" x14ac:dyDescent="0.25">
      <c r="A294" s="1">
        <v>44383</v>
      </c>
      <c r="B294">
        <f>1.9739</f>
        <v>1.9739</v>
      </c>
      <c r="C294">
        <f>1.3481</f>
        <v>1.3481000000000001</v>
      </c>
      <c r="D294">
        <f>0.2179</f>
        <v>0.21790000000000001</v>
      </c>
      <c r="E294">
        <f>-0.268</f>
        <v>-0.26800000000000002</v>
      </c>
      <c r="F294">
        <f>0.224</f>
        <v>0.224</v>
      </c>
      <c r="G294">
        <f>-0.678</f>
        <v>-0.67800000000000005</v>
      </c>
      <c r="H294">
        <f>0.634</f>
        <v>0.63400000000000001</v>
      </c>
    </row>
    <row r="295" spans="1:8" x14ac:dyDescent="0.25">
      <c r="A295" s="1">
        <v>44382</v>
      </c>
      <c r="B295">
        <f>2.0404</f>
        <v>2.0404</v>
      </c>
      <c r="C295">
        <f>1.4238</f>
        <v>1.4238</v>
      </c>
      <c r="D295">
        <f>0.2336</f>
        <v>0.2336</v>
      </c>
      <c r="E295">
        <f>-0.21</f>
        <v>-0.21</v>
      </c>
      <c r="F295">
        <f>0.298</f>
        <v>0.29799999999999999</v>
      </c>
      <c r="G295">
        <f>-0.66</f>
        <v>-0.66</v>
      </c>
      <c r="H295">
        <f>0.714</f>
        <v>0.71399999999999997</v>
      </c>
    </row>
    <row r="296" spans="1:8" x14ac:dyDescent="0.25">
      <c r="A296" s="1">
        <v>44379</v>
      </c>
      <c r="B296">
        <f>2.0404</f>
        <v>2.0404</v>
      </c>
      <c r="C296">
        <f>1.4238</f>
        <v>1.4238</v>
      </c>
      <c r="D296">
        <f>0.2336</f>
        <v>0.2336</v>
      </c>
      <c r="E296">
        <f>-0.235</f>
        <v>-0.23499999999999999</v>
      </c>
      <c r="F296">
        <f>0.273</f>
        <v>0.27300000000000002</v>
      </c>
      <c r="G296">
        <f>-0.671</f>
        <v>-0.67100000000000004</v>
      </c>
      <c r="H296">
        <f>0.703</f>
        <v>0.70299999999999996</v>
      </c>
    </row>
    <row r="297" spans="1:8" x14ac:dyDescent="0.25">
      <c r="A297" s="1">
        <v>44378</v>
      </c>
      <c r="B297">
        <f>2.0607</f>
        <v>2.0607000000000002</v>
      </c>
      <c r="C297">
        <f>1.4578</f>
        <v>1.4578</v>
      </c>
      <c r="D297">
        <f>0.2527</f>
        <v>0.25269999999999998</v>
      </c>
      <c r="E297">
        <f>-0.201</f>
        <v>-0.20100000000000001</v>
      </c>
      <c r="F297">
        <f>0.306</f>
        <v>0.30599999999999999</v>
      </c>
      <c r="G297">
        <f>-0.667</f>
        <v>-0.66700000000000004</v>
      </c>
      <c r="H297">
        <f>0.73</f>
        <v>0.73</v>
      </c>
    </row>
    <row r="298" spans="1:8" x14ac:dyDescent="0.25">
      <c r="A298" s="1">
        <v>44377</v>
      </c>
      <c r="B298">
        <f>2.0857</f>
        <v>2.0857000000000001</v>
      </c>
      <c r="C298">
        <f>1.468</f>
        <v>1.468</v>
      </c>
      <c r="D298">
        <f>0.2486</f>
        <v>0.24859999999999999</v>
      </c>
      <c r="E298">
        <f>-0.207</f>
        <v>-0.20699999999999999</v>
      </c>
      <c r="F298">
        <f>0.29</f>
        <v>0.28999999999999998</v>
      </c>
      <c r="G298">
        <f>-0.662</f>
        <v>-0.66200000000000003</v>
      </c>
      <c r="H298">
        <f>0.716</f>
        <v>0.71599999999999997</v>
      </c>
    </row>
    <row r="299" spans="1:8" x14ac:dyDescent="0.25">
      <c r="A299" s="1">
        <v>44376</v>
      </c>
      <c r="B299">
        <f>2.0837</f>
        <v>2.0836999999999999</v>
      </c>
      <c r="C299">
        <f>1.4697</f>
        <v>1.4697</v>
      </c>
      <c r="D299">
        <f>0.2504</f>
        <v>0.25040000000000001</v>
      </c>
      <c r="E299">
        <f>-0.17</f>
        <v>-0.17</v>
      </c>
      <c r="F299">
        <f>0.335</f>
        <v>0.33500000000000002</v>
      </c>
      <c r="G299">
        <f>-0.652</f>
        <v>-0.65200000000000002</v>
      </c>
      <c r="H299">
        <f>0.738</f>
        <v>0.73799999999999999</v>
      </c>
    </row>
    <row r="300" spans="1:8" x14ac:dyDescent="0.25">
      <c r="A300" s="1">
        <v>44375</v>
      </c>
      <c r="B300">
        <f>2.0946</f>
        <v>2.0945999999999998</v>
      </c>
      <c r="C300">
        <f>1.4765</f>
        <v>1.4764999999999999</v>
      </c>
      <c r="D300">
        <f>0.2543</f>
        <v>0.25430000000000003</v>
      </c>
      <c r="E300">
        <f>-0.19</f>
        <v>-0.19</v>
      </c>
      <c r="F300">
        <f>0.311</f>
        <v>0.311</v>
      </c>
      <c r="G300">
        <f>-0.652</f>
        <v>-0.65200000000000002</v>
      </c>
      <c r="H300">
        <f>0.722</f>
        <v>0.72199999999999998</v>
      </c>
    </row>
    <row r="301" spans="1:8" x14ac:dyDescent="0.25">
      <c r="A301" s="1">
        <v>44372</v>
      </c>
      <c r="B301">
        <f>2.1487</f>
        <v>2.1486999999999998</v>
      </c>
      <c r="C301">
        <f>1.5241</f>
        <v>1.5241</v>
      </c>
      <c r="D301">
        <f>0.2661</f>
        <v>0.2661</v>
      </c>
      <c r="E301">
        <f>-0.155</f>
        <v>-0.155</v>
      </c>
      <c r="F301">
        <f>0.345</f>
        <v>0.34499999999999997</v>
      </c>
      <c r="G301">
        <f>-0.647</f>
        <v>-0.64700000000000002</v>
      </c>
      <c r="H301">
        <f>0.778</f>
        <v>0.77800000000000002</v>
      </c>
    </row>
    <row r="302" spans="1:8" x14ac:dyDescent="0.25">
      <c r="A302" s="1">
        <v>44371</v>
      </c>
      <c r="B302">
        <f>2.0981</f>
        <v>2.0981000000000001</v>
      </c>
      <c r="C302">
        <f>1.4919</f>
        <v>1.4919</v>
      </c>
      <c r="D302">
        <f>0.2681</f>
        <v>0.2681</v>
      </c>
      <c r="E302">
        <f>-0.188</f>
        <v>-0.188</v>
      </c>
      <c r="F302">
        <f>0.303</f>
        <v>0.30299999999999999</v>
      </c>
      <c r="G302">
        <f>-0.65</f>
        <v>-0.65</v>
      </c>
      <c r="H302">
        <f>0.741</f>
        <v>0.74099999999999999</v>
      </c>
    </row>
    <row r="303" spans="1:8" x14ac:dyDescent="0.25">
      <c r="A303" s="1">
        <v>44370</v>
      </c>
      <c r="B303">
        <f>2.1083</f>
        <v>2.1082999999999998</v>
      </c>
      <c r="C303">
        <f>1.4852</f>
        <v>1.4852000000000001</v>
      </c>
      <c r="D303">
        <f>0.2622</f>
        <v>0.26219999999999999</v>
      </c>
      <c r="E303">
        <f>-0.178</f>
        <v>-0.17799999999999999</v>
      </c>
      <c r="F303">
        <f>0.308</f>
        <v>0.308</v>
      </c>
      <c r="G303">
        <f>-0.653</f>
        <v>-0.65300000000000002</v>
      </c>
      <c r="H303">
        <f>0.78</f>
        <v>0.78</v>
      </c>
    </row>
    <row r="304" spans="1:8" x14ac:dyDescent="0.25">
      <c r="A304" s="1">
        <v>44369</v>
      </c>
      <c r="B304">
        <f>2.0859</f>
        <v>2.0859000000000001</v>
      </c>
      <c r="C304">
        <f>1.4632</f>
        <v>1.4632000000000001</v>
      </c>
      <c r="D304">
        <f>0.2281</f>
        <v>0.2281</v>
      </c>
      <c r="E304">
        <f>-0.164</f>
        <v>-0.16400000000000001</v>
      </c>
      <c r="F304">
        <f>0.317</f>
        <v>0.317</v>
      </c>
      <c r="G304">
        <f>-0.647</f>
        <v>-0.64700000000000002</v>
      </c>
      <c r="H304">
        <f>0.78</f>
        <v>0.78</v>
      </c>
    </row>
    <row r="305" spans="1:8" x14ac:dyDescent="0.25">
      <c r="A305" s="1">
        <v>44368</v>
      </c>
      <c r="B305">
        <f>2.1097</f>
        <v>2.1097000000000001</v>
      </c>
      <c r="C305">
        <f>1.4886</f>
        <v>1.4885999999999999</v>
      </c>
      <c r="D305">
        <f>0.2543</f>
        <v>0.25430000000000003</v>
      </c>
      <c r="E305">
        <f>-0.171</f>
        <v>-0.17100000000000001</v>
      </c>
      <c r="F305">
        <f>0.303</f>
        <v>0.30299999999999999</v>
      </c>
      <c r="G305">
        <f>-0.652</f>
        <v>-0.65200000000000002</v>
      </c>
      <c r="H305">
        <f>0.769</f>
        <v>0.76900000000000002</v>
      </c>
    </row>
    <row r="306" spans="1:8" x14ac:dyDescent="0.25">
      <c r="A306" s="1">
        <v>44365</v>
      </c>
      <c r="B306">
        <f>2.0127</f>
        <v>2.0127000000000002</v>
      </c>
      <c r="C306">
        <f>1.4381</f>
        <v>1.4380999999999999</v>
      </c>
      <c r="D306">
        <f>0.2541</f>
        <v>0.25409999999999999</v>
      </c>
      <c r="E306">
        <f>-0.2</f>
        <v>-0.2</v>
      </c>
      <c r="F306">
        <f>0.251</f>
        <v>0.251</v>
      </c>
      <c r="G306">
        <f>-0.667</f>
        <v>-0.66700000000000004</v>
      </c>
      <c r="H306">
        <f>0.752</f>
        <v>0.752</v>
      </c>
    </row>
    <row r="307" spans="1:8" x14ac:dyDescent="0.25">
      <c r="A307" s="1">
        <v>44364</v>
      </c>
      <c r="B307">
        <f>2.0927</f>
        <v>2.0926999999999998</v>
      </c>
      <c r="C307">
        <f>1.504</f>
        <v>1.504</v>
      </c>
      <c r="D307">
        <f>0.2093</f>
        <v>0.20930000000000001</v>
      </c>
      <c r="E307">
        <f>-0.195</f>
        <v>-0.19500000000000001</v>
      </c>
      <c r="F307">
        <f>0.282</f>
        <v>0.28199999999999997</v>
      </c>
      <c r="G307">
        <f>-0.669</f>
        <v>-0.66900000000000004</v>
      </c>
      <c r="H307">
        <f>0.776</f>
        <v>0.77600000000000002</v>
      </c>
    </row>
    <row r="308" spans="1:8" x14ac:dyDescent="0.25">
      <c r="A308" s="1">
        <v>44363</v>
      </c>
      <c r="B308">
        <f>2.2073</f>
        <v>2.2073</v>
      </c>
      <c r="C308">
        <f>1.5754</f>
        <v>1.5753999999999999</v>
      </c>
      <c r="D308">
        <f>0.2052</f>
        <v>0.20519999999999999</v>
      </c>
      <c r="E308">
        <f>-0.25</f>
        <v>-0.25</v>
      </c>
      <c r="F308">
        <f>0.305</f>
        <v>0.30499999999999999</v>
      </c>
      <c r="G308">
        <f>-0.677</f>
        <v>-0.67700000000000005</v>
      </c>
      <c r="H308">
        <f>0.739</f>
        <v>0.73899999999999999</v>
      </c>
    </row>
    <row r="309" spans="1:8" x14ac:dyDescent="0.25">
      <c r="A309" s="1">
        <v>44362</v>
      </c>
      <c r="B309">
        <f>2.1864</f>
        <v>2.1863999999999999</v>
      </c>
      <c r="C309">
        <f>1.4922</f>
        <v>1.4922</v>
      </c>
      <c r="D309">
        <f>0.163</f>
        <v>0.16300000000000001</v>
      </c>
      <c r="E309">
        <f>-0.232</f>
        <v>-0.23200000000000001</v>
      </c>
      <c r="F309">
        <f>0.322</f>
        <v>0.32200000000000001</v>
      </c>
      <c r="G309">
        <f>-0.672</f>
        <v>-0.67200000000000004</v>
      </c>
      <c r="H309">
        <f>0.758</f>
        <v>0.75800000000000001</v>
      </c>
    </row>
    <row r="310" spans="1:8" x14ac:dyDescent="0.25">
      <c r="A310" s="1">
        <v>44361</v>
      </c>
      <c r="B310">
        <f>2.1822</f>
        <v>2.1821999999999999</v>
      </c>
      <c r="C310">
        <f>1.494</f>
        <v>1.494</v>
      </c>
      <c r="D310">
        <f>0.157</f>
        <v>0.157</v>
      </c>
      <c r="E310">
        <f>-0.251</f>
        <v>-0.251</v>
      </c>
      <c r="F310">
        <f>0.307</f>
        <v>0.307</v>
      </c>
      <c r="G310">
        <f>-0.673</f>
        <v>-0.67300000000000004</v>
      </c>
      <c r="H310">
        <f>0.741</f>
        <v>0.74099999999999999</v>
      </c>
    </row>
    <row r="311" spans="1:8" x14ac:dyDescent="0.25">
      <c r="A311" s="1">
        <v>44358</v>
      </c>
      <c r="B311">
        <f>2.1379</f>
        <v>2.1379000000000001</v>
      </c>
      <c r="C311">
        <f>1.4518</f>
        <v>1.4518</v>
      </c>
      <c r="D311">
        <f>0.1469</f>
        <v>0.1469</v>
      </c>
      <c r="E311">
        <f>-0.274</f>
        <v>-0.27400000000000002</v>
      </c>
      <c r="F311">
        <f>0.286</f>
        <v>0.28599999999999998</v>
      </c>
      <c r="G311">
        <f>-0.683</f>
        <v>-0.68300000000000005</v>
      </c>
      <c r="H311">
        <f>0.708</f>
        <v>0.70799999999999996</v>
      </c>
    </row>
    <row r="312" spans="1:8" x14ac:dyDescent="0.25">
      <c r="A312" s="1">
        <v>44357</v>
      </c>
      <c r="B312">
        <f>2.127</f>
        <v>2.1269999999999998</v>
      </c>
      <c r="C312">
        <f>1.4318</f>
        <v>1.4318</v>
      </c>
      <c r="D312">
        <f>0.1429</f>
        <v>0.1429</v>
      </c>
      <c r="E312">
        <f>-0.256</f>
        <v>-0.25600000000000001</v>
      </c>
      <c r="F312">
        <f>0.312</f>
        <v>0.312</v>
      </c>
      <c r="G312">
        <f>-0.685</f>
        <v>-0.68500000000000005</v>
      </c>
      <c r="H312">
        <f>0.747</f>
        <v>0.747</v>
      </c>
    </row>
    <row r="313" spans="1:8" x14ac:dyDescent="0.25">
      <c r="A313" s="1">
        <v>44356</v>
      </c>
      <c r="B313">
        <f>2.1684</f>
        <v>2.1684000000000001</v>
      </c>
      <c r="C313">
        <f>1.4908</f>
        <v>1.4907999999999999</v>
      </c>
      <c r="D313">
        <f>0.1548</f>
        <v>0.15479999999999999</v>
      </c>
      <c r="E313">
        <f>-0.244</f>
        <v>-0.24399999999999999</v>
      </c>
      <c r="F313">
        <f>0.312</f>
        <v>0.312</v>
      </c>
      <c r="G313">
        <f>-0.676</f>
        <v>-0.67600000000000005</v>
      </c>
      <c r="H313">
        <f>0.73</f>
        <v>0.73</v>
      </c>
    </row>
    <row r="314" spans="1:8" x14ac:dyDescent="0.25">
      <c r="A314" s="1">
        <v>44355</v>
      </c>
      <c r="B314">
        <f>2.2151</f>
        <v>2.2151000000000001</v>
      </c>
      <c r="C314">
        <f>1.5331</f>
        <v>1.5330999999999999</v>
      </c>
      <c r="D314">
        <f>0.1508</f>
        <v>0.15079999999999999</v>
      </c>
      <c r="E314">
        <f>-0.224</f>
        <v>-0.224</v>
      </c>
      <c r="F314">
        <f>0.327</f>
        <v>0.32700000000000001</v>
      </c>
      <c r="G314">
        <f>-0.669</f>
        <v>-0.66900000000000004</v>
      </c>
      <c r="H314">
        <f>0.77</f>
        <v>0.77</v>
      </c>
    </row>
    <row r="315" spans="1:8" x14ac:dyDescent="0.25">
      <c r="A315" s="1">
        <v>44354</v>
      </c>
      <c r="B315">
        <f>2.2468</f>
        <v>2.2467999999999999</v>
      </c>
      <c r="C315">
        <f>1.5687</f>
        <v>1.5687</v>
      </c>
      <c r="D315">
        <f>0.1547</f>
        <v>0.1547</v>
      </c>
      <c r="E315">
        <f>-0.198</f>
        <v>-0.19800000000000001</v>
      </c>
      <c r="F315">
        <f>0.357</f>
        <v>0.35699999999999998</v>
      </c>
      <c r="G315">
        <f>-0.664</f>
        <v>-0.66400000000000003</v>
      </c>
      <c r="H315">
        <f>0.806</f>
        <v>0.80600000000000005</v>
      </c>
    </row>
    <row r="316" spans="1:8" x14ac:dyDescent="0.25">
      <c r="A316" s="1">
        <v>44351</v>
      </c>
      <c r="B316">
        <f>2.2313</f>
        <v>2.2313000000000001</v>
      </c>
      <c r="C316">
        <f>1.5534</f>
        <v>1.5533999999999999</v>
      </c>
      <c r="D316">
        <f>0.1448</f>
        <v>0.14480000000000001</v>
      </c>
      <c r="E316">
        <f>-0.213</f>
        <v>-0.21299999999999999</v>
      </c>
      <c r="F316">
        <f>0.351</f>
        <v>0.35099999999999998</v>
      </c>
      <c r="G316">
        <f>-0.671</f>
        <v>-0.67100000000000004</v>
      </c>
      <c r="H316">
        <f>0.79</f>
        <v>0.79</v>
      </c>
    </row>
    <row r="317" spans="1:8" x14ac:dyDescent="0.25">
      <c r="A317" s="1">
        <v>44350</v>
      </c>
      <c r="B317">
        <f>2.296</f>
        <v>2.2959999999999998</v>
      </c>
      <c r="C317">
        <f>1.625</f>
        <v>1.625</v>
      </c>
      <c r="D317">
        <f>0.1545</f>
        <v>0.1545</v>
      </c>
      <c r="E317">
        <f>-0.183</f>
        <v>-0.183</v>
      </c>
      <c r="F317">
        <f>0.379</f>
        <v>0.379</v>
      </c>
      <c r="G317">
        <f>-0.668</f>
        <v>-0.66800000000000004</v>
      </c>
      <c r="H317">
        <f>0.841</f>
        <v>0.84099999999999997</v>
      </c>
    </row>
    <row r="318" spans="1:8" x14ac:dyDescent="0.25">
      <c r="A318" s="1">
        <v>44349</v>
      </c>
      <c r="B318">
        <f>2.2717</f>
        <v>2.2717000000000001</v>
      </c>
      <c r="C318">
        <f>1.5875</f>
        <v>1.5874999999999999</v>
      </c>
      <c r="D318">
        <f>0.1446</f>
        <v>0.14460000000000001</v>
      </c>
      <c r="E318">
        <f>-0.198</f>
        <v>-0.19800000000000001</v>
      </c>
      <c r="F318">
        <f>0.363</f>
        <v>0.36299999999999999</v>
      </c>
      <c r="G318">
        <f>-0.663</f>
        <v>-0.66300000000000003</v>
      </c>
      <c r="H318">
        <f>0.799</f>
        <v>0.79900000000000004</v>
      </c>
    </row>
    <row r="319" spans="1:8" x14ac:dyDescent="0.25">
      <c r="A319" s="1">
        <v>44348</v>
      </c>
      <c r="B319">
        <f>2.2867</f>
        <v>2.2867000000000002</v>
      </c>
      <c r="C319">
        <f>1.6062</f>
        <v>1.6062000000000001</v>
      </c>
      <c r="D319">
        <f>0.1466</f>
        <v>0.14660000000000001</v>
      </c>
      <c r="E319">
        <f>-0.178</f>
        <v>-0.17799999999999999</v>
      </c>
      <c r="F319">
        <f>0.382</f>
        <v>0.38200000000000001</v>
      </c>
      <c r="G319">
        <f>-0.659</f>
        <v>-0.65900000000000003</v>
      </c>
      <c r="H319">
        <f>0.826</f>
        <v>0.82599999999999996</v>
      </c>
    </row>
    <row r="320" spans="1:8" x14ac:dyDescent="0.25">
      <c r="A320" s="1">
        <v>44347</v>
      </c>
      <c r="B320">
        <f>2.2824</f>
        <v>2.2824</v>
      </c>
      <c r="C320">
        <f>1.5943</f>
        <v>1.5943000000000001</v>
      </c>
      <c r="D320">
        <f>0.1407</f>
        <v>0.14069999999999999</v>
      </c>
      <c r="E320">
        <f>-0.187</f>
        <v>-0.187</v>
      </c>
      <c r="F320">
        <f>0.367</f>
        <v>0.36699999999999999</v>
      </c>
      <c r="G320">
        <f>-0.662</f>
        <v>-0.66200000000000003</v>
      </c>
      <c r="H320">
        <f>0.795</f>
        <v>0.79500000000000004</v>
      </c>
    </row>
    <row r="321" spans="1:8" x14ac:dyDescent="0.25">
      <c r="A321" s="1">
        <v>44344</v>
      </c>
      <c r="B321">
        <f>2.2824</f>
        <v>2.2824</v>
      </c>
      <c r="C321">
        <f>1.5943</f>
        <v>1.5943000000000001</v>
      </c>
      <c r="D321">
        <f>0.1407</f>
        <v>0.14069999999999999</v>
      </c>
      <c r="E321">
        <f>-0.183</f>
        <v>-0.183</v>
      </c>
      <c r="F321">
        <f>0.385</f>
        <v>0.38500000000000001</v>
      </c>
      <c r="G321">
        <f>-0.662</f>
        <v>-0.66200000000000003</v>
      </c>
      <c r="H321">
        <f>0.795</f>
        <v>0.79500000000000004</v>
      </c>
    </row>
    <row r="322" spans="1:8" x14ac:dyDescent="0.25">
      <c r="A322" s="1">
        <v>44343</v>
      </c>
      <c r="B322">
        <f>2.2825</f>
        <v>2.2825000000000002</v>
      </c>
      <c r="C322">
        <f>1.6062</f>
        <v>1.6062000000000001</v>
      </c>
      <c r="D322">
        <f>0.1446</f>
        <v>0.14460000000000001</v>
      </c>
      <c r="E322">
        <f>-0.172</f>
        <v>-0.17199999999999999</v>
      </c>
      <c r="F322">
        <f>0.389</f>
        <v>0.38900000000000001</v>
      </c>
      <c r="G322">
        <f>-0.656</f>
        <v>-0.65600000000000003</v>
      </c>
      <c r="H322">
        <f>0.81</f>
        <v>0.81</v>
      </c>
    </row>
    <row r="323" spans="1:8" x14ac:dyDescent="0.25">
      <c r="A323" s="1">
        <v>44342</v>
      </c>
      <c r="B323">
        <f>2.2561</f>
        <v>2.2561</v>
      </c>
      <c r="C323">
        <f>1.5757</f>
        <v>1.5757000000000001</v>
      </c>
      <c r="D323">
        <f>0.1485</f>
        <v>0.14849999999999999</v>
      </c>
      <c r="E323">
        <f>-0.206</f>
        <v>-0.20599999999999999</v>
      </c>
      <c r="F323">
        <f>0.349</f>
        <v>0.34899999999999998</v>
      </c>
      <c r="G323">
        <f>-0.666</f>
        <v>-0.66600000000000004</v>
      </c>
      <c r="H323">
        <f>0.752</f>
        <v>0.752</v>
      </c>
    </row>
    <row r="324" spans="1:8" x14ac:dyDescent="0.25">
      <c r="A324" s="1">
        <v>44341</v>
      </c>
      <c r="B324">
        <f>2.2477</f>
        <v>2.2477</v>
      </c>
      <c r="C324">
        <f>1.5588</f>
        <v>1.5588</v>
      </c>
      <c r="D324">
        <f>0.1412</f>
        <v>0.14119999999999999</v>
      </c>
      <c r="E324">
        <f>-0.167</f>
        <v>-0.16700000000000001</v>
      </c>
      <c r="F324">
        <f>0.396</f>
        <v>0.39600000000000002</v>
      </c>
      <c r="G324">
        <f>-0.663</f>
        <v>-0.66300000000000003</v>
      </c>
      <c r="H324">
        <f>0.786</f>
        <v>0.78600000000000003</v>
      </c>
    </row>
    <row r="325" spans="1:8" x14ac:dyDescent="0.25">
      <c r="A325" s="1">
        <v>44340</v>
      </c>
      <c r="B325">
        <f>2.2989</f>
        <v>2.2989000000000002</v>
      </c>
      <c r="C325">
        <f>1.6012</f>
        <v>1.6012</v>
      </c>
      <c r="D325">
        <f>0.1493</f>
        <v>0.14929999999999999</v>
      </c>
      <c r="E325">
        <f>-0.14</f>
        <v>-0.14000000000000001</v>
      </c>
      <c r="F325">
        <f>0.419</f>
        <v>0.41899999999999998</v>
      </c>
      <c r="G325">
        <f>-0.656</f>
        <v>-0.65600000000000003</v>
      </c>
      <c r="H325">
        <f>0.811</f>
        <v>0.81100000000000005</v>
      </c>
    </row>
    <row r="326" spans="1:8" x14ac:dyDescent="0.25">
      <c r="A326" s="1">
        <v>44337</v>
      </c>
      <c r="B326">
        <f>2.3176</f>
        <v>2.3176000000000001</v>
      </c>
      <c r="C326">
        <f>1.6216</f>
        <v>1.6215999999999999</v>
      </c>
      <c r="D326">
        <f>0.1533</f>
        <v>0.15329999999999999</v>
      </c>
      <c r="E326">
        <f>-0.13</f>
        <v>-0.13</v>
      </c>
      <c r="F326">
        <f>0.422</f>
        <v>0.42199999999999999</v>
      </c>
      <c r="G326">
        <f>-0.654</f>
        <v>-0.65400000000000003</v>
      </c>
      <c r="H326">
        <f>0.83</f>
        <v>0.83</v>
      </c>
    </row>
    <row r="327" spans="1:8" x14ac:dyDescent="0.25">
      <c r="A327" s="1">
        <v>44336</v>
      </c>
      <c r="B327">
        <f>2.3306</f>
        <v>2.3306</v>
      </c>
      <c r="C327">
        <f>1.625</f>
        <v>1.625</v>
      </c>
      <c r="D327">
        <f>0.1451</f>
        <v>0.14510000000000001</v>
      </c>
      <c r="E327">
        <f>-0.109</f>
        <v>-0.109</v>
      </c>
      <c r="F327">
        <f>0.437</f>
        <v>0.437</v>
      </c>
      <c r="G327">
        <f>-0.645</f>
        <v>-0.64500000000000002</v>
      </c>
      <c r="H327">
        <f>0.839</f>
        <v>0.83899999999999997</v>
      </c>
    </row>
    <row r="328" spans="1:8" x14ac:dyDescent="0.25">
      <c r="A328" s="1">
        <v>44335</v>
      </c>
      <c r="B328">
        <f>2.3691</f>
        <v>2.3691</v>
      </c>
      <c r="C328">
        <f>1.671</f>
        <v>1.671</v>
      </c>
      <c r="D328">
        <f>0.1552</f>
        <v>0.1552</v>
      </c>
      <c r="E328">
        <f>-0.11</f>
        <v>-0.11</v>
      </c>
      <c r="F328">
        <f>0.447</f>
        <v>0.44700000000000001</v>
      </c>
      <c r="G328">
        <f>-0.647</f>
        <v>-0.64700000000000002</v>
      </c>
      <c r="H328">
        <f>0.848</f>
        <v>0.84799999999999998</v>
      </c>
    </row>
    <row r="329" spans="1:8" x14ac:dyDescent="0.25">
      <c r="A329" s="1">
        <v>44334</v>
      </c>
      <c r="B329">
        <f>2.3597</f>
        <v>2.3597000000000001</v>
      </c>
      <c r="C329">
        <f>1.6369</f>
        <v>1.6369</v>
      </c>
      <c r="D329">
        <f>0.1491</f>
        <v>0.14910000000000001</v>
      </c>
      <c r="E329">
        <f>-0.103</f>
        <v>-0.10299999999999999</v>
      </c>
      <c r="F329">
        <f>0.464</f>
        <v>0.46400000000000002</v>
      </c>
      <c r="G329">
        <f>-0.644</f>
        <v>-0.64400000000000002</v>
      </c>
      <c r="H329">
        <f>0.868</f>
        <v>0.86799999999999999</v>
      </c>
    </row>
    <row r="330" spans="1:8" x14ac:dyDescent="0.25">
      <c r="A330" s="1">
        <v>44333</v>
      </c>
      <c r="B330">
        <f>2.3626</f>
        <v>2.3626</v>
      </c>
      <c r="C330">
        <f>1.6488</f>
        <v>1.6488</v>
      </c>
      <c r="D330">
        <f>0.1531</f>
        <v>0.15310000000000001</v>
      </c>
      <c r="E330">
        <f>-0.115</f>
        <v>-0.115</v>
      </c>
      <c r="F330">
        <f>0.446</f>
        <v>0.44600000000000001</v>
      </c>
      <c r="G330">
        <f>-0.655</f>
        <v>-0.65500000000000003</v>
      </c>
      <c r="H330">
        <f>0.865</f>
        <v>0.86499999999999999</v>
      </c>
    </row>
    <row r="331" spans="1:8" x14ac:dyDescent="0.25">
      <c r="A331" s="1">
        <v>44330</v>
      </c>
      <c r="B331">
        <f>2.3401</f>
        <v>2.3401000000000001</v>
      </c>
      <c r="C331">
        <f>1.6284</f>
        <v>1.6284000000000001</v>
      </c>
      <c r="D331">
        <f>0.147</f>
        <v>0.14699999999999999</v>
      </c>
      <c r="E331">
        <f>-0.129</f>
        <v>-0.129</v>
      </c>
      <c r="F331">
        <f>0.434</f>
        <v>0.434</v>
      </c>
      <c r="G331">
        <f>-0.656</f>
        <v>-0.65600000000000003</v>
      </c>
      <c r="H331">
        <f>0.857</f>
        <v>0.85699999999999998</v>
      </c>
    </row>
    <row r="332" spans="1:8" x14ac:dyDescent="0.25">
      <c r="A332" s="1">
        <v>44329</v>
      </c>
      <c r="B332">
        <f>2.3955</f>
        <v>2.3955000000000002</v>
      </c>
      <c r="C332">
        <f>1.6574</f>
        <v>1.6574</v>
      </c>
      <c r="D332">
        <f>0.1529</f>
        <v>0.15290000000000001</v>
      </c>
      <c r="E332">
        <f>-0.12</f>
        <v>-0.12</v>
      </c>
      <c r="F332">
        <f>0.437</f>
        <v>0.437</v>
      </c>
      <c r="G332">
        <f>-0.658</f>
        <v>-0.65800000000000003</v>
      </c>
      <c r="H332">
        <f>0.898</f>
        <v>0.89800000000000002</v>
      </c>
    </row>
    <row r="333" spans="1:8" x14ac:dyDescent="0.25">
      <c r="A333" s="1">
        <v>44328</v>
      </c>
      <c r="B333">
        <f>2.4113</f>
        <v>2.4113000000000002</v>
      </c>
      <c r="C333">
        <f>1.6916</f>
        <v>1.6916</v>
      </c>
      <c r="D333">
        <f>0.1629</f>
        <v>0.16289999999999999</v>
      </c>
      <c r="E333">
        <f>-0.123</f>
        <v>-0.123</v>
      </c>
      <c r="F333">
        <f>0.446</f>
        <v>0.44600000000000001</v>
      </c>
      <c r="G333">
        <f>-0.656</f>
        <v>-0.65600000000000003</v>
      </c>
      <c r="H333">
        <f>0.886</f>
        <v>0.88600000000000001</v>
      </c>
    </row>
    <row r="334" spans="1:8" x14ac:dyDescent="0.25">
      <c r="A334" s="1">
        <v>44327</v>
      </c>
      <c r="B334">
        <f>2.3451</f>
        <v>2.3451</v>
      </c>
      <c r="C334">
        <f>1.6217</f>
        <v>1.6216999999999999</v>
      </c>
      <c r="D334">
        <f>0.1588</f>
        <v>0.1588</v>
      </c>
      <c r="E334">
        <f>-0.161</f>
        <v>-0.161</v>
      </c>
      <c r="F334">
        <f>0.408</f>
        <v>0.40799999999999997</v>
      </c>
      <c r="G334">
        <f>-0.668</f>
        <v>-0.66800000000000004</v>
      </c>
      <c r="H334">
        <f>0.833</f>
        <v>0.83299999999999996</v>
      </c>
    </row>
    <row r="335" spans="1:8" x14ac:dyDescent="0.25">
      <c r="A335" s="1">
        <v>44326</v>
      </c>
      <c r="B335">
        <f>2.3256</f>
        <v>2.3256000000000001</v>
      </c>
      <c r="C335">
        <f>1.602</f>
        <v>1.6020000000000001</v>
      </c>
      <c r="D335">
        <f>0.1528</f>
        <v>0.15279999999999999</v>
      </c>
      <c r="E335">
        <f>-0.212</f>
        <v>-0.21199999999999999</v>
      </c>
      <c r="F335">
        <f>0.359</f>
        <v>0.35899999999999999</v>
      </c>
      <c r="G335">
        <f>-0.686</f>
        <v>-0.68600000000000005</v>
      </c>
      <c r="H335">
        <f>0.788</f>
        <v>0.78800000000000003</v>
      </c>
    </row>
    <row r="336" spans="1:8" x14ac:dyDescent="0.25">
      <c r="A336" s="1">
        <v>44323</v>
      </c>
      <c r="B336">
        <f>2.2769</f>
        <v>2.2768999999999999</v>
      </c>
      <c r="C336">
        <f>1.5771</f>
        <v>1.5770999999999999</v>
      </c>
      <c r="D336">
        <f>0.1448</f>
        <v>0.14480000000000001</v>
      </c>
      <c r="E336">
        <f>-0.215</f>
        <v>-0.215</v>
      </c>
      <c r="F336">
        <f>0.351</f>
        <v>0.35099999999999998</v>
      </c>
      <c r="G336">
        <f>-0.686</f>
        <v>-0.68600000000000005</v>
      </c>
      <c r="H336">
        <f>0.775</f>
        <v>0.77500000000000002</v>
      </c>
    </row>
    <row r="337" spans="1:8" x14ac:dyDescent="0.25">
      <c r="A337" s="1">
        <v>44322</v>
      </c>
      <c r="B337">
        <f>2.2417</f>
        <v>2.2416999999999998</v>
      </c>
      <c r="C337">
        <f>1.5696</f>
        <v>1.5696000000000001</v>
      </c>
      <c r="D337">
        <f>0.1527</f>
        <v>0.1527</v>
      </c>
      <c r="E337">
        <f>-0.225</f>
        <v>-0.22500000000000001</v>
      </c>
      <c r="F337">
        <f>0.341</f>
        <v>0.34100000000000003</v>
      </c>
      <c r="G337">
        <f>-0.691</f>
        <v>-0.69099999999999995</v>
      </c>
      <c r="H337">
        <f>0.792</f>
        <v>0.79200000000000004</v>
      </c>
    </row>
    <row r="338" spans="1:8" x14ac:dyDescent="0.25">
      <c r="A338" s="1">
        <v>44321</v>
      </c>
      <c r="B338">
        <f>2.2425</f>
        <v>2.2425000000000002</v>
      </c>
      <c r="C338">
        <f>1.566</f>
        <v>1.5660000000000001</v>
      </c>
      <c r="D338">
        <f>0.1506</f>
        <v>0.15060000000000001</v>
      </c>
      <c r="E338">
        <f>-0.228</f>
        <v>-0.22800000000000001</v>
      </c>
      <c r="F338">
        <f>0.331</f>
        <v>0.33100000000000002</v>
      </c>
      <c r="G338">
        <f>-0.695</f>
        <v>-0.69499999999999995</v>
      </c>
      <c r="H338">
        <f>0.819</f>
        <v>0.81899999999999995</v>
      </c>
    </row>
    <row r="339" spans="1:8" x14ac:dyDescent="0.25">
      <c r="A339" s="1">
        <v>44320</v>
      </c>
      <c r="B339">
        <f>2.2615</f>
        <v>2.2614999999999998</v>
      </c>
      <c r="C339">
        <f>1.5924</f>
        <v>1.5924</v>
      </c>
      <c r="D339">
        <f>0.1585</f>
        <v>0.1585</v>
      </c>
      <c r="E339">
        <f>-0.238</f>
        <v>-0.23799999999999999</v>
      </c>
      <c r="F339">
        <f>0.315</f>
        <v>0.315</v>
      </c>
      <c r="G339">
        <f>-0.697</f>
        <v>-0.69699999999999995</v>
      </c>
      <c r="H339">
        <f>0.795</f>
        <v>0.79500000000000004</v>
      </c>
    </row>
    <row r="340" spans="1:8" x14ac:dyDescent="0.25">
      <c r="A340" s="1">
        <v>44319</v>
      </c>
      <c r="B340">
        <f>2.2837</f>
        <v>2.2837000000000001</v>
      </c>
      <c r="C340">
        <f>1.5976</f>
        <v>1.5975999999999999</v>
      </c>
      <c r="D340">
        <f>0.1585</f>
        <v>0.1585</v>
      </c>
      <c r="E340">
        <f>-0.204</f>
        <v>-0.20399999999999999</v>
      </c>
      <c r="F340">
        <f>0.359</f>
        <v>0.35899999999999999</v>
      </c>
      <c r="G340">
        <f>-0.686</f>
        <v>-0.68600000000000005</v>
      </c>
      <c r="H340">
        <f>0.842</f>
        <v>0.84199999999999997</v>
      </c>
    </row>
    <row r="341" spans="1:8" x14ac:dyDescent="0.25">
      <c r="A341" s="1">
        <v>44316</v>
      </c>
      <c r="B341">
        <f>2.2967</f>
        <v>2.2967</v>
      </c>
      <c r="C341">
        <f>1.6259</f>
        <v>1.6258999999999999</v>
      </c>
      <c r="D341">
        <f>0.1584</f>
        <v>0.15840000000000001</v>
      </c>
      <c r="E341">
        <f>-0.202</f>
        <v>-0.20200000000000001</v>
      </c>
      <c r="F341">
        <f>0.357</f>
        <v>0.35699999999999998</v>
      </c>
      <c r="G341">
        <f>-0.682</f>
        <v>-0.68200000000000005</v>
      </c>
      <c r="H341">
        <f>0.842</f>
        <v>0.84199999999999997</v>
      </c>
    </row>
    <row r="342" spans="1:8" x14ac:dyDescent="0.25">
      <c r="A342" s="1">
        <v>44315</v>
      </c>
      <c r="B342">
        <f>2.2982</f>
        <v>2.2982</v>
      </c>
      <c r="C342">
        <f>1.6343</f>
        <v>1.6343000000000001</v>
      </c>
      <c r="D342">
        <f>0.1622</f>
        <v>0.16220000000000001</v>
      </c>
      <c r="E342">
        <f>-0.193</f>
        <v>-0.193</v>
      </c>
      <c r="F342">
        <f>0.36</f>
        <v>0.36</v>
      </c>
      <c r="G342">
        <f>-0.678</f>
        <v>-0.67800000000000005</v>
      </c>
      <c r="H342">
        <f>0.843</f>
        <v>0.84299999999999997</v>
      </c>
    </row>
    <row r="343" spans="1:8" x14ac:dyDescent="0.25">
      <c r="A343" s="1">
        <v>44314</v>
      </c>
      <c r="B343">
        <f>2.2889</f>
        <v>2.2888999999999999</v>
      </c>
      <c r="C343">
        <f>1.6094</f>
        <v>1.6093999999999999</v>
      </c>
      <c r="D343">
        <f>0.1641</f>
        <v>0.1641</v>
      </c>
      <c r="E343">
        <f>-0.231</f>
        <v>-0.23100000000000001</v>
      </c>
      <c r="F343">
        <f>0.311</f>
        <v>0.311</v>
      </c>
      <c r="G343">
        <f>-0.685</f>
        <v>-0.68500000000000005</v>
      </c>
      <c r="H343">
        <f>0.797</f>
        <v>0.79700000000000004</v>
      </c>
    </row>
    <row r="344" spans="1:8" x14ac:dyDescent="0.25">
      <c r="A344" s="1">
        <v>44313</v>
      </c>
      <c r="B344">
        <f>2.2942</f>
        <v>2.2942</v>
      </c>
      <c r="C344">
        <f>1.6216</f>
        <v>1.6215999999999999</v>
      </c>
      <c r="D344">
        <f>0.1798</f>
        <v>0.17979999999999999</v>
      </c>
      <c r="E344">
        <f>-0.249</f>
        <v>-0.249</v>
      </c>
      <c r="F344">
        <f>0.292</f>
        <v>0.29199999999999998</v>
      </c>
      <c r="G344">
        <f>-0.688</f>
        <v>-0.68799999999999994</v>
      </c>
      <c r="H344">
        <f>0.774</f>
        <v>0.77400000000000002</v>
      </c>
    </row>
    <row r="345" spans="1:8" x14ac:dyDescent="0.25">
      <c r="A345" s="1">
        <v>44312</v>
      </c>
      <c r="B345">
        <f>2.24</f>
        <v>2.2400000000000002</v>
      </c>
      <c r="C345">
        <f>1.5667</f>
        <v>1.5667</v>
      </c>
      <c r="D345">
        <f>0.1677</f>
        <v>0.16769999999999999</v>
      </c>
      <c r="E345">
        <f>-0.253</f>
        <v>-0.253</v>
      </c>
      <c r="F345">
        <f>0.288</f>
        <v>0.28799999999999998</v>
      </c>
      <c r="G345">
        <f>-0.689</f>
        <v>-0.68899999999999995</v>
      </c>
      <c r="H345">
        <f>0.756</f>
        <v>0.75600000000000001</v>
      </c>
    </row>
    <row r="346" spans="1:8" x14ac:dyDescent="0.25">
      <c r="A346" s="1">
        <v>44309</v>
      </c>
      <c r="B346">
        <f>2.2339</f>
        <v>2.2339000000000002</v>
      </c>
      <c r="C346">
        <f>1.5577</f>
        <v>1.5577000000000001</v>
      </c>
      <c r="D346">
        <f>0.1575</f>
        <v>0.1575</v>
      </c>
      <c r="E346">
        <f>-0.257</f>
        <v>-0.25700000000000001</v>
      </c>
      <c r="F346">
        <f>0.29</f>
        <v>0.28999999999999998</v>
      </c>
      <c r="G346">
        <f>-0.691</f>
        <v>-0.69099999999999995</v>
      </c>
      <c r="H346">
        <f>0.744</f>
        <v>0.74399999999999999</v>
      </c>
    </row>
    <row r="347" spans="1:8" x14ac:dyDescent="0.25">
      <c r="A347" s="1">
        <v>44308</v>
      </c>
      <c r="B347">
        <f>2.218</f>
        <v>2.218</v>
      </c>
      <c r="C347">
        <f>1.538</f>
        <v>1.538</v>
      </c>
      <c r="D347">
        <f>0.1472</f>
        <v>0.1472</v>
      </c>
      <c r="E347">
        <f>-0.252</f>
        <v>-0.252</v>
      </c>
      <c r="F347">
        <f>0.286</f>
        <v>0.28599999999999998</v>
      </c>
      <c r="G347">
        <f>-0.69</f>
        <v>-0.69</v>
      </c>
      <c r="H347">
        <f>0.74</f>
        <v>0.74</v>
      </c>
    </row>
    <row r="348" spans="1:8" x14ac:dyDescent="0.25">
      <c r="A348" s="1">
        <v>44307</v>
      </c>
      <c r="B348">
        <f>2.2505</f>
        <v>2.2505000000000002</v>
      </c>
      <c r="C348">
        <f>1.5555</f>
        <v>1.5555000000000001</v>
      </c>
      <c r="D348">
        <f>0.1472</f>
        <v>0.1472</v>
      </c>
      <c r="E348">
        <f>-0.262</f>
        <v>-0.26200000000000001</v>
      </c>
      <c r="F348">
        <f>0.281</f>
        <v>0.28100000000000003</v>
      </c>
      <c r="G348">
        <f>-0.696</f>
        <v>-0.69599999999999995</v>
      </c>
      <c r="H348">
        <f>0.74</f>
        <v>0.74</v>
      </c>
    </row>
    <row r="349" spans="1:8" x14ac:dyDescent="0.25">
      <c r="A349" s="1">
        <v>44306</v>
      </c>
      <c r="B349">
        <f>2.2512</f>
        <v>2.2511999999999999</v>
      </c>
      <c r="C349">
        <f>1.5589</f>
        <v>1.5589</v>
      </c>
      <c r="D349">
        <f>0.1492</f>
        <v>0.1492</v>
      </c>
      <c r="E349">
        <f>-0.262</f>
        <v>-0.26200000000000001</v>
      </c>
      <c r="F349">
        <f>0.281</f>
        <v>0.28100000000000003</v>
      </c>
      <c r="G349">
        <f>-0.693</f>
        <v>-0.69299999999999995</v>
      </c>
      <c r="H349">
        <f>0.731</f>
        <v>0.73099999999999998</v>
      </c>
    </row>
    <row r="350" spans="1:8" x14ac:dyDescent="0.25">
      <c r="A350" s="1">
        <v>44305</v>
      </c>
      <c r="B350">
        <f>2.2963</f>
        <v>2.2963</v>
      </c>
      <c r="C350">
        <f>1.6047</f>
        <v>1.6047</v>
      </c>
      <c r="D350">
        <f>0.1572</f>
        <v>0.15720000000000001</v>
      </c>
      <c r="E350">
        <f>-0.235</f>
        <v>-0.23499999999999999</v>
      </c>
      <c r="F350">
        <f>0.311</f>
        <v>0.311</v>
      </c>
      <c r="G350">
        <f>-0.682</f>
        <v>-0.68200000000000005</v>
      </c>
      <c r="H350">
        <f>0.755</f>
        <v>0.755</v>
      </c>
    </row>
    <row r="351" spans="1:8" x14ac:dyDescent="0.25">
      <c r="A351" s="1">
        <v>44302</v>
      </c>
      <c r="B351">
        <f>2.2649</f>
        <v>2.2648999999999999</v>
      </c>
      <c r="C351">
        <f>1.5798</f>
        <v>1.5798000000000001</v>
      </c>
      <c r="D351">
        <f>0.1612</f>
        <v>0.16120000000000001</v>
      </c>
      <c r="E351">
        <f>-0.262</f>
        <v>-0.26200000000000001</v>
      </c>
      <c r="F351">
        <f>0.295</f>
        <v>0.29499999999999998</v>
      </c>
      <c r="G351">
        <f>-0.69</f>
        <v>-0.69</v>
      </c>
      <c r="H351">
        <f>0.764</f>
        <v>0.76400000000000001</v>
      </c>
    </row>
    <row r="352" spans="1:8" x14ac:dyDescent="0.25">
      <c r="A352" s="1">
        <v>44301</v>
      </c>
      <c r="B352">
        <f>2.2694</f>
        <v>2.2694000000000001</v>
      </c>
      <c r="C352">
        <f>1.5759</f>
        <v>1.5759000000000001</v>
      </c>
      <c r="D352">
        <f>0.159</f>
        <v>0.159</v>
      </c>
      <c r="E352">
        <f>-0.29</f>
        <v>-0.28999999999999998</v>
      </c>
      <c r="F352">
        <f>0.267</f>
        <v>0.26700000000000002</v>
      </c>
      <c r="G352">
        <f>-0.699</f>
        <v>-0.69899999999999995</v>
      </c>
      <c r="H352">
        <f>0.737</f>
        <v>0.73699999999999999</v>
      </c>
    </row>
    <row r="353" spans="1:8" x14ac:dyDescent="0.25">
      <c r="A353" s="1">
        <v>44300</v>
      </c>
      <c r="B353">
        <f>2.3116</f>
        <v>2.3115999999999999</v>
      </c>
      <c r="C353">
        <f>1.6323</f>
        <v>1.6323000000000001</v>
      </c>
      <c r="D353">
        <f>0.161</f>
        <v>0.161</v>
      </c>
      <c r="E353">
        <f>-0.258</f>
        <v>-0.25800000000000001</v>
      </c>
      <c r="F353">
        <f>0.295</f>
        <v>0.29499999999999998</v>
      </c>
      <c r="G353">
        <f>-0.688</f>
        <v>-0.68799999999999994</v>
      </c>
      <c r="H353">
        <f>0.804</f>
        <v>0.80400000000000005</v>
      </c>
    </row>
    <row r="354" spans="1:8" x14ac:dyDescent="0.25">
      <c r="A354" s="1">
        <v>44299</v>
      </c>
      <c r="B354">
        <f>2.2939</f>
        <v>2.2938999999999998</v>
      </c>
      <c r="C354">
        <f>1.6145</f>
        <v>1.6145</v>
      </c>
      <c r="D354">
        <f>0.1589</f>
        <v>0.15890000000000001</v>
      </c>
      <c r="E354">
        <f>-0.292</f>
        <v>-0.29199999999999998</v>
      </c>
      <c r="F354">
        <f>0.264</f>
        <v>0.26400000000000001</v>
      </c>
      <c r="G354">
        <f>-0.702</f>
        <v>-0.70199999999999996</v>
      </c>
      <c r="H354">
        <f>0.779</f>
        <v>0.77900000000000003</v>
      </c>
    </row>
    <row r="355" spans="1:8" x14ac:dyDescent="0.25">
      <c r="A355" s="1">
        <v>44298</v>
      </c>
      <c r="B355">
        <f>2.3332</f>
        <v>2.3332000000000002</v>
      </c>
      <c r="C355">
        <f>1.6657</f>
        <v>1.6657</v>
      </c>
      <c r="D355">
        <f>0.1668</f>
        <v>0.1668</v>
      </c>
      <c r="E355">
        <f>-0.293</f>
        <v>-0.29299999999999998</v>
      </c>
      <c r="F355">
        <f>0.262</f>
        <v>0.26200000000000001</v>
      </c>
      <c r="G355">
        <f>-0.701</f>
        <v>-0.70099999999999996</v>
      </c>
      <c r="H355">
        <f>0.789</f>
        <v>0.78900000000000003</v>
      </c>
    </row>
    <row r="356" spans="1:8" x14ac:dyDescent="0.25">
      <c r="A356" s="1">
        <v>44295</v>
      </c>
      <c r="B356">
        <f>2.3293</f>
        <v>2.3292999999999999</v>
      </c>
      <c r="C356">
        <f>1.6585</f>
        <v>1.6585000000000001</v>
      </c>
      <c r="D356">
        <f>0.1548</f>
        <v>0.15479999999999999</v>
      </c>
      <c r="E356">
        <f>-0.303</f>
        <v>-0.30299999999999999</v>
      </c>
      <c r="F356">
        <f>0.242</f>
        <v>0.24199999999999999</v>
      </c>
      <c r="G356">
        <f>-0.702</f>
        <v>-0.70199999999999996</v>
      </c>
      <c r="H356">
        <f>0.774</f>
        <v>0.77400000000000002</v>
      </c>
    </row>
    <row r="357" spans="1:8" x14ac:dyDescent="0.25">
      <c r="A357" s="1">
        <v>44294</v>
      </c>
      <c r="B357">
        <f>2.3068</f>
        <v>2.3068</v>
      </c>
      <c r="C357">
        <f>1.6192</f>
        <v>1.6192</v>
      </c>
      <c r="D357">
        <f>0.1488</f>
        <v>0.14879999999999999</v>
      </c>
      <c r="E357">
        <f>-0.336</f>
        <v>-0.33600000000000002</v>
      </c>
      <c r="F357">
        <f>0.224</f>
        <v>0.224</v>
      </c>
      <c r="G357">
        <f>-0.714</f>
        <v>-0.71399999999999997</v>
      </c>
      <c r="H357">
        <f>0.749</f>
        <v>0.749</v>
      </c>
    </row>
    <row r="358" spans="1:8" x14ac:dyDescent="0.25">
      <c r="A358" s="1">
        <v>44293</v>
      </c>
      <c r="B358">
        <f>2.3612</f>
        <v>2.3612000000000002</v>
      </c>
      <c r="C358">
        <f>1.6739</f>
        <v>1.6738999999999999</v>
      </c>
      <c r="D358">
        <f>0.1527</f>
        <v>0.1527</v>
      </c>
      <c r="E358">
        <f>-0.324</f>
        <v>-0.32400000000000001</v>
      </c>
      <c r="F358">
        <f>0.231</f>
        <v>0.23100000000000001</v>
      </c>
      <c r="G358">
        <f>-0.703</f>
        <v>-0.70299999999999996</v>
      </c>
      <c r="H358">
        <f>0.773</f>
        <v>0.77300000000000002</v>
      </c>
    </row>
    <row r="359" spans="1:8" x14ac:dyDescent="0.25">
      <c r="A359" s="1">
        <v>44292</v>
      </c>
      <c r="B359">
        <f>2.323</f>
        <v>2.323</v>
      </c>
      <c r="C359">
        <f>1.656</f>
        <v>1.6559999999999999</v>
      </c>
      <c r="D359">
        <f>0.1566</f>
        <v>0.15659999999999999</v>
      </c>
      <c r="E359">
        <f>-0.316</f>
        <v>-0.316</v>
      </c>
      <c r="F359">
        <f>0.235</f>
        <v>0.23499999999999999</v>
      </c>
      <c r="G359">
        <f>-0.701</f>
        <v>-0.70099999999999996</v>
      </c>
      <c r="H359">
        <f>0.797</f>
        <v>0.79700000000000004</v>
      </c>
    </row>
    <row r="360" spans="1:8" x14ac:dyDescent="0.25">
      <c r="A360" s="1">
        <v>44291</v>
      </c>
      <c r="B360">
        <f>2.3463</f>
        <v>2.3462999999999998</v>
      </c>
      <c r="C360">
        <f>1.7003</f>
        <v>1.7002999999999999</v>
      </c>
      <c r="D360">
        <f>0.1664</f>
        <v>0.16639999999999999</v>
      </c>
      <c r="E360">
        <f>-0.328</f>
        <v>-0.32800000000000001</v>
      </c>
      <c r="F360">
        <f>0.226</f>
        <v>0.22600000000000001</v>
      </c>
      <c r="G360">
        <f>-0.708</f>
        <v>-0.70799999999999996</v>
      </c>
      <c r="H360">
        <f>0.795</f>
        <v>0.79500000000000004</v>
      </c>
    </row>
    <row r="361" spans="1:8" x14ac:dyDescent="0.25">
      <c r="A361" s="1">
        <v>44288</v>
      </c>
      <c r="B361">
        <f>2.3564</f>
        <v>2.3563999999999998</v>
      </c>
      <c r="C361">
        <f>1.7216</f>
        <v>1.7216</v>
      </c>
      <c r="D361">
        <f>0.1862</f>
        <v>0.1862</v>
      </c>
      <c r="E361">
        <f>-0.328</f>
        <v>-0.32800000000000001</v>
      </c>
      <c r="F361">
        <f>0.226</f>
        <v>0.22600000000000001</v>
      </c>
      <c r="G361">
        <f>-0.708</f>
        <v>-0.70799999999999996</v>
      </c>
      <c r="H361">
        <f>0.795</f>
        <v>0.79500000000000004</v>
      </c>
    </row>
    <row r="362" spans="1:8" x14ac:dyDescent="0.25">
      <c r="A362" s="1">
        <v>44287</v>
      </c>
      <c r="B362">
        <f>2.3322</f>
        <v>2.3321999999999998</v>
      </c>
      <c r="C362">
        <f>1.6699</f>
        <v>1.6698999999999999</v>
      </c>
      <c r="D362">
        <f>0.1585</f>
        <v>0.1585</v>
      </c>
      <c r="E362">
        <f>-0.328</f>
        <v>-0.32800000000000001</v>
      </c>
      <c r="F362">
        <f>0.226</f>
        <v>0.22600000000000001</v>
      </c>
      <c r="G362">
        <f>-0.708</f>
        <v>-0.70799999999999996</v>
      </c>
      <c r="H362">
        <f>0.795</f>
        <v>0.79500000000000004</v>
      </c>
    </row>
    <row r="363" spans="1:8" x14ac:dyDescent="0.25">
      <c r="A363" s="1">
        <v>44286</v>
      </c>
      <c r="B363">
        <f>2.4106</f>
        <v>2.4106000000000001</v>
      </c>
      <c r="C363">
        <f>1.7404</f>
        <v>1.7403999999999999</v>
      </c>
      <c r="D363">
        <f>0.1603</f>
        <v>0.1603</v>
      </c>
      <c r="E363">
        <f>-0.292</f>
        <v>-0.29199999999999998</v>
      </c>
      <c r="F363">
        <f>0.258</f>
        <v>0.25800000000000001</v>
      </c>
      <c r="G363">
        <f>-0.691</f>
        <v>-0.69099999999999995</v>
      </c>
      <c r="H363">
        <f>0.845</f>
        <v>0.84499999999999997</v>
      </c>
    </row>
    <row r="364" spans="1:8" x14ac:dyDescent="0.25">
      <c r="A364" s="1">
        <v>44285</v>
      </c>
      <c r="B364">
        <f>2.3687</f>
        <v>2.3687</v>
      </c>
      <c r="C364">
        <f>1.7029</f>
        <v>1.7029000000000001</v>
      </c>
      <c r="D364">
        <f>0.1465</f>
        <v>0.14649999999999999</v>
      </c>
      <c r="E364">
        <f>-0.286</f>
        <v>-0.28599999999999998</v>
      </c>
      <c r="F364">
        <f>0.268</f>
        <v>0.26800000000000002</v>
      </c>
      <c r="G364">
        <f>-0.692</f>
        <v>-0.69199999999999995</v>
      </c>
      <c r="H364">
        <f>0.824</f>
        <v>0.82399999999999995</v>
      </c>
    </row>
    <row r="365" spans="1:8" x14ac:dyDescent="0.25">
      <c r="A365" s="1">
        <v>44284</v>
      </c>
      <c r="B365">
        <f>2.405</f>
        <v>2.4049999999999998</v>
      </c>
      <c r="C365">
        <f>1.7081</f>
        <v>1.7081</v>
      </c>
      <c r="D365">
        <f>0.1407</f>
        <v>0.14069999999999999</v>
      </c>
      <c r="E365">
        <f>-0.318</f>
        <v>-0.318</v>
      </c>
      <c r="F365">
        <f>0.248</f>
        <v>0.248</v>
      </c>
      <c r="G365">
        <f>-0.709</f>
        <v>-0.70899999999999996</v>
      </c>
      <c r="H365">
        <f>0.788</f>
        <v>0.78800000000000003</v>
      </c>
    </row>
    <row r="366" spans="1:8" x14ac:dyDescent="0.25">
      <c r="A366" s="1">
        <v>44281</v>
      </c>
      <c r="B366">
        <f>2.3781</f>
        <v>2.3780999999999999</v>
      </c>
      <c r="C366">
        <f>1.676</f>
        <v>1.6759999999999999</v>
      </c>
      <c r="D366">
        <f>0.1387</f>
        <v>0.13869999999999999</v>
      </c>
      <c r="E366">
        <f>-0.346</f>
        <v>-0.34599999999999997</v>
      </c>
      <c r="F366">
        <f>0.216</f>
        <v>0.216</v>
      </c>
      <c r="G366">
        <f>-0.715</f>
        <v>-0.71499999999999997</v>
      </c>
      <c r="H366">
        <f>0.757</f>
        <v>0.75700000000000001</v>
      </c>
    </row>
    <row r="367" spans="1:8" x14ac:dyDescent="0.25">
      <c r="A367" s="1">
        <v>44280</v>
      </c>
      <c r="B367">
        <f>2.3568</f>
        <v>2.3567999999999998</v>
      </c>
      <c r="C367">
        <f>1.6332</f>
        <v>1.6332</v>
      </c>
      <c r="D367">
        <f>0.1367</f>
        <v>0.13669999999999999</v>
      </c>
      <c r="E367">
        <f>-0.384</f>
        <v>-0.38400000000000001</v>
      </c>
      <c r="F367">
        <f>0.175</f>
        <v>0.17499999999999999</v>
      </c>
      <c r="G367">
        <f>-0.716</f>
        <v>-0.71599999999999997</v>
      </c>
      <c r="H367">
        <f>0.729</f>
        <v>0.72899999999999998</v>
      </c>
    </row>
    <row r="368" spans="1:8" x14ac:dyDescent="0.25">
      <c r="A368" s="1">
        <v>44279</v>
      </c>
      <c r="B368">
        <f>2.3095</f>
        <v>2.3094999999999999</v>
      </c>
      <c r="C368">
        <f>1.6084</f>
        <v>1.6084000000000001</v>
      </c>
      <c r="D368">
        <f>0.1465</f>
        <v>0.14649999999999999</v>
      </c>
      <c r="E368">
        <f>-0.353</f>
        <v>-0.35299999999999998</v>
      </c>
      <c r="F368">
        <f>0.21</f>
        <v>0.21</v>
      </c>
      <c r="G368">
        <f>-0.712</f>
        <v>-0.71199999999999997</v>
      </c>
      <c r="H368">
        <f>0.758</f>
        <v>0.75800000000000001</v>
      </c>
    </row>
    <row r="369" spans="1:8" x14ac:dyDescent="0.25">
      <c r="A369" s="1">
        <v>44278</v>
      </c>
      <c r="B369">
        <f>2.3264</f>
        <v>2.3264</v>
      </c>
      <c r="C369">
        <f>1.6206</f>
        <v>1.6206</v>
      </c>
      <c r="D369">
        <f>0.1452</f>
        <v>0.1452</v>
      </c>
      <c r="E369">
        <f>-0.341</f>
        <v>-0.34100000000000003</v>
      </c>
      <c r="F369">
        <f>0.231</f>
        <v>0.23100000000000001</v>
      </c>
      <c r="G369">
        <f>-0.709</f>
        <v>-0.70899999999999996</v>
      </c>
      <c r="H369">
        <f>0.763</f>
        <v>0.76300000000000001</v>
      </c>
    </row>
    <row r="370" spans="1:8" x14ac:dyDescent="0.25">
      <c r="A370" s="1">
        <v>44277</v>
      </c>
      <c r="B370">
        <f>2.3984</f>
        <v>2.3984000000000001</v>
      </c>
      <c r="C370">
        <f>1.6946</f>
        <v>1.6946000000000001</v>
      </c>
      <c r="D370">
        <f>0.1472</f>
        <v>0.1472</v>
      </c>
      <c r="E370">
        <f>-0.311</f>
        <v>-0.311</v>
      </c>
      <c r="F370">
        <f>0.265</f>
        <v>0.26500000000000001</v>
      </c>
      <c r="G370">
        <f>-0.7</f>
        <v>-0.7</v>
      </c>
      <c r="H370">
        <f>0.814</f>
        <v>0.81399999999999995</v>
      </c>
    </row>
    <row r="371" spans="1:8" x14ac:dyDescent="0.25">
      <c r="A371" s="1">
        <v>44274</v>
      </c>
      <c r="B371">
        <f>2.4333</f>
        <v>2.4333</v>
      </c>
      <c r="C371">
        <f>1.721</f>
        <v>1.7210000000000001</v>
      </c>
      <c r="D371">
        <f>0.1492</f>
        <v>0.1492</v>
      </c>
      <c r="E371">
        <f>-0.294</f>
        <v>-0.29399999999999998</v>
      </c>
      <c r="F371">
        <f>0.282</f>
        <v>0.28199999999999997</v>
      </c>
      <c r="G371">
        <f>-0.695</f>
        <v>-0.69499999999999995</v>
      </c>
      <c r="H371">
        <f>0.838</f>
        <v>0.83799999999999997</v>
      </c>
    </row>
    <row r="372" spans="1:8" x14ac:dyDescent="0.25">
      <c r="A372" s="1">
        <v>44273</v>
      </c>
      <c r="B372">
        <f>2.4483</f>
        <v>2.4483000000000001</v>
      </c>
      <c r="C372">
        <f>1.7082</f>
        <v>1.7081999999999999</v>
      </c>
      <c r="D372">
        <f>0.1531</f>
        <v>0.15310000000000001</v>
      </c>
      <c r="E372">
        <f>-0.264</f>
        <v>-0.26400000000000001</v>
      </c>
      <c r="F372">
        <f>0.301</f>
        <v>0.30099999999999999</v>
      </c>
      <c r="G372">
        <f>-0.685</f>
        <v>-0.68500000000000005</v>
      </c>
      <c r="H372">
        <f>0.875</f>
        <v>0.875</v>
      </c>
    </row>
    <row r="373" spans="1:8" x14ac:dyDescent="0.25">
      <c r="A373" s="1">
        <v>44272</v>
      </c>
      <c r="B373">
        <f>2.418</f>
        <v>2.4180000000000001</v>
      </c>
      <c r="C373">
        <f>1.6427</f>
        <v>1.6427</v>
      </c>
      <c r="D373">
        <f>0.133</f>
        <v>0.13300000000000001</v>
      </c>
      <c r="E373">
        <f>-0.291</f>
        <v>-0.29099999999999998</v>
      </c>
      <c r="F373">
        <f>0.255</f>
        <v>0.255</v>
      </c>
      <c r="G373">
        <f>-0.685</f>
        <v>-0.68500000000000005</v>
      </c>
      <c r="H373">
        <f>0.83</f>
        <v>0.83</v>
      </c>
    </row>
    <row r="374" spans="1:8" x14ac:dyDescent="0.25">
      <c r="A374" s="1">
        <v>44271</v>
      </c>
      <c r="B374">
        <f>2.3785</f>
        <v>2.3784999999999998</v>
      </c>
      <c r="C374">
        <f>1.6179</f>
        <v>1.6178999999999999</v>
      </c>
      <c r="D374">
        <f>0.149</f>
        <v>0.14899999999999999</v>
      </c>
      <c r="E374">
        <f>-0.336</f>
        <v>-0.33600000000000002</v>
      </c>
      <c r="F374">
        <f>0.201</f>
        <v>0.20100000000000001</v>
      </c>
      <c r="G374">
        <f>-0.69</f>
        <v>-0.69</v>
      </c>
      <c r="H374">
        <f>0.785</f>
        <v>0.78500000000000003</v>
      </c>
    </row>
    <row r="375" spans="1:8" x14ac:dyDescent="0.25">
      <c r="A375" s="1">
        <v>44270</v>
      </c>
      <c r="B375">
        <f>2.3573</f>
        <v>2.3573</v>
      </c>
      <c r="C375">
        <f>1.6055</f>
        <v>1.6054999999999999</v>
      </c>
      <c r="D375">
        <f>0.151</f>
        <v>0.151</v>
      </c>
      <c r="E375">
        <f>-0.334</f>
        <v>-0.33400000000000002</v>
      </c>
      <c r="F375">
        <f>0.201</f>
        <v>0.20100000000000001</v>
      </c>
      <c r="G375">
        <f>-0.694</f>
        <v>-0.69399999999999995</v>
      </c>
      <c r="H375">
        <f>0.798</f>
        <v>0.79800000000000004</v>
      </c>
    </row>
    <row r="376" spans="1:8" x14ac:dyDescent="0.25">
      <c r="A376" s="1">
        <v>44267</v>
      </c>
      <c r="B376">
        <f>2.3776</f>
        <v>2.3776000000000002</v>
      </c>
      <c r="C376">
        <f>1.6247</f>
        <v>1.6247</v>
      </c>
      <c r="D376">
        <f>0.147</f>
        <v>0.14699999999999999</v>
      </c>
      <c r="E376">
        <f>-0.306</f>
        <v>-0.30599999999999999</v>
      </c>
      <c r="F376">
        <f>0.221</f>
        <v>0.221</v>
      </c>
      <c r="G376">
        <f>-0.687</f>
        <v>-0.68700000000000006</v>
      </c>
      <c r="H376">
        <f>0.822</f>
        <v>0.82199999999999995</v>
      </c>
    </row>
    <row r="377" spans="1:8" x14ac:dyDescent="0.25">
      <c r="A377" s="1">
        <v>44266</v>
      </c>
      <c r="B377">
        <f>2.2945</f>
        <v>2.2945000000000002</v>
      </c>
      <c r="C377">
        <f>1.537</f>
        <v>1.5369999999999999</v>
      </c>
      <c r="D377">
        <f>0.1389</f>
        <v>0.1389</v>
      </c>
      <c r="E377">
        <f>-0.334</f>
        <v>-0.33400000000000002</v>
      </c>
      <c r="F377">
        <f>0.181</f>
        <v>0.18099999999999999</v>
      </c>
      <c r="G377">
        <f>-0.691</f>
        <v>-0.69099999999999995</v>
      </c>
      <c r="H377">
        <f>0.735</f>
        <v>0.73499999999999999</v>
      </c>
    </row>
    <row r="378" spans="1:8" x14ac:dyDescent="0.25">
      <c r="A378" s="1">
        <v>44265</v>
      </c>
      <c r="B378">
        <f>2.2381</f>
        <v>2.2381000000000002</v>
      </c>
      <c r="C378">
        <f>1.5178</f>
        <v>1.5178</v>
      </c>
      <c r="D378">
        <f>0.1528</f>
        <v>0.15279999999999999</v>
      </c>
      <c r="E378">
        <f>-0.313</f>
        <v>-0.313</v>
      </c>
      <c r="F378">
        <f>0.184</f>
        <v>0.184</v>
      </c>
      <c r="G378">
        <f>-0.682</f>
        <v>-0.68200000000000005</v>
      </c>
      <c r="H378">
        <f>0.714</f>
        <v>0.71399999999999997</v>
      </c>
    </row>
    <row r="379" spans="1:8" x14ac:dyDescent="0.25">
      <c r="A379" s="1">
        <v>44264</v>
      </c>
      <c r="B379">
        <f>2.2335</f>
        <v>2.2334999999999998</v>
      </c>
      <c r="C379">
        <f>1.5263</f>
        <v>1.5263</v>
      </c>
      <c r="D379">
        <f>0.1607</f>
        <v>0.16070000000000001</v>
      </c>
      <c r="E379">
        <f>-0.301</f>
        <v>-0.30099999999999999</v>
      </c>
      <c r="F379">
        <f>0.205</f>
        <v>0.20499999999999999</v>
      </c>
      <c r="G379">
        <f>-0.681</f>
        <v>-0.68100000000000005</v>
      </c>
      <c r="H379">
        <f>0.727</f>
        <v>0.72699999999999998</v>
      </c>
    </row>
    <row r="380" spans="1:8" x14ac:dyDescent="0.25">
      <c r="A380" s="1">
        <v>44263</v>
      </c>
      <c r="B380">
        <f>2.3159</f>
        <v>2.3159000000000001</v>
      </c>
      <c r="C380">
        <f>1.5907</f>
        <v>1.5907</v>
      </c>
      <c r="D380">
        <f>0.1626</f>
        <v>0.16259999999999999</v>
      </c>
      <c r="E380">
        <f>-0.277</f>
        <v>-0.27700000000000002</v>
      </c>
      <c r="F380">
        <f>0.225</f>
        <v>0.22500000000000001</v>
      </c>
      <c r="G380">
        <f>-0.68</f>
        <v>-0.68</v>
      </c>
      <c r="H380">
        <f>0.754</f>
        <v>0.754</v>
      </c>
    </row>
    <row r="381" spans="1:8" x14ac:dyDescent="0.25">
      <c r="A381" s="1">
        <v>44260</v>
      </c>
      <c r="B381">
        <f>2.2974</f>
        <v>2.2974000000000001</v>
      </c>
      <c r="C381">
        <f>1.5661</f>
        <v>1.5661</v>
      </c>
      <c r="D381">
        <f>0.1369</f>
        <v>0.13689999999999999</v>
      </c>
      <c r="E381">
        <f>-0.302</f>
        <v>-0.30199999999999999</v>
      </c>
      <c r="F381">
        <f>0.209</f>
        <v>0.20899999999999999</v>
      </c>
      <c r="G381">
        <f>-0.69</f>
        <v>-0.69</v>
      </c>
      <c r="H381">
        <f>0.756</f>
        <v>0.75600000000000001</v>
      </c>
    </row>
    <row r="382" spans="1:8" x14ac:dyDescent="0.25">
      <c r="A382" s="1">
        <v>44259</v>
      </c>
      <c r="B382">
        <f>2.3205</f>
        <v>2.3205</v>
      </c>
      <c r="C382">
        <f>1.564</f>
        <v>1.5640000000000001</v>
      </c>
      <c r="D382">
        <f>0.1447</f>
        <v>0.1447</v>
      </c>
      <c r="E382">
        <f>-0.311</f>
        <v>-0.311</v>
      </c>
      <c r="F382">
        <f>0.202</f>
        <v>0.20200000000000001</v>
      </c>
      <c r="G382">
        <f>-0.686</f>
        <v>-0.68600000000000005</v>
      </c>
      <c r="H382">
        <f>0.731</f>
        <v>0.73099999999999998</v>
      </c>
    </row>
    <row r="383" spans="1:8" x14ac:dyDescent="0.25">
      <c r="A383" s="1">
        <v>44258</v>
      </c>
      <c r="B383">
        <f>2.2759</f>
        <v>2.2759</v>
      </c>
      <c r="C383">
        <f>1.4808</f>
        <v>1.4807999999999999</v>
      </c>
      <c r="D383">
        <f>0.1407</f>
        <v>0.14069999999999999</v>
      </c>
      <c r="E383">
        <f>-0.288</f>
        <v>-0.28799999999999998</v>
      </c>
      <c r="F383">
        <f>0.22</f>
        <v>0.22</v>
      </c>
      <c r="G383">
        <f>-0.679</f>
        <v>-0.67900000000000005</v>
      </c>
      <c r="H383">
        <f>0.779</f>
        <v>0.77900000000000003</v>
      </c>
    </row>
    <row r="384" spans="1:8" x14ac:dyDescent="0.25">
      <c r="A384" s="1">
        <v>44257</v>
      </c>
      <c r="B384">
        <f>2.1913</f>
        <v>2.1913</v>
      </c>
      <c r="C384">
        <f>1.3914</f>
        <v>1.3914</v>
      </c>
      <c r="D384">
        <f>0.1211</f>
        <v>0.1211</v>
      </c>
      <c r="E384">
        <f>-0.352</f>
        <v>-0.35199999999999998</v>
      </c>
      <c r="F384">
        <f>0.147</f>
        <v>0.14699999999999999</v>
      </c>
      <c r="G384">
        <f>-0.693</f>
        <v>-0.69299999999999995</v>
      </c>
      <c r="H384">
        <f>0.687</f>
        <v>0.68700000000000006</v>
      </c>
    </row>
    <row r="385" spans="1:8" x14ac:dyDescent="0.25">
      <c r="A385" s="1">
        <v>44256</v>
      </c>
      <c r="B385">
        <f>2.1906</f>
        <v>2.1905999999999999</v>
      </c>
      <c r="C385">
        <f>1.417</f>
        <v>1.417</v>
      </c>
      <c r="D385">
        <f>0.1191</f>
        <v>0.1191</v>
      </c>
      <c r="E385">
        <f>-0.334</f>
        <v>-0.33400000000000002</v>
      </c>
      <c r="F385">
        <f>0.144</f>
        <v>0.14399999999999999</v>
      </c>
      <c r="G385">
        <f>-0.687</f>
        <v>-0.68700000000000006</v>
      </c>
      <c r="H385">
        <f>0.759</f>
        <v>0.75900000000000001</v>
      </c>
    </row>
    <row r="386" spans="1:8" x14ac:dyDescent="0.25">
      <c r="A386" s="1">
        <v>44253</v>
      </c>
      <c r="B386">
        <f>2.1513</f>
        <v>2.1513</v>
      </c>
      <c r="C386">
        <f>1.4049</f>
        <v>1.4049</v>
      </c>
      <c r="D386">
        <f>0.127</f>
        <v>0.127</v>
      </c>
      <c r="E386">
        <f>-0.26</f>
        <v>-0.26</v>
      </c>
      <c r="F386">
        <f>0.194</f>
        <v>0.19400000000000001</v>
      </c>
      <c r="G386">
        <f>-0.663</f>
        <v>-0.66300000000000003</v>
      </c>
      <c r="H386">
        <f>0.82</f>
        <v>0.82</v>
      </c>
    </row>
    <row r="387" spans="1:8" x14ac:dyDescent="0.25">
      <c r="A387" s="1">
        <v>44252</v>
      </c>
      <c r="B387">
        <f>2.2734</f>
        <v>2.2734000000000001</v>
      </c>
      <c r="C387">
        <f>1.5199</f>
        <v>1.5199</v>
      </c>
      <c r="D387">
        <f>0.172</f>
        <v>0.17199999999999999</v>
      </c>
      <c r="E387">
        <f>-0.232</f>
        <v>-0.23200000000000001</v>
      </c>
      <c r="F387">
        <f>0.244</f>
        <v>0.24399999999999999</v>
      </c>
      <c r="G387">
        <f>-0.652</f>
        <v>-0.65200000000000002</v>
      </c>
      <c r="H387">
        <f>0.784</f>
        <v>0.78400000000000003</v>
      </c>
    </row>
    <row r="388" spans="1:8" x14ac:dyDescent="0.25">
      <c r="A388" s="1">
        <v>44251</v>
      </c>
      <c r="B388">
        <f>2.2325</f>
        <v>2.2324999999999999</v>
      </c>
      <c r="C388">
        <f>1.3756</f>
        <v>1.3755999999999999</v>
      </c>
      <c r="D388">
        <f>0.123</f>
        <v>0.123</v>
      </c>
      <c r="E388">
        <f>-0.304</f>
        <v>-0.30399999999999999</v>
      </c>
      <c r="F388">
        <f>0.209</f>
        <v>0.20899999999999999</v>
      </c>
      <c r="G388">
        <f>-0.682</f>
        <v>-0.68200000000000005</v>
      </c>
      <c r="H388">
        <f>0.732</f>
        <v>0.73199999999999998</v>
      </c>
    </row>
    <row r="389" spans="1:8" x14ac:dyDescent="0.25">
      <c r="A389" s="1">
        <v>44250</v>
      </c>
      <c r="B389">
        <f>2.18</f>
        <v>2.1800000000000002</v>
      </c>
      <c r="C389">
        <f>1.3416</f>
        <v>1.3415999999999999</v>
      </c>
      <c r="D389">
        <f>0.1108</f>
        <v>0.1108</v>
      </c>
      <c r="E389">
        <f>-0.315</f>
        <v>-0.315</v>
      </c>
      <c r="F389">
        <f>0.195</f>
        <v>0.19500000000000001</v>
      </c>
      <c r="G389">
        <f>-0.682</f>
        <v>-0.68200000000000005</v>
      </c>
      <c r="H389">
        <f>0.719</f>
        <v>0.71899999999999997</v>
      </c>
    </row>
    <row r="390" spans="1:8" x14ac:dyDescent="0.25">
      <c r="A390" s="1">
        <v>44249</v>
      </c>
      <c r="B390">
        <f>2.1733</f>
        <v>2.1732999999999998</v>
      </c>
      <c r="C390">
        <f>1.3653</f>
        <v>1.3653</v>
      </c>
      <c r="D390">
        <f>0.1109</f>
        <v>0.1109</v>
      </c>
      <c r="E390">
        <f>-0.339</f>
        <v>-0.33900000000000002</v>
      </c>
      <c r="F390">
        <f>0.167</f>
        <v>0.16700000000000001</v>
      </c>
      <c r="G390">
        <f>-0.686</f>
        <v>-0.68600000000000005</v>
      </c>
      <c r="H390">
        <f>0.679</f>
        <v>0.67900000000000005</v>
      </c>
    </row>
    <row r="391" spans="1:8" x14ac:dyDescent="0.25">
      <c r="A391" s="1">
        <v>44246</v>
      </c>
      <c r="B391">
        <f>2.1335</f>
        <v>2.1335000000000002</v>
      </c>
      <c r="C391">
        <f>1.3364</f>
        <v>1.3364</v>
      </c>
      <c r="D391">
        <f>0.1048</f>
        <v>0.1048</v>
      </c>
      <c r="E391">
        <f>-0.305</f>
        <v>-0.30499999999999999</v>
      </c>
      <c r="F391">
        <f>0.213</f>
        <v>0.21299999999999999</v>
      </c>
      <c r="G391">
        <f>-0.681</f>
        <v>-0.68100000000000005</v>
      </c>
      <c r="H391">
        <f>0.698</f>
        <v>0.69799999999999995</v>
      </c>
    </row>
    <row r="392" spans="1:8" x14ac:dyDescent="0.25">
      <c r="A392" s="1">
        <v>44245</v>
      </c>
      <c r="B392">
        <f>2.0817</f>
        <v>2.0817000000000001</v>
      </c>
      <c r="C392">
        <f>1.2956</f>
        <v>1.2956000000000001</v>
      </c>
      <c r="D392">
        <f>0.1049</f>
        <v>0.10489999999999999</v>
      </c>
      <c r="E392">
        <f>-0.346</f>
        <v>-0.34599999999999997</v>
      </c>
      <c r="F392">
        <f>0.157</f>
        <v>0.157</v>
      </c>
      <c r="G392">
        <f>-0.688</f>
        <v>-0.68799999999999994</v>
      </c>
      <c r="H392">
        <f>0.622</f>
        <v>0.622</v>
      </c>
    </row>
    <row r="393" spans="1:8" x14ac:dyDescent="0.25">
      <c r="A393" s="1">
        <v>44244</v>
      </c>
      <c r="B393">
        <f>2.0371</f>
        <v>2.0371000000000001</v>
      </c>
      <c r="C393">
        <f>1.2703</f>
        <v>1.2703</v>
      </c>
      <c r="D393">
        <f>0.1029</f>
        <v>0.10290000000000001</v>
      </c>
      <c r="E393">
        <f>-0.368</f>
        <v>-0.36799999999999999</v>
      </c>
      <c r="F393">
        <f>0.137</f>
        <v>0.13700000000000001</v>
      </c>
      <c r="G393">
        <f>-0.698</f>
        <v>-0.69799999999999995</v>
      </c>
      <c r="H393">
        <f>0.572</f>
        <v>0.57199999999999995</v>
      </c>
    </row>
    <row r="394" spans="1:8" x14ac:dyDescent="0.25">
      <c r="A394" s="1">
        <v>44243</v>
      </c>
      <c r="B394">
        <f>2.0918</f>
        <v>2.0918000000000001</v>
      </c>
      <c r="C394">
        <f>1.3141</f>
        <v>1.3141</v>
      </c>
      <c r="D394">
        <f>0.119</f>
        <v>0.11899999999999999</v>
      </c>
      <c r="E394">
        <f>-0.348</f>
        <v>-0.34799999999999998</v>
      </c>
      <c r="F394">
        <f>0.163</f>
        <v>0.16300000000000001</v>
      </c>
      <c r="G394">
        <f>-0.69</f>
        <v>-0.69</v>
      </c>
      <c r="H394">
        <f>0.621</f>
        <v>0.621</v>
      </c>
    </row>
    <row r="395" spans="1:8" x14ac:dyDescent="0.25">
      <c r="A395" s="1">
        <v>44242</v>
      </c>
      <c r="B395">
        <f>2.0086</f>
        <v>2.0085999999999999</v>
      </c>
      <c r="C395">
        <f>1.2082</f>
        <v>1.2081999999999999</v>
      </c>
      <c r="D395">
        <f>0.109</f>
        <v>0.109</v>
      </c>
      <c r="E395">
        <f>-0.381</f>
        <v>-0.38100000000000001</v>
      </c>
      <c r="F395">
        <f>0.121</f>
        <v>0.121</v>
      </c>
      <c r="G395">
        <f>-0.695</f>
        <v>-0.69499999999999995</v>
      </c>
      <c r="H395">
        <f>0.571</f>
        <v>0.57099999999999995</v>
      </c>
    </row>
    <row r="396" spans="1:8" x14ac:dyDescent="0.25">
      <c r="A396" s="1">
        <v>44239</v>
      </c>
      <c r="B396">
        <f>2.0086</f>
        <v>2.0085999999999999</v>
      </c>
      <c r="C396">
        <f>1.2082</f>
        <v>1.2081999999999999</v>
      </c>
      <c r="D396">
        <f>0.109</f>
        <v>0.109</v>
      </c>
      <c r="E396">
        <f>-0.428</f>
        <v>-0.42799999999999999</v>
      </c>
      <c r="F396">
        <f>0.08</f>
        <v>0.08</v>
      </c>
      <c r="G396">
        <f>-0.708</f>
        <v>-0.70799999999999996</v>
      </c>
      <c r="H396">
        <f>0.517</f>
        <v>0.51700000000000002</v>
      </c>
    </row>
    <row r="397" spans="1:8" x14ac:dyDescent="0.25">
      <c r="A397" s="1">
        <v>44238</v>
      </c>
      <c r="B397">
        <f>1.95</f>
        <v>1.95</v>
      </c>
      <c r="C397">
        <f>1.1632</f>
        <v>1.1632</v>
      </c>
      <c r="D397">
        <f>0.1091</f>
        <v>0.1091</v>
      </c>
      <c r="E397">
        <f>-0.458</f>
        <v>-0.45800000000000002</v>
      </c>
      <c r="F397">
        <f>0.028</f>
        <v>2.8000000000000001E-2</v>
      </c>
      <c r="G397">
        <f>-0.717</f>
        <v>-0.71699999999999997</v>
      </c>
      <c r="H397">
        <f>0.47</f>
        <v>0.47</v>
      </c>
    </row>
    <row r="398" spans="1:8" x14ac:dyDescent="0.25">
      <c r="A398" s="1">
        <v>44237</v>
      </c>
      <c r="B398">
        <f>1.9074</f>
        <v>1.9074</v>
      </c>
      <c r="C398">
        <f>1.1225</f>
        <v>1.1225000000000001</v>
      </c>
      <c r="D398">
        <f>0.1071</f>
        <v>0.1071</v>
      </c>
      <c r="E398">
        <f>-0.437</f>
        <v>-0.437</v>
      </c>
      <c r="F398">
        <f>0.042</f>
        <v>4.2000000000000003E-2</v>
      </c>
      <c r="G398">
        <f>-0.714</f>
        <v>-0.71399999999999997</v>
      </c>
      <c r="H398">
        <f>0.489</f>
        <v>0.48899999999999999</v>
      </c>
    </row>
    <row r="399" spans="1:8" x14ac:dyDescent="0.25">
      <c r="A399" s="1">
        <v>44236</v>
      </c>
      <c r="B399">
        <f>1.9478</f>
        <v>1.9478</v>
      </c>
      <c r="C399">
        <f>1.1568</f>
        <v>1.1568000000000001</v>
      </c>
      <c r="D399">
        <f>0.1151</f>
        <v>0.11509999999999999</v>
      </c>
      <c r="E399">
        <f>-0.446</f>
        <v>-0.44600000000000001</v>
      </c>
      <c r="F399">
        <f>0.023</f>
        <v>2.3E-2</v>
      </c>
      <c r="G399">
        <f>-0.714</f>
        <v>-0.71399999999999997</v>
      </c>
      <c r="H399">
        <f>0.463</f>
        <v>0.46300000000000002</v>
      </c>
    </row>
    <row r="400" spans="1:8" x14ac:dyDescent="0.25">
      <c r="A400" s="1">
        <v>44235</v>
      </c>
      <c r="B400">
        <f>1.9529</f>
        <v>1.9529000000000001</v>
      </c>
      <c r="C400">
        <f>1.1705</f>
        <v>1.1705000000000001</v>
      </c>
      <c r="D400">
        <f>0.1111</f>
        <v>0.1111</v>
      </c>
      <c r="E400">
        <f>-0.445</f>
        <v>-0.44500000000000001</v>
      </c>
      <c r="F400">
        <f>0.019</f>
        <v>1.9E-2</v>
      </c>
      <c r="G400">
        <f>-0.711</f>
        <v>-0.71099999999999997</v>
      </c>
      <c r="H400">
        <f>0.475</f>
        <v>0.47499999999999998</v>
      </c>
    </row>
    <row r="401" spans="1:8" x14ac:dyDescent="0.25">
      <c r="A401" s="1">
        <v>44232</v>
      </c>
      <c r="B401">
        <f>1.9711</f>
        <v>1.9711000000000001</v>
      </c>
      <c r="C401">
        <f>1.1635</f>
        <v>1.1635</v>
      </c>
      <c r="D401">
        <f>0.1013</f>
        <v>0.1013</v>
      </c>
      <c r="E401">
        <f>-0.448</f>
        <v>-0.44800000000000001</v>
      </c>
      <c r="F401">
        <f>0.014</f>
        <v>1.4E-2</v>
      </c>
      <c r="G401">
        <f>-0.711</f>
        <v>-0.71099999999999997</v>
      </c>
      <c r="H401">
        <f>0.482</f>
        <v>0.48199999999999998</v>
      </c>
    </row>
    <row r="402" spans="1:8" x14ac:dyDescent="0.25">
      <c r="A402" s="1">
        <v>44231</v>
      </c>
      <c r="B402">
        <f>1.9383</f>
        <v>1.9382999999999999</v>
      </c>
      <c r="C402">
        <f>1.1392</f>
        <v>1.1392</v>
      </c>
      <c r="D402">
        <f>0.1112</f>
        <v>0.11119999999999999</v>
      </c>
      <c r="E402">
        <f>-0.454</f>
        <v>-0.45400000000000001</v>
      </c>
      <c r="F402">
        <f>0.008</f>
        <v>8.0000000000000002E-3</v>
      </c>
      <c r="G402">
        <f>-0.711</f>
        <v>-0.71099999999999997</v>
      </c>
      <c r="H402">
        <f>0.44</f>
        <v>0.44</v>
      </c>
    </row>
    <row r="403" spans="1:8" x14ac:dyDescent="0.25">
      <c r="A403" s="1">
        <v>44230</v>
      </c>
      <c r="B403">
        <f>1.9252</f>
        <v>1.9252</v>
      </c>
      <c r="C403">
        <f>1.1374</f>
        <v>1.1374</v>
      </c>
      <c r="D403">
        <f>0.1171</f>
        <v>0.1171</v>
      </c>
      <c r="E403">
        <f>-0.464</f>
        <v>-0.46400000000000002</v>
      </c>
      <c r="F403">
        <f>-0.005</f>
        <v>-5.0000000000000001E-3</v>
      </c>
      <c r="G403">
        <f>-0.711</f>
        <v>-0.71099999999999997</v>
      </c>
      <c r="H403">
        <f>0.371</f>
        <v>0.371</v>
      </c>
    </row>
    <row r="404" spans="1:8" x14ac:dyDescent="0.25">
      <c r="A404" s="1">
        <v>44229</v>
      </c>
      <c r="B404">
        <f>1.8694</f>
        <v>1.8694</v>
      </c>
      <c r="C404">
        <f>1.0963</f>
        <v>1.0963000000000001</v>
      </c>
      <c r="D404">
        <f>0.1132</f>
        <v>0.1132</v>
      </c>
      <c r="E404">
        <f>-0.489</f>
        <v>-0.48899999999999999</v>
      </c>
      <c r="F404">
        <f>-0.043</f>
        <v>-4.2999999999999997E-2</v>
      </c>
      <c r="G404">
        <f>-0.719</f>
        <v>-0.71899999999999997</v>
      </c>
      <c r="H404">
        <f>0.349</f>
        <v>0.34899999999999998</v>
      </c>
    </row>
    <row r="405" spans="1:8" x14ac:dyDescent="0.25">
      <c r="A405" s="1">
        <v>44228</v>
      </c>
      <c r="B405">
        <f>1.8538</f>
        <v>1.8537999999999999</v>
      </c>
      <c r="C405">
        <f>1.0792</f>
        <v>1.0791999999999999</v>
      </c>
      <c r="D405">
        <f>0.1073</f>
        <v>0.10730000000000001</v>
      </c>
      <c r="E405">
        <f>-0.516</f>
        <v>-0.51600000000000001</v>
      </c>
      <c r="F405">
        <f>-0.077</f>
        <v>-7.6999999999999999E-2</v>
      </c>
      <c r="G405">
        <f>-0.723</f>
        <v>-0.72299999999999998</v>
      </c>
      <c r="H405">
        <f>0.321</f>
        <v>0.32100000000000001</v>
      </c>
    </row>
    <row r="406" spans="1:8" x14ac:dyDescent="0.25">
      <c r="A406" s="1">
        <v>44225</v>
      </c>
      <c r="B406">
        <f>1.8291</f>
        <v>1.8290999999999999</v>
      </c>
      <c r="C406">
        <f>1.0655</f>
        <v>1.0654999999999999</v>
      </c>
      <c r="D406">
        <f>0.1093</f>
        <v>0.10929999999999999</v>
      </c>
      <c r="E406">
        <f>-0.518</f>
        <v>-0.51800000000000002</v>
      </c>
      <c r="F406">
        <f>-0.077</f>
        <v>-7.6999999999999999E-2</v>
      </c>
      <c r="G406">
        <f>-0.733</f>
        <v>-0.73299999999999998</v>
      </c>
      <c r="H406">
        <f>0.327</f>
        <v>0.32700000000000001</v>
      </c>
    </row>
    <row r="407" spans="1:8" x14ac:dyDescent="0.25">
      <c r="A407" s="1">
        <v>44224</v>
      </c>
      <c r="B407">
        <f>1.8046</f>
        <v>1.8046</v>
      </c>
      <c r="C407">
        <f>1.0449</f>
        <v>1.0448999999999999</v>
      </c>
      <c r="D407">
        <f>0.1172</f>
        <v>0.1172</v>
      </c>
      <c r="E407">
        <f>-0.539</f>
        <v>-0.53900000000000003</v>
      </c>
      <c r="F407">
        <f>-0.101</f>
        <v>-0.10100000000000001</v>
      </c>
      <c r="G407">
        <f>-0.745</f>
        <v>-0.745</v>
      </c>
      <c r="H407">
        <f>0.287</f>
        <v>0.28699999999999998</v>
      </c>
    </row>
    <row r="408" spans="1:8" x14ac:dyDescent="0.25">
      <c r="A408" s="1">
        <v>44223</v>
      </c>
      <c r="B408">
        <f>1.774</f>
        <v>1.774</v>
      </c>
      <c r="C408">
        <f>1.0161</f>
        <v>1.0161</v>
      </c>
      <c r="D408">
        <f>0.1191</f>
        <v>0.1191</v>
      </c>
      <c r="E408">
        <f>-0.546</f>
        <v>-0.54600000000000004</v>
      </c>
      <c r="F408">
        <f>-0.116</f>
        <v>-0.11600000000000001</v>
      </c>
      <c r="G408">
        <f>-0.741</f>
        <v>-0.74099999999999999</v>
      </c>
      <c r="H408">
        <f>0.269</f>
        <v>0.26900000000000002</v>
      </c>
    </row>
    <row r="409" spans="1:8" x14ac:dyDescent="0.25">
      <c r="A409" s="1">
        <v>44222</v>
      </c>
      <c r="B409">
        <f>1.7906</f>
        <v>1.7906</v>
      </c>
      <c r="C409">
        <f>1.0347</f>
        <v>1.0347</v>
      </c>
      <c r="D409">
        <f>0.1211</f>
        <v>0.1211</v>
      </c>
      <c r="E409">
        <f>-0.533</f>
        <v>-0.53300000000000003</v>
      </c>
      <c r="F409">
        <f>-0.116</f>
        <v>-0.11600000000000001</v>
      </c>
      <c r="G409">
        <f>-0.723</f>
        <v>-0.72299999999999998</v>
      </c>
      <c r="H409">
        <f>0.265</f>
        <v>0.26500000000000001</v>
      </c>
    </row>
    <row r="410" spans="1:8" x14ac:dyDescent="0.25">
      <c r="A410" s="1">
        <v>44221</v>
      </c>
      <c r="B410">
        <f>1.792</f>
        <v>1.792</v>
      </c>
      <c r="C410">
        <f>1.0295</f>
        <v>1.0295000000000001</v>
      </c>
      <c r="D410">
        <f>0.1149</f>
        <v>0.1149</v>
      </c>
      <c r="E410">
        <f>-0.55</f>
        <v>-0.55000000000000004</v>
      </c>
      <c r="F410">
        <f>-0.136</f>
        <v>-0.13600000000000001</v>
      </c>
      <c r="G410">
        <f>-0.727</f>
        <v>-0.72699999999999998</v>
      </c>
      <c r="H410">
        <f>0.262</f>
        <v>0.26200000000000001</v>
      </c>
    </row>
    <row r="411" spans="1:8" x14ac:dyDescent="0.25">
      <c r="A411" s="1">
        <v>44218</v>
      </c>
      <c r="B411">
        <f>1.8466</f>
        <v>1.8466</v>
      </c>
      <c r="C411">
        <f>1.0855</f>
        <v>1.0854999999999999</v>
      </c>
      <c r="D411">
        <f>0.1209</f>
        <v>0.12089999999999999</v>
      </c>
      <c r="E411">
        <f>-0.512</f>
        <v>-0.51200000000000001</v>
      </c>
      <c r="F411">
        <f>-0.097</f>
        <v>-9.7000000000000003E-2</v>
      </c>
      <c r="G411">
        <f>-0.707</f>
        <v>-0.70699999999999996</v>
      </c>
      <c r="H411">
        <f>0.308</f>
        <v>0.308</v>
      </c>
    </row>
    <row r="412" spans="1:8" x14ac:dyDescent="0.25">
      <c r="A412" s="1">
        <v>44217</v>
      </c>
      <c r="B412">
        <f>1.8692</f>
        <v>1.8692</v>
      </c>
      <c r="C412">
        <f>1.1058</f>
        <v>1.1057999999999999</v>
      </c>
      <c r="D412">
        <f>0.1189</f>
        <v>0.11890000000000001</v>
      </c>
      <c r="E412">
        <f>-0.496</f>
        <v>-0.496</v>
      </c>
      <c r="F412">
        <f>-0.078</f>
        <v>-7.8E-2</v>
      </c>
      <c r="G412">
        <f>-0.7</f>
        <v>-0.7</v>
      </c>
      <c r="H412">
        <f>0.331</f>
        <v>0.33100000000000002</v>
      </c>
    </row>
    <row r="413" spans="1:8" x14ac:dyDescent="0.25">
      <c r="A413" s="1">
        <v>44216</v>
      </c>
      <c r="B413">
        <f>1.8296</f>
        <v>1.8295999999999999</v>
      </c>
      <c r="C413">
        <f>1.0802</f>
        <v>1.0802</v>
      </c>
      <c r="D413">
        <f>0.127</f>
        <v>0.127</v>
      </c>
      <c r="E413">
        <f>-0.529</f>
        <v>-0.52900000000000003</v>
      </c>
      <c r="F413">
        <f>-0.118</f>
        <v>-0.11799999999999999</v>
      </c>
      <c r="G413">
        <f>-0.71</f>
        <v>-0.71</v>
      </c>
      <c r="H413">
        <f>0.301</f>
        <v>0.30099999999999999</v>
      </c>
    </row>
    <row r="414" spans="1:8" x14ac:dyDescent="0.25">
      <c r="A414" s="1">
        <v>44215</v>
      </c>
      <c r="B414">
        <f>1.8338</f>
        <v>1.8338000000000001</v>
      </c>
      <c r="C414">
        <f>1.0886</f>
        <v>1.0886</v>
      </c>
      <c r="D414">
        <f>0.131</f>
        <v>0.13100000000000001</v>
      </c>
      <c r="E414">
        <f>-0.526</f>
        <v>-0.52600000000000002</v>
      </c>
      <c r="F414">
        <f>-0.114</f>
        <v>-0.114</v>
      </c>
      <c r="G414">
        <f>-0.707</f>
        <v>-0.70699999999999996</v>
      </c>
      <c r="H414">
        <f>0.289</f>
        <v>0.28899999999999998</v>
      </c>
    </row>
    <row r="415" spans="1:8" x14ac:dyDescent="0.25">
      <c r="A415" s="1">
        <v>44214</v>
      </c>
      <c r="B415">
        <f>1.8331</f>
        <v>1.8331</v>
      </c>
      <c r="C415">
        <f>1.0835</f>
        <v>1.0834999999999999</v>
      </c>
      <c r="D415">
        <f>0.133</f>
        <v>0.13300000000000001</v>
      </c>
      <c r="E415">
        <f>-0.527</f>
        <v>-0.52700000000000002</v>
      </c>
      <c r="F415">
        <f>-0.115</f>
        <v>-0.115</v>
      </c>
      <c r="G415">
        <f>-0.715</f>
        <v>-0.71499999999999997</v>
      </c>
      <c r="H415">
        <f>0.287</f>
        <v>0.28699999999999998</v>
      </c>
    </row>
    <row r="416" spans="1:8" x14ac:dyDescent="0.25">
      <c r="A416" s="1">
        <v>44211</v>
      </c>
      <c r="B416">
        <f>1.8331</f>
        <v>1.8331</v>
      </c>
      <c r="C416">
        <f>1.0835</f>
        <v>1.0834999999999999</v>
      </c>
      <c r="D416">
        <f>0.133</f>
        <v>0.13300000000000001</v>
      </c>
      <c r="E416">
        <f>-0.543</f>
        <v>-0.54300000000000004</v>
      </c>
      <c r="F416">
        <f>-0.133</f>
        <v>-0.13300000000000001</v>
      </c>
      <c r="G416">
        <f>-0.72</f>
        <v>-0.72</v>
      </c>
      <c r="H416">
        <f>0.288</f>
        <v>0.28799999999999998</v>
      </c>
    </row>
    <row r="417" spans="1:8" x14ac:dyDescent="0.25">
      <c r="A417" s="1">
        <v>44210</v>
      </c>
      <c r="B417">
        <f>1.8719</f>
        <v>1.8718999999999999</v>
      </c>
      <c r="C417">
        <f>1.1292</f>
        <v>1.1292</v>
      </c>
      <c r="D417">
        <f>0.139</f>
        <v>0.13900000000000001</v>
      </c>
      <c r="E417">
        <f>-0.55</f>
        <v>-0.55000000000000004</v>
      </c>
      <c r="F417">
        <f>-0.146</f>
        <v>-0.14599999999999999</v>
      </c>
      <c r="G417">
        <f>-0.727</f>
        <v>-0.72699999999999998</v>
      </c>
      <c r="H417">
        <f>0.291</f>
        <v>0.29099999999999998</v>
      </c>
    </row>
    <row r="418" spans="1:8" x14ac:dyDescent="0.25">
      <c r="A418" s="1">
        <v>44209</v>
      </c>
      <c r="B418">
        <f>1.8155</f>
        <v>1.8154999999999999</v>
      </c>
      <c r="C418">
        <f>1.0832</f>
        <v>1.0831999999999999</v>
      </c>
      <c r="D418">
        <f>0.143</f>
        <v>0.14299999999999999</v>
      </c>
      <c r="E418">
        <f>-0.522</f>
        <v>-0.52200000000000002</v>
      </c>
      <c r="F418">
        <f>-0.122</f>
        <v>-0.122</v>
      </c>
      <c r="G418">
        <f>-0.705</f>
        <v>-0.70499999999999996</v>
      </c>
      <c r="H418">
        <f>0.307</f>
        <v>0.307</v>
      </c>
    </row>
    <row r="419" spans="1:8" x14ac:dyDescent="0.25">
      <c r="A419" s="1">
        <v>44208</v>
      </c>
      <c r="B419">
        <f>1.8719</f>
        <v>1.8718999999999999</v>
      </c>
      <c r="C419">
        <f>1.1291</f>
        <v>1.1291</v>
      </c>
      <c r="D419">
        <f>0.1449</f>
        <v>0.1449</v>
      </c>
      <c r="E419">
        <f>-0.468</f>
        <v>-0.46800000000000003</v>
      </c>
      <c r="F419">
        <f>-0.065</f>
        <v>-6.5000000000000002E-2</v>
      </c>
      <c r="G419">
        <f>-0.691</f>
        <v>-0.69099999999999995</v>
      </c>
      <c r="H419">
        <f>0.352</f>
        <v>0.35199999999999998</v>
      </c>
    </row>
    <row r="420" spans="1:8" x14ac:dyDescent="0.25">
      <c r="A420" s="1">
        <v>44207</v>
      </c>
      <c r="B420">
        <f>1.8832</f>
        <v>1.8832</v>
      </c>
      <c r="C420">
        <f>1.146</f>
        <v>1.1459999999999999</v>
      </c>
      <c r="D420">
        <f>0.1449</f>
        <v>0.1449</v>
      </c>
      <c r="E420">
        <f>-0.496</f>
        <v>-0.496</v>
      </c>
      <c r="F420">
        <f>-0.09</f>
        <v>-0.09</v>
      </c>
      <c r="G420">
        <f>-0.699</f>
        <v>-0.69899999999999995</v>
      </c>
      <c r="H420">
        <f>0.309</f>
        <v>0.309</v>
      </c>
    </row>
    <row r="421" spans="1:8" x14ac:dyDescent="0.25">
      <c r="A421" s="1">
        <v>44204</v>
      </c>
      <c r="B421">
        <f>1.8733</f>
        <v>1.8733</v>
      </c>
      <c r="C421">
        <f>1.1153</f>
        <v>1.1153</v>
      </c>
      <c r="D421">
        <f>0.1329</f>
        <v>0.13289999999999999</v>
      </c>
      <c r="E421">
        <f>-0.519</f>
        <v>-0.51900000000000002</v>
      </c>
      <c r="F421">
        <f>-0.126</f>
        <v>-0.126</v>
      </c>
      <c r="G421">
        <f>-0.701</f>
        <v>-0.70099999999999996</v>
      </c>
      <c r="H421">
        <f>0.288</f>
        <v>0.28799999999999998</v>
      </c>
    </row>
    <row r="422" spans="1:8" x14ac:dyDescent="0.25">
      <c r="A422" s="1">
        <v>44203</v>
      </c>
      <c r="B422">
        <f>1.8527</f>
        <v>1.8527</v>
      </c>
      <c r="C422">
        <f>1.0795</f>
        <v>1.0794999999999999</v>
      </c>
      <c r="D422">
        <f>0.1369</f>
        <v>0.13689999999999999</v>
      </c>
      <c r="E422">
        <f>-0.522</f>
        <v>-0.52200000000000002</v>
      </c>
      <c r="F422">
        <f>-0.131</f>
        <v>-0.13100000000000001</v>
      </c>
      <c r="G422">
        <f>-0.704</f>
        <v>-0.70399999999999996</v>
      </c>
      <c r="H422">
        <f>0.284</f>
        <v>0.28399999999999997</v>
      </c>
    </row>
    <row r="423" spans="1:8" x14ac:dyDescent="0.25">
      <c r="A423" s="1">
        <v>44202</v>
      </c>
      <c r="B423">
        <f>1.814</f>
        <v>1.8140000000000001</v>
      </c>
      <c r="C423">
        <f>1.0355</f>
        <v>1.0355000000000001</v>
      </c>
      <c r="D423">
        <f>0.1369</f>
        <v>0.13689999999999999</v>
      </c>
      <c r="E423">
        <f>-0.52</f>
        <v>-0.52</v>
      </c>
      <c r="F423">
        <f>-0.137</f>
        <v>-0.13700000000000001</v>
      </c>
      <c r="G423">
        <f>-0.702</f>
        <v>-0.70199999999999996</v>
      </c>
      <c r="H423">
        <f>0.243</f>
        <v>0.24299999999999999</v>
      </c>
    </row>
    <row r="424" spans="1:8" x14ac:dyDescent="0.25">
      <c r="A424" s="1">
        <v>44201</v>
      </c>
      <c r="B424">
        <f>1.7081</f>
        <v>1.7081</v>
      </c>
      <c r="C424">
        <f>0.9549</f>
        <v>0.95489999999999997</v>
      </c>
      <c r="D424">
        <f>0.1211</f>
        <v>0.1211</v>
      </c>
      <c r="E424">
        <f>-0.577</f>
        <v>-0.57699999999999996</v>
      </c>
      <c r="F424">
        <f>-0.166</f>
        <v>-0.16600000000000001</v>
      </c>
      <c r="G424">
        <f>-0.716</f>
        <v>-0.71599999999999997</v>
      </c>
      <c r="H424">
        <f>0.209</f>
        <v>0.20899999999999999</v>
      </c>
    </row>
    <row r="425" spans="1:8" x14ac:dyDescent="0.25">
      <c r="A425" s="1">
        <v>44200</v>
      </c>
      <c r="B425">
        <f>1.6556</f>
        <v>1.6556</v>
      </c>
      <c r="C425">
        <f>0.9132</f>
        <v>0.91320000000000001</v>
      </c>
      <c r="D425">
        <f>0.1132</f>
        <v>0.1132</v>
      </c>
      <c r="E425">
        <f>-0.604</f>
        <v>-0.60399999999999998</v>
      </c>
      <c r="F425">
        <f>-0.196</f>
        <v>-0.19600000000000001</v>
      </c>
      <c r="G425">
        <f>-0.722</f>
        <v>-0.72199999999999998</v>
      </c>
      <c r="H425">
        <f>0.173</f>
        <v>0.17299999999999999</v>
      </c>
    </row>
    <row r="426" spans="1:8" x14ac:dyDescent="0.25">
      <c r="A426" s="1">
        <v>44197</v>
      </c>
      <c r="B426">
        <f>1.6449</f>
        <v>1.6449</v>
      </c>
      <c r="C426">
        <f>0.9132</f>
        <v>0.91320000000000001</v>
      </c>
      <c r="D426">
        <f>0.1211</f>
        <v>0.1211</v>
      </c>
      <c r="E426">
        <f>-0.569</f>
        <v>-0.56899999999999995</v>
      </c>
      <c r="F426">
        <f>-0.158</f>
        <v>-0.158</v>
      </c>
      <c r="G426">
        <f>-0.7</f>
        <v>-0.7</v>
      </c>
      <c r="H426">
        <f>0.197</f>
        <v>0.19700000000000001</v>
      </c>
    </row>
    <row r="427" spans="1:8" x14ac:dyDescent="0.25">
      <c r="A427" s="1">
        <v>44196</v>
      </c>
      <c r="B427">
        <f>1.6449</f>
        <v>1.6449</v>
      </c>
      <c r="C427">
        <f>0.9132</f>
        <v>0.91320000000000001</v>
      </c>
      <c r="D427">
        <f>0.1211</f>
        <v>0.1211</v>
      </c>
      <c r="E427">
        <f>-0.569</f>
        <v>-0.56899999999999995</v>
      </c>
      <c r="F427">
        <f>-0.158</f>
        <v>-0.158</v>
      </c>
      <c r="G427">
        <f>-0.7</f>
        <v>-0.7</v>
      </c>
      <c r="H427">
        <f>0.197</f>
        <v>0.19700000000000001</v>
      </c>
    </row>
    <row r="428" spans="1:8" x14ac:dyDescent="0.25">
      <c r="A428" s="1">
        <v>44195</v>
      </c>
      <c r="B428">
        <f>1.6556</f>
        <v>1.6556</v>
      </c>
      <c r="C428">
        <f>0.9231</f>
        <v>0.92310000000000003</v>
      </c>
      <c r="D428">
        <f>0.1211</f>
        <v>0.1211</v>
      </c>
      <c r="E428">
        <f>-0.569</f>
        <v>-0.56899999999999995</v>
      </c>
      <c r="F428">
        <f>-0.158</f>
        <v>-0.158</v>
      </c>
      <c r="G428">
        <f>-0.699</f>
        <v>-0.69899999999999995</v>
      </c>
      <c r="H428">
        <f>0.213</f>
        <v>0.21299999999999999</v>
      </c>
    </row>
    <row r="429" spans="1:8" x14ac:dyDescent="0.25">
      <c r="A429" s="1">
        <v>44194</v>
      </c>
      <c r="B429">
        <f>1.675</f>
        <v>1.675</v>
      </c>
      <c r="C429">
        <f>0.9364</f>
        <v>0.93640000000000001</v>
      </c>
      <c r="D429">
        <f>0.125</f>
        <v>0.125</v>
      </c>
      <c r="E429">
        <f>-0.571</f>
        <v>-0.57099999999999995</v>
      </c>
      <c r="F429">
        <f>-0.168</f>
        <v>-0.16800000000000001</v>
      </c>
      <c r="G429">
        <f>-0.716</f>
        <v>-0.71599999999999997</v>
      </c>
      <c r="H429">
        <f>0.213</f>
        <v>0.21299999999999999</v>
      </c>
    </row>
    <row r="430" spans="1:8" x14ac:dyDescent="0.25">
      <c r="A430" s="1">
        <v>44193</v>
      </c>
      <c r="B430">
        <f>1.6589</f>
        <v>1.6589</v>
      </c>
      <c r="C430">
        <f>0.9231</f>
        <v>0.92310000000000003</v>
      </c>
      <c r="D430">
        <f>0.1189</f>
        <v>0.11890000000000001</v>
      </c>
      <c r="E430">
        <f>-0.565</f>
        <v>-0.56499999999999995</v>
      </c>
      <c r="F430">
        <f>-0.156</f>
        <v>-0.156</v>
      </c>
      <c r="G430">
        <f>-0.705</f>
        <v>-0.70499999999999996</v>
      </c>
      <c r="H430">
        <f>0.257</f>
        <v>0.25700000000000001</v>
      </c>
    </row>
    <row r="431" spans="1:8" x14ac:dyDescent="0.25">
      <c r="A431" s="1">
        <v>44190</v>
      </c>
      <c r="B431">
        <f>1.6602</f>
        <v>1.6601999999999999</v>
      </c>
      <c r="C431">
        <f>0.9231</f>
        <v>0.92310000000000003</v>
      </c>
      <c r="D431">
        <f>0.1189</f>
        <v>0.11890000000000001</v>
      </c>
      <c r="E431">
        <f>-0.548</f>
        <v>-0.54800000000000004</v>
      </c>
      <c r="F431">
        <f>-0.15</f>
        <v>-0.15</v>
      </c>
      <c r="G431">
        <f>-0.705</f>
        <v>-0.70499999999999996</v>
      </c>
      <c r="H431">
        <f>0.257</f>
        <v>0.25700000000000001</v>
      </c>
    </row>
    <row r="432" spans="1:8" x14ac:dyDescent="0.25">
      <c r="A432" s="1">
        <v>44189</v>
      </c>
      <c r="B432">
        <f>1.6602</f>
        <v>1.6601999999999999</v>
      </c>
      <c r="C432">
        <f>0.9231</f>
        <v>0.92310000000000003</v>
      </c>
      <c r="D432">
        <f>0.1189</f>
        <v>0.11890000000000001</v>
      </c>
      <c r="E432">
        <f>-0.548</f>
        <v>-0.54800000000000004</v>
      </c>
      <c r="F432">
        <f>-0.15</f>
        <v>-0.15</v>
      </c>
      <c r="G432">
        <f>-0.705</f>
        <v>-0.70499999999999996</v>
      </c>
      <c r="H432">
        <f>0.257</f>
        <v>0.25700000000000001</v>
      </c>
    </row>
    <row r="433" spans="1:8" x14ac:dyDescent="0.25">
      <c r="A433" s="1">
        <v>44188</v>
      </c>
      <c r="B433">
        <f>1.681</f>
        <v>1.681</v>
      </c>
      <c r="C433">
        <f>0.943</f>
        <v>0.94299999999999995</v>
      </c>
      <c r="D433">
        <f>0.1169</f>
        <v>0.1169</v>
      </c>
      <c r="E433">
        <f>-0.547</f>
        <v>-0.54700000000000004</v>
      </c>
      <c r="F433">
        <f>-0.15</f>
        <v>-0.15</v>
      </c>
      <c r="G433">
        <f>-0.704</f>
        <v>-0.70399999999999996</v>
      </c>
      <c r="H433">
        <f>0.286</f>
        <v>0.28599999999999998</v>
      </c>
    </row>
    <row r="434" spans="1:8" x14ac:dyDescent="0.25">
      <c r="A434" s="1">
        <v>44187</v>
      </c>
      <c r="B434">
        <f>1.6482</f>
        <v>1.6482000000000001</v>
      </c>
      <c r="C434">
        <f>0.9164</f>
        <v>0.91639999999999999</v>
      </c>
      <c r="D434">
        <f>0.1129</f>
        <v>0.1129</v>
      </c>
      <c r="E434">
        <f>-0.595</f>
        <v>-0.59499999999999997</v>
      </c>
      <c r="F434">
        <f>-0.198</f>
        <v>-0.19800000000000001</v>
      </c>
      <c r="G434">
        <f>-0.736</f>
        <v>-0.73599999999999999</v>
      </c>
      <c r="H434">
        <f>0.183</f>
        <v>0.183</v>
      </c>
    </row>
    <row r="435" spans="1:8" x14ac:dyDescent="0.25">
      <c r="A435" s="1">
        <v>44186</v>
      </c>
      <c r="B435">
        <f>1.673</f>
        <v>1.673</v>
      </c>
      <c r="C435">
        <f>0.9346</f>
        <v>0.93459999999999999</v>
      </c>
      <c r="D435">
        <f>0.121</f>
        <v>0.121</v>
      </c>
      <c r="E435">
        <f>-0.58</f>
        <v>-0.57999999999999996</v>
      </c>
      <c r="F435">
        <f>-0.176</f>
        <v>-0.17599999999999999</v>
      </c>
      <c r="G435">
        <f>-0.736</f>
        <v>-0.73599999999999999</v>
      </c>
      <c r="H435">
        <f>0.205</f>
        <v>0.20499999999999999</v>
      </c>
    </row>
    <row r="436" spans="1:8" x14ac:dyDescent="0.25">
      <c r="A436" s="1">
        <v>44183</v>
      </c>
      <c r="B436">
        <f>1.6918</f>
        <v>1.6918</v>
      </c>
      <c r="C436">
        <f>0.9462</f>
        <v>0.94620000000000004</v>
      </c>
      <c r="D436">
        <f>0.121</f>
        <v>0.121</v>
      </c>
      <c r="E436">
        <f>-0.571</f>
        <v>-0.57099999999999995</v>
      </c>
      <c r="F436">
        <f>-0.16</f>
        <v>-0.16</v>
      </c>
      <c r="G436">
        <f>-0.725</f>
        <v>-0.72499999999999998</v>
      </c>
      <c r="H436">
        <f>0.249</f>
        <v>0.249</v>
      </c>
    </row>
    <row r="437" spans="1:8" x14ac:dyDescent="0.25">
      <c r="A437" s="1">
        <v>44182</v>
      </c>
      <c r="B437">
        <f>1.6803</f>
        <v>1.6802999999999999</v>
      </c>
      <c r="C437">
        <f>0.9329</f>
        <v>0.93289999999999995</v>
      </c>
      <c r="D437">
        <f>0.121</f>
        <v>0.121</v>
      </c>
      <c r="E437">
        <f>-0.57</f>
        <v>-0.56999999999999995</v>
      </c>
      <c r="F437">
        <f>-0.155</f>
        <v>-0.155</v>
      </c>
      <c r="G437">
        <f>-0.725</f>
        <v>-0.72499999999999998</v>
      </c>
      <c r="H437">
        <f>0.287</f>
        <v>0.28699999999999998</v>
      </c>
    </row>
    <row r="438" spans="1:8" x14ac:dyDescent="0.25">
      <c r="A438" s="1">
        <v>44181</v>
      </c>
      <c r="B438">
        <f>1.6555</f>
        <v>1.6555</v>
      </c>
      <c r="C438">
        <f>0.9163</f>
        <v>0.9163</v>
      </c>
      <c r="D438">
        <f>0.115</f>
        <v>0.115</v>
      </c>
      <c r="E438">
        <f>-0.567</f>
        <v>-0.56699999999999995</v>
      </c>
      <c r="F438">
        <f>-0.162</f>
        <v>-0.16200000000000001</v>
      </c>
      <c r="G438">
        <f>-0.725</f>
        <v>-0.72499999999999998</v>
      </c>
      <c r="H438">
        <f>0.272</f>
        <v>0.27200000000000002</v>
      </c>
    </row>
    <row r="439" spans="1:8" x14ac:dyDescent="0.25">
      <c r="A439" s="1">
        <v>44180</v>
      </c>
      <c r="B439">
        <f>1.6502</f>
        <v>1.6501999999999999</v>
      </c>
      <c r="C439">
        <f>0.908</f>
        <v>0.90800000000000003</v>
      </c>
      <c r="D439">
        <f>0.113</f>
        <v>0.113</v>
      </c>
      <c r="E439">
        <f>-0.611</f>
        <v>-0.61099999999999999</v>
      </c>
      <c r="F439">
        <f>-0.201</f>
        <v>-0.20100000000000001</v>
      </c>
      <c r="G439">
        <f>-0.756</f>
        <v>-0.75600000000000001</v>
      </c>
      <c r="H439">
        <f>0.26</f>
        <v>0.26</v>
      </c>
    </row>
    <row r="440" spans="1:8" x14ac:dyDescent="0.25">
      <c r="A440" s="1">
        <v>44179</v>
      </c>
      <c r="B440">
        <f>1.629</f>
        <v>1.629</v>
      </c>
      <c r="C440">
        <f>0.8931</f>
        <v>0.8931</v>
      </c>
      <c r="D440">
        <f>0.115</f>
        <v>0.115</v>
      </c>
      <c r="E440">
        <f>-0.62</f>
        <v>-0.62</v>
      </c>
      <c r="F440">
        <f>-0.212</f>
        <v>-0.21199999999999999</v>
      </c>
      <c r="G440">
        <f>-0.771</f>
        <v>-0.77100000000000002</v>
      </c>
      <c r="H440">
        <f>0.222</f>
        <v>0.222</v>
      </c>
    </row>
    <row r="441" spans="1:8" x14ac:dyDescent="0.25">
      <c r="A441" s="1">
        <v>44176</v>
      </c>
      <c r="B441">
        <f>1.627</f>
        <v>1.627</v>
      </c>
      <c r="C441">
        <f>0.8964</f>
        <v>0.89639999999999997</v>
      </c>
      <c r="D441">
        <f>0.115</f>
        <v>0.115</v>
      </c>
      <c r="E441">
        <f>-0.636</f>
        <v>-0.63600000000000001</v>
      </c>
      <c r="F441">
        <f>-0.239</f>
        <v>-0.23899999999999999</v>
      </c>
      <c r="G441">
        <f>-0.783</f>
        <v>-0.78300000000000003</v>
      </c>
      <c r="H441">
        <f>0.172</f>
        <v>0.17199999999999999</v>
      </c>
    </row>
    <row r="442" spans="1:8" x14ac:dyDescent="0.25">
      <c r="A442" s="1">
        <v>44175</v>
      </c>
      <c r="B442">
        <f>1.627</f>
        <v>1.627</v>
      </c>
      <c r="C442">
        <f>0.9063</f>
        <v>0.90629999999999999</v>
      </c>
      <c r="D442">
        <f>0.1369</f>
        <v>0.13689999999999999</v>
      </c>
      <c r="E442">
        <f>-0.603</f>
        <v>-0.60299999999999998</v>
      </c>
      <c r="F442">
        <f>-0.186</f>
        <v>-0.186</v>
      </c>
      <c r="G442">
        <f>-0.766</f>
        <v>-0.76600000000000001</v>
      </c>
      <c r="H442">
        <f>0.201</f>
        <v>0.20100000000000001</v>
      </c>
    </row>
    <row r="443" spans="1:8" x14ac:dyDescent="0.25">
      <c r="A443" s="1">
        <v>44174</v>
      </c>
      <c r="B443">
        <f>1.6843</f>
        <v>1.6842999999999999</v>
      </c>
      <c r="C443">
        <f>0.9361</f>
        <v>0.93610000000000004</v>
      </c>
      <c r="D443">
        <f>0.1488</f>
        <v>0.14879999999999999</v>
      </c>
      <c r="E443">
        <f>-0.605</f>
        <v>-0.60499999999999998</v>
      </c>
      <c r="F443">
        <f>-0.179</f>
        <v>-0.17899999999999999</v>
      </c>
      <c r="G443">
        <f>-0.774</f>
        <v>-0.77400000000000002</v>
      </c>
      <c r="H443">
        <f>0.261</f>
        <v>0.26100000000000001</v>
      </c>
    </row>
    <row r="444" spans="1:8" x14ac:dyDescent="0.25">
      <c r="A444" s="1">
        <v>44173</v>
      </c>
      <c r="B444">
        <f>1.6622</f>
        <v>1.6621999999999999</v>
      </c>
      <c r="C444">
        <f>0.9179</f>
        <v>0.91790000000000005</v>
      </c>
      <c r="D444">
        <f>0.1508</f>
        <v>0.15079999999999999</v>
      </c>
      <c r="E444">
        <f>-0.607</f>
        <v>-0.60699999999999998</v>
      </c>
      <c r="F444">
        <f>-0.185</f>
        <v>-0.185</v>
      </c>
      <c r="G444">
        <f>-0.773</f>
        <v>-0.77300000000000002</v>
      </c>
      <c r="H444">
        <f>0.257</f>
        <v>0.25700000000000001</v>
      </c>
    </row>
    <row r="445" spans="1:8" x14ac:dyDescent="0.25">
      <c r="A445" s="1">
        <v>44172</v>
      </c>
      <c r="B445">
        <f>1.6796</f>
        <v>1.6796</v>
      </c>
      <c r="C445">
        <f>0.9228</f>
        <v>0.92279999999999995</v>
      </c>
      <c r="D445">
        <f>0.1408</f>
        <v>0.14080000000000001</v>
      </c>
      <c r="E445">
        <f>-0.582</f>
        <v>-0.58199999999999996</v>
      </c>
      <c r="F445">
        <f>-0.156</f>
        <v>-0.156</v>
      </c>
      <c r="G445">
        <f>-0.759</f>
        <v>-0.75900000000000001</v>
      </c>
      <c r="H445">
        <f>0.283</f>
        <v>0.28299999999999997</v>
      </c>
    </row>
    <row r="446" spans="1:8" x14ac:dyDescent="0.25">
      <c r="A446" s="1">
        <v>44169</v>
      </c>
      <c r="B446">
        <f>1.7344</f>
        <v>1.7343999999999999</v>
      </c>
      <c r="C446">
        <f>0.9659</f>
        <v>0.96589999999999998</v>
      </c>
      <c r="D446">
        <f>0.1507</f>
        <v>0.1507</v>
      </c>
      <c r="E446">
        <f>-0.547</f>
        <v>-0.54700000000000004</v>
      </c>
      <c r="F446">
        <f>-0.12</f>
        <v>-0.12</v>
      </c>
      <c r="G446">
        <f>-0.747</f>
        <v>-0.747</v>
      </c>
      <c r="H446">
        <f>0.351</f>
        <v>0.35099999999999998</v>
      </c>
    </row>
    <row r="447" spans="1:8" x14ac:dyDescent="0.25">
      <c r="A447" s="1">
        <v>44168</v>
      </c>
      <c r="B447">
        <f>1.6529</f>
        <v>1.6529</v>
      </c>
      <c r="C447">
        <f>0.9063</f>
        <v>0.90629999999999999</v>
      </c>
      <c r="D447">
        <f>0.1486</f>
        <v>0.14860000000000001</v>
      </c>
      <c r="E447">
        <f>-0.556</f>
        <v>-0.55600000000000005</v>
      </c>
      <c r="F447">
        <f>-0.14</f>
        <v>-0.14000000000000001</v>
      </c>
      <c r="G447">
        <f>-0.737</f>
        <v>-0.73699999999999999</v>
      </c>
      <c r="H447">
        <f>0.322</f>
        <v>0.32200000000000001</v>
      </c>
    </row>
    <row r="448" spans="1:8" x14ac:dyDescent="0.25">
      <c r="A448" s="1">
        <v>44167</v>
      </c>
      <c r="B448">
        <f>1.6856</f>
        <v>1.6856</v>
      </c>
      <c r="C448">
        <f>0.936</f>
        <v>0.93600000000000005</v>
      </c>
      <c r="D448">
        <f>0.1584</f>
        <v>0.15840000000000001</v>
      </c>
      <c r="E448">
        <f>-0.519</f>
        <v>-0.51900000000000002</v>
      </c>
      <c r="F448">
        <f>-0.105</f>
        <v>-0.105</v>
      </c>
      <c r="G448">
        <f>-0.716</f>
        <v>-0.71599999999999997</v>
      </c>
      <c r="H448">
        <f>0.354</f>
        <v>0.35399999999999998</v>
      </c>
    </row>
    <row r="449" spans="1:8" x14ac:dyDescent="0.25">
      <c r="A449" s="1">
        <v>44166</v>
      </c>
      <c r="B449">
        <f>1.6682</f>
        <v>1.6681999999999999</v>
      </c>
      <c r="C449">
        <f>0.926</f>
        <v>0.92600000000000005</v>
      </c>
      <c r="D449">
        <f>0.1662</f>
        <v>0.16619999999999999</v>
      </c>
      <c r="E449">
        <f>-0.528</f>
        <v>-0.52800000000000002</v>
      </c>
      <c r="F449">
        <f>-0.117</f>
        <v>-0.11700000000000001</v>
      </c>
      <c r="G449">
        <f>-0.718</f>
        <v>-0.71799999999999997</v>
      </c>
      <c r="H449">
        <f>0.347</f>
        <v>0.34699999999999998</v>
      </c>
    </row>
    <row r="450" spans="1:8" x14ac:dyDescent="0.25">
      <c r="A450" s="1">
        <v>44165</v>
      </c>
      <c r="B450">
        <f>1.5673</f>
        <v>1.5672999999999999</v>
      </c>
      <c r="C450">
        <f>0.8389</f>
        <v>0.83889999999999998</v>
      </c>
      <c r="D450">
        <f>0.1485</f>
        <v>0.14849999999999999</v>
      </c>
      <c r="E450">
        <f>-0.571</f>
        <v>-0.57099999999999995</v>
      </c>
      <c r="F450">
        <f>-0.166</f>
        <v>-0.16600000000000001</v>
      </c>
      <c r="G450">
        <f>-0.743</f>
        <v>-0.74299999999999999</v>
      </c>
      <c r="H450">
        <f>0.305</f>
        <v>0.30499999999999999</v>
      </c>
    </row>
    <row r="451" spans="1:8" x14ac:dyDescent="0.25">
      <c r="A451" s="1">
        <v>44162</v>
      </c>
      <c r="B451">
        <f>1.5699</f>
        <v>1.5699000000000001</v>
      </c>
      <c r="C451">
        <f>0.8373</f>
        <v>0.83730000000000004</v>
      </c>
      <c r="D451">
        <f>0.1524</f>
        <v>0.15240000000000001</v>
      </c>
      <c r="E451">
        <f>-0.588</f>
        <v>-0.58799999999999997</v>
      </c>
      <c r="F451">
        <f>-0.182</f>
        <v>-0.182</v>
      </c>
      <c r="G451">
        <f>-0.755</f>
        <v>-0.755</v>
      </c>
      <c r="H451">
        <f>0.284</f>
        <v>0.28399999999999997</v>
      </c>
    </row>
    <row r="452" spans="1:8" x14ac:dyDescent="0.25">
      <c r="A452" s="1">
        <v>44161</v>
      </c>
      <c r="B452">
        <f>1.6237</f>
        <v>1.6236999999999999</v>
      </c>
      <c r="C452">
        <f>0.8816</f>
        <v>0.88160000000000005</v>
      </c>
      <c r="D452">
        <f>0.1583</f>
        <v>0.1583</v>
      </c>
      <c r="E452">
        <f>-0.588</f>
        <v>-0.58799999999999997</v>
      </c>
      <c r="F452">
        <f>-0.178</f>
        <v>-0.17799999999999999</v>
      </c>
      <c r="G452">
        <f>-0.756</f>
        <v>-0.75600000000000001</v>
      </c>
      <c r="H452">
        <f>0.281</f>
        <v>0.28100000000000003</v>
      </c>
    </row>
    <row r="453" spans="1:8" x14ac:dyDescent="0.25">
      <c r="A453" s="1">
        <v>44160</v>
      </c>
      <c r="B453">
        <f>1.6237</f>
        <v>1.6236999999999999</v>
      </c>
      <c r="C453">
        <f>0.8816</f>
        <v>0.88160000000000005</v>
      </c>
      <c r="D453">
        <f>0.1583</f>
        <v>0.1583</v>
      </c>
      <c r="E453">
        <f>-0.568</f>
        <v>-0.56799999999999995</v>
      </c>
      <c r="F453">
        <f>-0.156</f>
        <v>-0.156</v>
      </c>
      <c r="G453">
        <f>-0.75</f>
        <v>-0.75</v>
      </c>
      <c r="H453">
        <f>0.318</f>
        <v>0.318</v>
      </c>
    </row>
    <row r="454" spans="1:8" x14ac:dyDescent="0.25">
      <c r="A454" s="1">
        <v>44159</v>
      </c>
      <c r="B454">
        <f>1.6052</f>
        <v>1.6052</v>
      </c>
      <c r="C454">
        <f>0.8799</f>
        <v>0.87990000000000002</v>
      </c>
      <c r="D454">
        <f>0.1602</f>
        <v>0.16020000000000001</v>
      </c>
      <c r="E454">
        <f>-0.563</f>
        <v>-0.56299999999999994</v>
      </c>
      <c r="F454">
        <f>-0.149</f>
        <v>-0.14899999999999999</v>
      </c>
      <c r="G454">
        <f>-0.743</f>
        <v>-0.74299999999999999</v>
      </c>
      <c r="H454">
        <f>0.33</f>
        <v>0.33</v>
      </c>
    </row>
    <row r="455" spans="1:8" x14ac:dyDescent="0.25">
      <c r="A455" s="1">
        <v>44158</v>
      </c>
      <c r="B455">
        <f>1.5531</f>
        <v>1.5530999999999999</v>
      </c>
      <c r="C455">
        <f>0.8537</f>
        <v>0.85370000000000001</v>
      </c>
      <c r="D455">
        <f>0.1594</f>
        <v>0.15939999999999999</v>
      </c>
      <c r="E455">
        <f>-0.581</f>
        <v>-0.58099999999999996</v>
      </c>
      <c r="F455">
        <f>-0.165</f>
        <v>-0.16500000000000001</v>
      </c>
      <c r="G455">
        <f>-0.753</f>
        <v>-0.753</v>
      </c>
      <c r="H455">
        <f>0.318</f>
        <v>0.318</v>
      </c>
    </row>
    <row r="456" spans="1:8" x14ac:dyDescent="0.25">
      <c r="A456" s="1">
        <v>44155</v>
      </c>
      <c r="B456">
        <f>1.5196</f>
        <v>1.5196000000000001</v>
      </c>
      <c r="C456">
        <f>0.8243</f>
        <v>0.82430000000000003</v>
      </c>
      <c r="D456">
        <f>0.1573</f>
        <v>0.1573</v>
      </c>
      <c r="E456">
        <f>-0.583</f>
        <v>-0.58299999999999996</v>
      </c>
      <c r="F456">
        <f>-0.176</f>
        <v>-0.17599999999999999</v>
      </c>
      <c r="G456">
        <f>-0.751</f>
        <v>-0.751</v>
      </c>
      <c r="H456">
        <f>0.302</f>
        <v>0.30199999999999999</v>
      </c>
    </row>
    <row r="457" spans="1:8" x14ac:dyDescent="0.25">
      <c r="A457" s="1">
        <v>44154</v>
      </c>
      <c r="B457">
        <f>1.5453</f>
        <v>1.5452999999999999</v>
      </c>
      <c r="C457">
        <f>0.8293</f>
        <v>0.82930000000000004</v>
      </c>
      <c r="D457">
        <f>0.1612</f>
        <v>0.16120000000000001</v>
      </c>
      <c r="E457">
        <f>-0.571</f>
        <v>-0.57099999999999995</v>
      </c>
      <c r="F457">
        <f>-0.174</f>
        <v>-0.17399999999999999</v>
      </c>
      <c r="G457">
        <f>-0.735</f>
        <v>-0.73499999999999999</v>
      </c>
      <c r="H457">
        <f>0.323</f>
        <v>0.32300000000000001</v>
      </c>
    </row>
    <row r="458" spans="1:8" x14ac:dyDescent="0.25">
      <c r="A458" s="1">
        <v>44153</v>
      </c>
      <c r="B458">
        <f>1.6</f>
        <v>1.6</v>
      </c>
      <c r="C458">
        <f>0.8701</f>
        <v>0.87009999999999998</v>
      </c>
      <c r="D458">
        <f>0.1732</f>
        <v>0.17319999999999999</v>
      </c>
      <c r="E458">
        <f>-0.554</f>
        <v>-0.55400000000000005</v>
      </c>
      <c r="F458">
        <f>-0.149</f>
        <v>-0.14899999999999999</v>
      </c>
      <c r="G458">
        <f>-0.727</f>
        <v>-0.72699999999999998</v>
      </c>
      <c r="H458">
        <f>0.337</f>
        <v>0.33700000000000002</v>
      </c>
    </row>
    <row r="459" spans="1:8" x14ac:dyDescent="0.25">
      <c r="A459" s="1">
        <v>44152</v>
      </c>
      <c r="B459">
        <f>1.6059</f>
        <v>1.6059000000000001</v>
      </c>
      <c r="C459">
        <f>0.857</f>
        <v>0.85699999999999998</v>
      </c>
      <c r="D459">
        <f>0.1692</f>
        <v>0.16919999999999999</v>
      </c>
      <c r="E459">
        <f>-0.563</f>
        <v>-0.56299999999999994</v>
      </c>
      <c r="F459">
        <f>-0.157</f>
        <v>-0.157</v>
      </c>
      <c r="G459">
        <f>-0.721</f>
        <v>-0.72099999999999997</v>
      </c>
      <c r="H459">
        <f>0.324</f>
        <v>0.32400000000000001</v>
      </c>
    </row>
    <row r="460" spans="1:8" x14ac:dyDescent="0.25">
      <c r="A460" s="1">
        <v>44151</v>
      </c>
      <c r="B460">
        <f>1.6628</f>
        <v>1.6628000000000001</v>
      </c>
      <c r="C460">
        <f>0.9061</f>
        <v>0.90610000000000002</v>
      </c>
      <c r="D460">
        <f>0.1771</f>
        <v>0.17710000000000001</v>
      </c>
      <c r="E460">
        <f>-0.545</f>
        <v>-0.54500000000000004</v>
      </c>
      <c r="F460">
        <f>-0.135</f>
        <v>-0.13500000000000001</v>
      </c>
      <c r="G460">
        <f>-0.721</f>
        <v>-0.72099999999999997</v>
      </c>
      <c r="H460">
        <f>0.349</f>
        <v>0.34899999999999998</v>
      </c>
    </row>
    <row r="461" spans="1:8" x14ac:dyDescent="0.25">
      <c r="A461" s="1">
        <v>44148</v>
      </c>
      <c r="B461">
        <f>1.6469</f>
        <v>1.6469</v>
      </c>
      <c r="C461">
        <f>0.8963</f>
        <v>0.89629999999999999</v>
      </c>
      <c r="D461">
        <f>0.179</f>
        <v>0.17899999999999999</v>
      </c>
      <c r="E461">
        <f>-0.547</f>
        <v>-0.54700000000000004</v>
      </c>
      <c r="F461">
        <f>-0.128</f>
        <v>-0.128</v>
      </c>
      <c r="G461">
        <f>-0.727</f>
        <v>-0.72699999999999998</v>
      </c>
      <c r="H461">
        <f>0.338</f>
        <v>0.33800000000000002</v>
      </c>
    </row>
    <row r="462" spans="1:8" x14ac:dyDescent="0.25">
      <c r="A462" s="1">
        <v>44147</v>
      </c>
      <c r="B462">
        <f>1.6385</f>
        <v>1.6385000000000001</v>
      </c>
      <c r="C462">
        <f>0.8815</f>
        <v>0.88149999999999995</v>
      </c>
      <c r="D462">
        <f>0.1768</f>
        <v>0.17680000000000001</v>
      </c>
      <c r="E462">
        <f>-0.536</f>
        <v>-0.53600000000000003</v>
      </c>
      <c r="F462">
        <f>-0.112</f>
        <v>-0.112</v>
      </c>
      <c r="G462">
        <f>-0.723</f>
        <v>-0.72299999999999998</v>
      </c>
      <c r="H462">
        <f>0.348</f>
        <v>0.34799999999999998</v>
      </c>
    </row>
    <row r="463" spans="1:8" x14ac:dyDescent="0.25">
      <c r="A463" s="1">
        <v>44146</v>
      </c>
      <c r="B463">
        <f>1.7415</f>
        <v>1.7415</v>
      </c>
      <c r="C463">
        <f>0.9753</f>
        <v>0.97529999999999994</v>
      </c>
      <c r="D463">
        <f>0.1807</f>
        <v>0.1807</v>
      </c>
      <c r="E463">
        <f>-0.507</f>
        <v>-0.50700000000000001</v>
      </c>
      <c r="F463">
        <f>-0.073</f>
        <v>-7.2999999999999995E-2</v>
      </c>
      <c r="G463">
        <f>-0.715</f>
        <v>-0.71499999999999997</v>
      </c>
      <c r="H463">
        <f>0.413</f>
        <v>0.41299999999999998</v>
      </c>
    </row>
    <row r="464" spans="1:8" x14ac:dyDescent="0.25">
      <c r="A464" s="1">
        <v>44145</v>
      </c>
      <c r="B464">
        <f>1.7415</f>
        <v>1.7415</v>
      </c>
      <c r="C464">
        <f>0.9595</f>
        <v>0.95950000000000002</v>
      </c>
      <c r="D464">
        <f>0.1807</f>
        <v>0.1807</v>
      </c>
      <c r="E464">
        <f>-0.485</f>
        <v>-0.48499999999999999</v>
      </c>
      <c r="F464">
        <f>-0.045</f>
        <v>-4.4999999999999998E-2</v>
      </c>
      <c r="G464">
        <f>-0.711</f>
        <v>-0.71099999999999997</v>
      </c>
      <c r="H464">
        <f>0.401</f>
        <v>0.40100000000000002</v>
      </c>
    </row>
    <row r="465" spans="1:8" x14ac:dyDescent="0.25">
      <c r="A465" s="1">
        <v>44144</v>
      </c>
      <c r="B465">
        <f>1.7089</f>
        <v>1.7089000000000001</v>
      </c>
      <c r="C465">
        <f>0.9235</f>
        <v>0.92349999999999999</v>
      </c>
      <c r="D465">
        <f>0.1706</f>
        <v>0.1706</v>
      </c>
      <c r="E465">
        <f>-0.509</f>
        <v>-0.50900000000000001</v>
      </c>
      <c r="F465">
        <f>-0.071</f>
        <v>-7.0999999999999994E-2</v>
      </c>
      <c r="G465">
        <f>-0.729</f>
        <v>-0.72899999999999998</v>
      </c>
      <c r="H465">
        <f>0.372</f>
        <v>0.372</v>
      </c>
    </row>
    <row r="466" spans="1:8" x14ac:dyDescent="0.25">
      <c r="A466" s="1">
        <v>44141</v>
      </c>
      <c r="B466">
        <f>1.6</f>
        <v>1.6</v>
      </c>
      <c r="C466">
        <f>0.8185</f>
        <v>0.81850000000000001</v>
      </c>
      <c r="D466">
        <f>0.1527</f>
        <v>0.1527</v>
      </c>
      <c r="E466">
        <f>-0.621</f>
        <v>-0.621</v>
      </c>
      <c r="F466">
        <f>-0.202</f>
        <v>-0.20200000000000001</v>
      </c>
      <c r="G466">
        <f>-0.78</f>
        <v>-0.78</v>
      </c>
      <c r="H466">
        <f>0.274</f>
        <v>0.27400000000000002</v>
      </c>
    </row>
    <row r="467" spans="1:8" x14ac:dyDescent="0.25">
      <c r="A467" s="1">
        <v>44140</v>
      </c>
      <c r="B467">
        <f>1.5236</f>
        <v>1.5236000000000001</v>
      </c>
      <c r="C467">
        <f>0.7629</f>
        <v>0.76290000000000002</v>
      </c>
      <c r="D467">
        <f>0.1447</f>
        <v>0.1447</v>
      </c>
      <c r="E467">
        <f>-0.637</f>
        <v>-0.63700000000000001</v>
      </c>
      <c r="F467">
        <f>-0.227</f>
        <v>-0.22700000000000001</v>
      </c>
      <c r="G467">
        <f>-0.784</f>
        <v>-0.78400000000000003</v>
      </c>
      <c r="H467">
        <f>0.234</f>
        <v>0.23400000000000001</v>
      </c>
    </row>
    <row r="468" spans="1:8" x14ac:dyDescent="0.25">
      <c r="A468" s="1">
        <v>44139</v>
      </c>
      <c r="B468">
        <f>1.541</f>
        <v>1.5409999999999999</v>
      </c>
      <c r="C468">
        <f>0.7629</f>
        <v>0.76290000000000002</v>
      </c>
      <c r="D468">
        <f>0.1447</f>
        <v>0.1447</v>
      </c>
      <c r="E468">
        <f>-0.638</f>
        <v>-0.63800000000000001</v>
      </c>
      <c r="F468">
        <f>-0.231</f>
        <v>-0.23100000000000001</v>
      </c>
      <c r="G468">
        <f>-0.793</f>
        <v>-0.79300000000000004</v>
      </c>
      <c r="H468">
        <f>0.207</f>
        <v>0.20699999999999999</v>
      </c>
    </row>
    <row r="469" spans="1:8" x14ac:dyDescent="0.25">
      <c r="A469" s="1">
        <v>44138</v>
      </c>
      <c r="B469">
        <f>1.68</f>
        <v>1.68</v>
      </c>
      <c r="C469">
        <f>0.8993</f>
        <v>0.89929999999999999</v>
      </c>
      <c r="D469">
        <f>0.1663</f>
        <v>0.1663</v>
      </c>
      <c r="E469">
        <f>-0.62</f>
        <v>-0.62</v>
      </c>
      <c r="F469">
        <f>-0.214</f>
        <v>-0.214</v>
      </c>
      <c r="G469">
        <f>-0.794</f>
        <v>-0.79400000000000004</v>
      </c>
      <c r="H469">
        <f>0.272</f>
        <v>0.27200000000000002</v>
      </c>
    </row>
    <row r="470" spans="1:8" x14ac:dyDescent="0.25">
      <c r="A470" s="1">
        <v>44137</v>
      </c>
      <c r="B470">
        <f>1.6163</f>
        <v>1.6163000000000001</v>
      </c>
      <c r="C470">
        <f>0.8434</f>
        <v>0.84340000000000004</v>
      </c>
      <c r="D470">
        <f>0.1545</f>
        <v>0.1545</v>
      </c>
      <c r="E470">
        <f>-0.64</f>
        <v>-0.64</v>
      </c>
      <c r="F470">
        <f>-0.23</f>
        <v>-0.23</v>
      </c>
      <c r="G470">
        <f>-0.805</f>
        <v>-0.80500000000000005</v>
      </c>
      <c r="H470">
        <f>0.219</f>
        <v>0.219</v>
      </c>
    </row>
    <row r="471" spans="1:8" x14ac:dyDescent="0.25">
      <c r="A471" s="1">
        <v>44134</v>
      </c>
      <c r="B471">
        <f>1.6598</f>
        <v>1.6597999999999999</v>
      </c>
      <c r="C471">
        <f>0.8737</f>
        <v>0.87370000000000003</v>
      </c>
      <c r="D471">
        <f>0.1525</f>
        <v>0.1525</v>
      </c>
      <c r="E471">
        <f>-0.627</f>
        <v>-0.627</v>
      </c>
      <c r="F471">
        <f>-0.218</f>
        <v>-0.218</v>
      </c>
      <c r="G471">
        <f>-0.794</f>
        <v>-0.79400000000000004</v>
      </c>
      <c r="H471">
        <f>0.262</f>
        <v>0.26200000000000001</v>
      </c>
    </row>
    <row r="472" spans="1:8" x14ac:dyDescent="0.25">
      <c r="A472" s="1">
        <v>44133</v>
      </c>
      <c r="B472">
        <f>1.6019</f>
        <v>1.6019000000000001</v>
      </c>
      <c r="C472">
        <f>0.823</f>
        <v>0.82299999999999995</v>
      </c>
      <c r="D472">
        <f>0.1466</f>
        <v>0.14660000000000001</v>
      </c>
      <c r="E472">
        <f>-0.636</f>
        <v>-0.63600000000000001</v>
      </c>
      <c r="F472">
        <f>-0.224</f>
        <v>-0.224</v>
      </c>
      <c r="G472">
        <f>-0.809</f>
        <v>-0.80900000000000005</v>
      </c>
      <c r="H472">
        <f>0.221</f>
        <v>0.221</v>
      </c>
    </row>
    <row r="473" spans="1:8" x14ac:dyDescent="0.25">
      <c r="A473" s="1">
        <v>44132</v>
      </c>
      <c r="B473">
        <f>1.5537</f>
        <v>1.5537000000000001</v>
      </c>
      <c r="C473">
        <f>0.771</f>
        <v>0.77100000000000002</v>
      </c>
      <c r="D473">
        <f>0.1466</f>
        <v>0.14660000000000001</v>
      </c>
      <c r="E473">
        <f>-0.625</f>
        <v>-0.625</v>
      </c>
      <c r="F473">
        <f>-0.215</f>
        <v>-0.215</v>
      </c>
      <c r="G473">
        <f>-0.789</f>
        <v>-0.78900000000000003</v>
      </c>
      <c r="H473">
        <f>0.213</f>
        <v>0.21299999999999999</v>
      </c>
    </row>
    <row r="474" spans="1:8" x14ac:dyDescent="0.25">
      <c r="A474" s="1">
        <v>44131</v>
      </c>
      <c r="B474">
        <f>1.553</f>
        <v>1.5529999999999999</v>
      </c>
      <c r="C474">
        <f>0.7676</f>
        <v>0.76759999999999995</v>
      </c>
      <c r="D474">
        <f>0.1453</f>
        <v>0.14530000000000001</v>
      </c>
      <c r="E474">
        <f>-0.615</f>
        <v>-0.61499999999999999</v>
      </c>
      <c r="F474">
        <f>-0.196</f>
        <v>-0.19600000000000001</v>
      </c>
      <c r="G474">
        <f>-0.774</f>
        <v>-0.77400000000000002</v>
      </c>
      <c r="H474">
        <f>0.232</f>
        <v>0.23200000000000001</v>
      </c>
    </row>
    <row r="475" spans="1:8" x14ac:dyDescent="0.25">
      <c r="A475" s="1">
        <v>44130</v>
      </c>
      <c r="B475">
        <f>1.5909</f>
        <v>1.5909</v>
      </c>
      <c r="C475">
        <f>0.801</f>
        <v>0.80100000000000005</v>
      </c>
      <c r="D475">
        <f>0.1494</f>
        <v>0.14940000000000001</v>
      </c>
      <c r="E475">
        <f>-0.58</f>
        <v>-0.57999999999999996</v>
      </c>
      <c r="F475">
        <f>-0.162</f>
        <v>-0.16200000000000001</v>
      </c>
      <c r="G475">
        <f>-0.757</f>
        <v>-0.75700000000000001</v>
      </c>
      <c r="H475">
        <f>0.275</f>
        <v>0.27500000000000002</v>
      </c>
    </row>
    <row r="476" spans="1:8" x14ac:dyDescent="0.25">
      <c r="A476" s="1">
        <v>44127</v>
      </c>
      <c r="B476">
        <f>1.641</f>
        <v>1.641</v>
      </c>
      <c r="C476">
        <f>0.8429</f>
        <v>0.84289999999999998</v>
      </c>
      <c r="D476">
        <f>0.1554</f>
        <v>0.15540000000000001</v>
      </c>
      <c r="E476">
        <f>-0.574</f>
        <v>-0.57399999999999995</v>
      </c>
      <c r="F476">
        <f>-0.154</f>
        <v>-0.154</v>
      </c>
      <c r="G476">
        <f>-0.758</f>
        <v>-0.75800000000000001</v>
      </c>
      <c r="H476">
        <f>0.28</f>
        <v>0.28000000000000003</v>
      </c>
    </row>
    <row r="477" spans="1:8" x14ac:dyDescent="0.25">
      <c r="A477" s="1">
        <v>44126</v>
      </c>
      <c r="B477">
        <f>1.6756</f>
        <v>1.6756</v>
      </c>
      <c r="C477">
        <f>0.8562</f>
        <v>0.85619999999999996</v>
      </c>
      <c r="D477">
        <f>0.1533</f>
        <v>0.15329999999999999</v>
      </c>
      <c r="E477">
        <f>-0.566</f>
        <v>-0.56599999999999995</v>
      </c>
      <c r="F477">
        <f>-0.145</f>
        <v>-0.14499999999999999</v>
      </c>
      <c r="G477">
        <f>-0.765</f>
        <v>-0.76500000000000001</v>
      </c>
      <c r="H477">
        <f>0.284</f>
        <v>0.28399999999999997</v>
      </c>
    </row>
    <row r="478" spans="1:8" x14ac:dyDescent="0.25">
      <c r="A478" s="1">
        <v>44125</v>
      </c>
      <c r="B478">
        <f>1.6354</f>
        <v>1.6354</v>
      </c>
      <c r="C478">
        <f>0.8226</f>
        <v>0.8226</v>
      </c>
      <c r="D478">
        <f>0.1472</f>
        <v>0.1472</v>
      </c>
      <c r="E478">
        <f>-0.588</f>
        <v>-0.58799999999999997</v>
      </c>
      <c r="F478">
        <f>-0.174</f>
        <v>-0.17399999999999999</v>
      </c>
      <c r="G478">
        <f>-0.773</f>
        <v>-0.77300000000000002</v>
      </c>
      <c r="H478">
        <f>0.242</f>
        <v>0.24199999999999999</v>
      </c>
    </row>
    <row r="479" spans="1:8" x14ac:dyDescent="0.25">
      <c r="A479" s="1">
        <v>44124</v>
      </c>
      <c r="B479">
        <f>1.5915</f>
        <v>1.5914999999999999</v>
      </c>
      <c r="C479">
        <f>0.7857</f>
        <v>0.78569999999999995</v>
      </c>
      <c r="D479">
        <f>0.1431</f>
        <v>0.1431</v>
      </c>
      <c r="E479">
        <f>-0.606</f>
        <v>-0.60599999999999998</v>
      </c>
      <c r="F479">
        <f>-0.195</f>
        <v>-0.19500000000000001</v>
      </c>
      <c r="G479">
        <f>-0.781</f>
        <v>-0.78100000000000003</v>
      </c>
      <c r="H479">
        <f>0.187</f>
        <v>0.187</v>
      </c>
    </row>
    <row r="480" spans="1:8" x14ac:dyDescent="0.25">
      <c r="A480" s="1">
        <v>44123</v>
      </c>
      <c r="B480">
        <f>1.5597</f>
        <v>1.5597000000000001</v>
      </c>
      <c r="C480">
        <f>0.769</f>
        <v>0.76900000000000002</v>
      </c>
      <c r="D480">
        <f>0.1451</f>
        <v>0.14510000000000001</v>
      </c>
      <c r="E480">
        <f>-0.628</f>
        <v>-0.628</v>
      </c>
      <c r="F480">
        <f>-0.212</f>
        <v>-0.21199999999999999</v>
      </c>
      <c r="G480">
        <f>-0.787</f>
        <v>-0.78700000000000003</v>
      </c>
      <c r="H480">
        <f>0.169</f>
        <v>0.16900000000000001</v>
      </c>
    </row>
    <row r="481" spans="1:8" x14ac:dyDescent="0.25">
      <c r="A481" s="1">
        <v>44120</v>
      </c>
      <c r="B481">
        <f>1.5287</f>
        <v>1.5286999999999999</v>
      </c>
      <c r="C481">
        <f>0.7456</f>
        <v>0.74560000000000004</v>
      </c>
      <c r="D481">
        <f>0.1431</f>
        <v>0.1431</v>
      </c>
      <c r="E481">
        <f>-0.622</f>
        <v>-0.622</v>
      </c>
      <c r="F481">
        <f>-0.202</f>
        <v>-0.20200000000000001</v>
      </c>
      <c r="G481">
        <f>-0.775</f>
        <v>-0.77500000000000002</v>
      </c>
      <c r="H481">
        <f>0.182</f>
        <v>0.182</v>
      </c>
    </row>
    <row r="482" spans="1:8" x14ac:dyDescent="0.25">
      <c r="A482" s="1">
        <v>44119</v>
      </c>
      <c r="B482">
        <f>1.5134</f>
        <v>1.5134000000000001</v>
      </c>
      <c r="C482">
        <f>0.7322</f>
        <v>0.73219999999999996</v>
      </c>
      <c r="D482">
        <f>0.139</f>
        <v>0.13900000000000001</v>
      </c>
      <c r="E482">
        <f>-0.61</f>
        <v>-0.61</v>
      </c>
      <c r="F482">
        <f>-0.202</f>
        <v>-0.20200000000000001</v>
      </c>
      <c r="G482">
        <f>-0.768</f>
        <v>-0.76800000000000002</v>
      </c>
      <c r="H482">
        <f>0.18</f>
        <v>0.18</v>
      </c>
    </row>
    <row r="483" spans="1:8" x14ac:dyDescent="0.25">
      <c r="A483" s="1">
        <v>44118</v>
      </c>
      <c r="B483">
        <f>1.5054</f>
        <v>1.5054000000000001</v>
      </c>
      <c r="C483">
        <f>0.7256</f>
        <v>0.72560000000000002</v>
      </c>
      <c r="D483">
        <f>0.139</f>
        <v>0.13900000000000001</v>
      </c>
      <c r="E483">
        <f>-0.581</f>
        <v>-0.58099999999999996</v>
      </c>
      <c r="F483">
        <f>-0.161</f>
        <v>-0.161</v>
      </c>
      <c r="G483">
        <f>-0.745</f>
        <v>-0.745</v>
      </c>
      <c r="H483">
        <f>0.22</f>
        <v>0.22</v>
      </c>
    </row>
    <row r="484" spans="1:8" x14ac:dyDescent="0.25">
      <c r="A484" s="1">
        <v>44117</v>
      </c>
      <c r="B484">
        <f>1.5107</f>
        <v>1.5106999999999999</v>
      </c>
      <c r="C484">
        <f>0.7272</f>
        <v>0.72719999999999996</v>
      </c>
      <c r="D484">
        <f>0.139</f>
        <v>0.13900000000000001</v>
      </c>
      <c r="E484">
        <f>-0.556</f>
        <v>-0.55600000000000005</v>
      </c>
      <c r="F484">
        <f>-0.13</f>
        <v>-0.13</v>
      </c>
      <c r="G484">
        <f>-0.735</f>
        <v>-0.73499999999999999</v>
      </c>
      <c r="H484">
        <f>0.239</f>
        <v>0.23899999999999999</v>
      </c>
    </row>
    <row r="485" spans="1:8" x14ac:dyDescent="0.25">
      <c r="A485" s="1">
        <v>44116</v>
      </c>
      <c r="B485">
        <f>1.5717</f>
        <v>1.5717000000000001</v>
      </c>
      <c r="C485">
        <f>0.7737</f>
        <v>0.77370000000000005</v>
      </c>
      <c r="D485">
        <f>0.1529</f>
        <v>0.15290000000000001</v>
      </c>
      <c r="E485">
        <f>-0.545</f>
        <v>-0.54500000000000004</v>
      </c>
      <c r="F485">
        <f>-0.115</f>
        <v>-0.115</v>
      </c>
      <c r="G485">
        <f>-0.726</f>
        <v>-0.72599999999999998</v>
      </c>
      <c r="H485">
        <f>0.271</f>
        <v>0.27100000000000002</v>
      </c>
    </row>
    <row r="486" spans="1:8" x14ac:dyDescent="0.25">
      <c r="A486" s="1">
        <v>44113</v>
      </c>
      <c r="B486">
        <f>1.5717</f>
        <v>1.5717000000000001</v>
      </c>
      <c r="C486">
        <f>0.7737</f>
        <v>0.77370000000000005</v>
      </c>
      <c r="D486">
        <f>0.1529</f>
        <v>0.15290000000000001</v>
      </c>
      <c r="E486">
        <f>-0.527</f>
        <v>-0.52700000000000002</v>
      </c>
      <c r="F486">
        <f>-0.092</f>
        <v>-9.1999999999999998E-2</v>
      </c>
      <c r="G486">
        <f>-0.714</f>
        <v>-0.71399999999999997</v>
      </c>
      <c r="H486">
        <f>0.28</f>
        <v>0.28000000000000003</v>
      </c>
    </row>
    <row r="487" spans="1:8" x14ac:dyDescent="0.25">
      <c r="A487" s="1">
        <v>44112</v>
      </c>
      <c r="B487">
        <f>1.5866</f>
        <v>1.5866</v>
      </c>
      <c r="C487">
        <f>0.7852</f>
        <v>0.78520000000000001</v>
      </c>
      <c r="D487">
        <f>0.1508</f>
        <v>0.15079999999999999</v>
      </c>
      <c r="E487">
        <f>-0.523</f>
        <v>-0.52300000000000002</v>
      </c>
      <c r="F487">
        <f>-0.095</f>
        <v>-9.5000000000000001E-2</v>
      </c>
      <c r="G487">
        <f>-0.709</f>
        <v>-0.70899999999999996</v>
      </c>
      <c r="H487">
        <f>0.289</f>
        <v>0.28899999999999998</v>
      </c>
    </row>
    <row r="488" spans="1:8" x14ac:dyDescent="0.25">
      <c r="A488" s="1">
        <v>44111</v>
      </c>
      <c r="B488">
        <f>1.5859</f>
        <v>1.5859000000000001</v>
      </c>
      <c r="C488">
        <f>0.7868</f>
        <v>0.78680000000000005</v>
      </c>
      <c r="D488">
        <f>0.1507</f>
        <v>0.1507</v>
      </c>
      <c r="E488">
        <f>-0.493</f>
        <v>-0.49299999999999999</v>
      </c>
      <c r="F488">
        <f>-0.059</f>
        <v>-5.8999999999999997E-2</v>
      </c>
      <c r="G488">
        <f>-0.692</f>
        <v>-0.69199999999999995</v>
      </c>
      <c r="H488">
        <f>0.303</f>
        <v>0.30299999999999999</v>
      </c>
    </row>
    <row r="489" spans="1:8" x14ac:dyDescent="0.25">
      <c r="A489" s="1">
        <v>44110</v>
      </c>
      <c r="B489">
        <f>1.5366</f>
        <v>1.5366</v>
      </c>
      <c r="C489">
        <f>0.7353</f>
        <v>0.73529999999999995</v>
      </c>
      <c r="D489">
        <f>0.1467</f>
        <v>0.1467</v>
      </c>
      <c r="E489">
        <f>-0.507</f>
        <v>-0.50700000000000001</v>
      </c>
      <c r="F489">
        <f>-0.078</f>
        <v>-7.8E-2</v>
      </c>
      <c r="G489">
        <f>-0.694</f>
        <v>-0.69399999999999995</v>
      </c>
      <c r="H489">
        <f>0.287</f>
        <v>0.28699999999999998</v>
      </c>
    </row>
    <row r="490" spans="1:8" x14ac:dyDescent="0.25">
      <c r="A490" s="1">
        <v>44109</v>
      </c>
      <c r="B490">
        <f>1.5892</f>
        <v>1.5891999999999999</v>
      </c>
      <c r="C490">
        <f>0.7817</f>
        <v>0.78169999999999995</v>
      </c>
      <c r="D490">
        <f>0.1447</f>
        <v>0.1447</v>
      </c>
      <c r="E490">
        <f>-0.51</f>
        <v>-0.51</v>
      </c>
      <c r="F490">
        <f>-0.078</f>
        <v>-7.8E-2</v>
      </c>
      <c r="G490">
        <f>-0.7</f>
        <v>-0.7</v>
      </c>
      <c r="H490">
        <f>0.288</f>
        <v>0.28799999999999998</v>
      </c>
    </row>
    <row r="491" spans="1:8" x14ac:dyDescent="0.25">
      <c r="A491" s="1">
        <v>44106</v>
      </c>
      <c r="B491">
        <f>1.4868</f>
        <v>1.4867999999999999</v>
      </c>
      <c r="C491">
        <f>0.7005</f>
        <v>0.70050000000000001</v>
      </c>
      <c r="D491">
        <f>0.1289</f>
        <v>0.12889999999999999</v>
      </c>
      <c r="E491">
        <f>-0.536</f>
        <v>-0.53600000000000003</v>
      </c>
      <c r="F491">
        <f>-0.103</f>
        <v>-0.10299999999999999</v>
      </c>
      <c r="G491">
        <f>-0.709</f>
        <v>-0.70899999999999996</v>
      </c>
      <c r="H491">
        <f>0.246</f>
        <v>0.246</v>
      </c>
    </row>
    <row r="492" spans="1:8" x14ac:dyDescent="0.25">
      <c r="A492" s="1">
        <v>44105</v>
      </c>
      <c r="B492">
        <f>1.4552</f>
        <v>1.4552</v>
      </c>
      <c r="C492">
        <f>0.6774</f>
        <v>0.6774</v>
      </c>
      <c r="D492">
        <f>0.127</f>
        <v>0.127</v>
      </c>
      <c r="E492">
        <f>-0.536</f>
        <v>-0.53600000000000003</v>
      </c>
      <c r="F492">
        <f>-0.106</f>
        <v>-0.106</v>
      </c>
      <c r="G492">
        <f>-0.707</f>
        <v>-0.70699999999999996</v>
      </c>
      <c r="H492">
        <f>0.234</f>
        <v>0.23400000000000001</v>
      </c>
    </row>
    <row r="493" spans="1:8" x14ac:dyDescent="0.25">
      <c r="A493" s="1">
        <v>44104</v>
      </c>
      <c r="B493">
        <f>1.4552</f>
        <v>1.4552</v>
      </c>
      <c r="C493">
        <f>0.684</f>
        <v>0.68400000000000005</v>
      </c>
      <c r="D493">
        <f>0.127</f>
        <v>0.127</v>
      </c>
      <c r="E493">
        <f>-0.522</f>
        <v>-0.52200000000000002</v>
      </c>
      <c r="F493">
        <f>-0.094</f>
        <v>-9.4E-2</v>
      </c>
      <c r="G493">
        <f>-0.701</f>
        <v>-0.70099999999999996</v>
      </c>
      <c r="H493">
        <f>0.229</f>
        <v>0.22900000000000001</v>
      </c>
    </row>
    <row r="494" spans="1:8" x14ac:dyDescent="0.25">
      <c r="A494" s="1">
        <v>44103</v>
      </c>
      <c r="B494">
        <f>1.4149</f>
        <v>1.4149</v>
      </c>
      <c r="C494">
        <f>0.6495</f>
        <v>0.64949999999999997</v>
      </c>
      <c r="D494">
        <f>0.123</f>
        <v>0.123</v>
      </c>
      <c r="E494">
        <f>-0.545</f>
        <v>-0.54500000000000004</v>
      </c>
      <c r="F494">
        <f>-0.12</f>
        <v>-0.12</v>
      </c>
      <c r="G494">
        <f>-0.71</f>
        <v>-0.71</v>
      </c>
      <c r="H494">
        <f>0.184</f>
        <v>0.184</v>
      </c>
    </row>
    <row r="495" spans="1:8" x14ac:dyDescent="0.25">
      <c r="A495" s="1">
        <v>44102</v>
      </c>
      <c r="B495">
        <f>1.4149</f>
        <v>1.4149</v>
      </c>
      <c r="C495">
        <f>0.6528</f>
        <v>0.65280000000000005</v>
      </c>
      <c r="D495">
        <f>0.125</f>
        <v>0.125</v>
      </c>
      <c r="E495">
        <f>-0.528</f>
        <v>-0.52800000000000002</v>
      </c>
      <c r="F495">
        <f>-0.094</f>
        <v>-9.4E-2</v>
      </c>
      <c r="G495">
        <f>-0.704</f>
        <v>-0.70399999999999996</v>
      </c>
      <c r="H495">
        <f>0.202</f>
        <v>0.20200000000000001</v>
      </c>
    </row>
    <row r="496" spans="1:8" x14ac:dyDescent="0.25">
      <c r="A496" s="1">
        <v>44099</v>
      </c>
      <c r="B496">
        <f>1.4007</f>
        <v>1.4007000000000001</v>
      </c>
      <c r="C496">
        <f>0.6544</f>
        <v>0.65439999999999998</v>
      </c>
      <c r="D496">
        <f>0.1289</f>
        <v>0.12889999999999999</v>
      </c>
      <c r="E496">
        <f>-0.529</f>
        <v>-0.52900000000000003</v>
      </c>
      <c r="F496">
        <f>-0.097</f>
        <v>-9.7000000000000003E-2</v>
      </c>
      <c r="G496">
        <f>-0.707</f>
        <v>-0.70699999999999996</v>
      </c>
      <c r="H496">
        <f>0.189</f>
        <v>0.189</v>
      </c>
    </row>
    <row r="497" spans="1:8" x14ac:dyDescent="0.25">
      <c r="A497" s="1">
        <v>44098</v>
      </c>
      <c r="B497">
        <f>1.4077</f>
        <v>1.4077</v>
      </c>
      <c r="C497">
        <f>0.6659</f>
        <v>0.66590000000000005</v>
      </c>
      <c r="D497">
        <f>0.1328</f>
        <v>0.1328</v>
      </c>
      <c r="E497">
        <f>-0.501</f>
        <v>-0.501</v>
      </c>
      <c r="F497">
        <f>-0.055</f>
        <v>-5.5E-2</v>
      </c>
      <c r="G497">
        <f>-0.699</f>
        <v>-0.69899999999999995</v>
      </c>
      <c r="H497">
        <f>0.219</f>
        <v>0.219</v>
      </c>
    </row>
    <row r="498" spans="1:8" x14ac:dyDescent="0.25">
      <c r="A498" s="1">
        <v>44097</v>
      </c>
      <c r="B498">
        <f>1.4168</f>
        <v>1.4168000000000001</v>
      </c>
      <c r="C498">
        <f>0.6724</f>
        <v>0.6724</v>
      </c>
      <c r="D498">
        <f>0.1387</f>
        <v>0.13869999999999999</v>
      </c>
      <c r="E498">
        <f>-0.505</f>
        <v>-0.505</v>
      </c>
      <c r="F498">
        <f>-0.054</f>
        <v>-5.3999999999999999E-2</v>
      </c>
      <c r="G498">
        <f>-0.704</f>
        <v>-0.70399999999999996</v>
      </c>
      <c r="H498">
        <f>0.218</f>
        <v>0.218</v>
      </c>
    </row>
    <row r="499" spans="1:8" x14ac:dyDescent="0.25">
      <c r="A499" s="1">
        <v>44096</v>
      </c>
      <c r="B499">
        <f>1.4233</f>
        <v>1.4233</v>
      </c>
      <c r="C499">
        <f>0.6708</f>
        <v>0.67079999999999995</v>
      </c>
      <c r="D499">
        <f>0.1351</f>
        <v>0.1351</v>
      </c>
      <c r="E499">
        <f>-0.505</f>
        <v>-0.505</v>
      </c>
      <c r="F499">
        <f>-0.055</f>
        <v>-5.5E-2</v>
      </c>
      <c r="G499">
        <f>-0.713</f>
        <v>-0.71299999999999997</v>
      </c>
      <c r="H499">
        <f>0.203</f>
        <v>0.20300000000000001</v>
      </c>
    </row>
    <row r="500" spans="1:8" x14ac:dyDescent="0.25">
      <c r="A500" s="1">
        <v>44095</v>
      </c>
      <c r="B500">
        <f>1.4148</f>
        <v>1.4148000000000001</v>
      </c>
      <c r="C500">
        <f>0.6658</f>
        <v>0.66579999999999995</v>
      </c>
      <c r="D500">
        <f>0.1371</f>
        <v>0.1371</v>
      </c>
      <c r="E500">
        <f>-0.53</f>
        <v>-0.53</v>
      </c>
      <c r="F500">
        <f>-0.095</f>
        <v>-9.5000000000000001E-2</v>
      </c>
      <c r="G500">
        <f>-0.725</f>
        <v>-0.72499999999999998</v>
      </c>
      <c r="H500">
        <f>0.157</f>
        <v>0.157</v>
      </c>
    </row>
    <row r="501" spans="1:8" x14ac:dyDescent="0.25">
      <c r="A501" s="1">
        <v>44092</v>
      </c>
      <c r="B501">
        <f>1.4532</f>
        <v>1.4532</v>
      </c>
      <c r="C501">
        <f>0.6937</f>
        <v>0.69369999999999998</v>
      </c>
      <c r="D501">
        <f>0.1391</f>
        <v>0.1391</v>
      </c>
      <c r="E501">
        <f>-0.485</f>
        <v>-0.48499999999999999</v>
      </c>
      <c r="F501">
        <f>-0.039</f>
        <v>-3.9E-2</v>
      </c>
      <c r="G501">
        <f>-0.696</f>
        <v>-0.69599999999999995</v>
      </c>
      <c r="H501">
        <f>0.183</f>
        <v>0.183</v>
      </c>
    </row>
    <row r="502" spans="1:8" x14ac:dyDescent="0.25">
      <c r="A502" s="1">
        <v>44091</v>
      </c>
      <c r="B502">
        <f>1.4388</f>
        <v>1.4388000000000001</v>
      </c>
      <c r="C502">
        <f>0.6887</f>
        <v>0.68869999999999998</v>
      </c>
      <c r="D502">
        <f>0.135</f>
        <v>0.13500000000000001</v>
      </c>
      <c r="E502">
        <f>-0.491</f>
        <v>-0.49099999999999999</v>
      </c>
      <c r="F502">
        <f>-0.049</f>
        <v>-4.9000000000000002E-2</v>
      </c>
      <c r="G502">
        <f>-0.699</f>
        <v>-0.69899999999999995</v>
      </c>
      <c r="H502">
        <f>0.185</f>
        <v>0.185</v>
      </c>
    </row>
    <row r="503" spans="1:8" x14ac:dyDescent="0.25">
      <c r="A503" s="1">
        <v>44090</v>
      </c>
      <c r="B503">
        <f>1.459</f>
        <v>1.4590000000000001</v>
      </c>
      <c r="C503">
        <f>0.6969</f>
        <v>0.69689999999999996</v>
      </c>
      <c r="D503">
        <f>0.137</f>
        <v>0.13700000000000001</v>
      </c>
      <c r="E503">
        <f>-0.484</f>
        <v>-0.48399999999999999</v>
      </c>
      <c r="F503">
        <f>-0.041</f>
        <v>-4.1000000000000002E-2</v>
      </c>
      <c r="G503">
        <f>-0.689</f>
        <v>-0.68899999999999995</v>
      </c>
      <c r="H503">
        <f>0.211</f>
        <v>0.21099999999999999</v>
      </c>
    </row>
    <row r="504" spans="1:8" x14ac:dyDescent="0.25">
      <c r="A504" s="1">
        <v>44089</v>
      </c>
      <c r="B504">
        <f>1.431</f>
        <v>1.431</v>
      </c>
      <c r="C504">
        <f>0.6789</f>
        <v>0.67889999999999995</v>
      </c>
      <c r="D504">
        <f>0.139</f>
        <v>0.13900000000000001</v>
      </c>
      <c r="E504">
        <f>-0.479</f>
        <v>-0.47899999999999998</v>
      </c>
      <c r="F504">
        <f>-0.032</f>
        <v>-3.2000000000000001E-2</v>
      </c>
      <c r="G504">
        <f>-0.689</f>
        <v>-0.68899999999999995</v>
      </c>
      <c r="H504">
        <f>0.217</f>
        <v>0.217</v>
      </c>
    </row>
    <row r="505" spans="1:8" x14ac:dyDescent="0.25">
      <c r="A505" s="1">
        <v>44088</v>
      </c>
      <c r="B505">
        <f>1.4116</f>
        <v>1.4116</v>
      </c>
      <c r="C505">
        <f>0.6723</f>
        <v>0.67230000000000001</v>
      </c>
      <c r="D505">
        <f>0.137</f>
        <v>0.13700000000000001</v>
      </c>
      <c r="E505">
        <f>-0.48</f>
        <v>-0.48</v>
      </c>
      <c r="F505">
        <f>-0.035</f>
        <v>-3.5000000000000003E-2</v>
      </c>
      <c r="G505">
        <f>-0.701</f>
        <v>-0.70099999999999996</v>
      </c>
      <c r="H505">
        <f>0.194</f>
        <v>0.19400000000000001</v>
      </c>
    </row>
    <row r="506" spans="1:8" x14ac:dyDescent="0.25">
      <c r="A506" s="1">
        <v>44085</v>
      </c>
      <c r="B506">
        <f>1.4116</f>
        <v>1.4116</v>
      </c>
      <c r="C506">
        <f>0.6658</f>
        <v>0.66579999999999995</v>
      </c>
      <c r="D506">
        <f>0.127</f>
        <v>0.127</v>
      </c>
      <c r="E506">
        <f>-0.481</f>
        <v>-0.48099999999999998</v>
      </c>
      <c r="F506">
        <f>-0.037</f>
        <v>-3.6999999999999998E-2</v>
      </c>
      <c r="G506">
        <f>-0.693</f>
        <v>-0.69299999999999995</v>
      </c>
      <c r="H506">
        <f>0.182</f>
        <v>0.182</v>
      </c>
    </row>
    <row r="507" spans="1:8" x14ac:dyDescent="0.25">
      <c r="A507" s="1">
        <v>44084</v>
      </c>
      <c r="B507">
        <f>1.4187</f>
        <v>1.4187000000000001</v>
      </c>
      <c r="C507">
        <f>0.6772</f>
        <v>0.67720000000000002</v>
      </c>
      <c r="D507">
        <f>0.1389</f>
        <v>0.1389</v>
      </c>
      <c r="E507">
        <f>-0.433</f>
        <v>-0.433</v>
      </c>
      <c r="F507">
        <f>0.009</f>
        <v>8.9999999999999993E-3</v>
      </c>
      <c r="G507">
        <f>-0.667</f>
        <v>-0.66700000000000004</v>
      </c>
      <c r="H507">
        <f>0.227</f>
        <v>0.22700000000000001</v>
      </c>
    </row>
    <row r="508" spans="1:8" x14ac:dyDescent="0.25">
      <c r="A508" s="1">
        <v>44083</v>
      </c>
      <c r="B508">
        <f>1.457</f>
        <v>1.4570000000000001</v>
      </c>
      <c r="C508">
        <f>0.7001</f>
        <v>0.70009999999999994</v>
      </c>
      <c r="D508">
        <f>0.1468</f>
        <v>0.14680000000000001</v>
      </c>
      <c r="E508">
        <f>-0.462</f>
        <v>-0.46200000000000002</v>
      </c>
      <c r="F508">
        <f>-0.007</f>
        <v>-7.0000000000000001E-3</v>
      </c>
      <c r="G508">
        <f>-0.691</f>
        <v>-0.69099999999999995</v>
      </c>
      <c r="H508">
        <f>0.237</f>
        <v>0.23699999999999999</v>
      </c>
    </row>
    <row r="509" spans="1:8" x14ac:dyDescent="0.25">
      <c r="A509" s="1">
        <v>44082</v>
      </c>
      <c r="B509">
        <f>1.4213</f>
        <v>1.4213</v>
      </c>
      <c r="C509">
        <f>0.6788</f>
        <v>0.67879999999999996</v>
      </c>
      <c r="D509">
        <f>0.1408</f>
        <v>0.14080000000000001</v>
      </c>
      <c r="E509">
        <f>-0.495</f>
        <v>-0.495</v>
      </c>
      <c r="F509">
        <f>-0.043</f>
        <v>-4.2999999999999997E-2</v>
      </c>
      <c r="G509">
        <f>-0.705</f>
        <v>-0.70499999999999996</v>
      </c>
      <c r="H509">
        <f>0.188</f>
        <v>0.188</v>
      </c>
    </row>
    <row r="510" spans="1:8" x14ac:dyDescent="0.25">
      <c r="A510" s="1">
        <v>44081</v>
      </c>
      <c r="B510">
        <f>1.4714</f>
        <v>1.4714</v>
      </c>
      <c r="C510">
        <f>0.718</f>
        <v>0.71799999999999997</v>
      </c>
      <c r="D510">
        <f>0.1428</f>
        <v>0.14280000000000001</v>
      </c>
      <c r="E510">
        <f>-0.463</f>
        <v>-0.46300000000000002</v>
      </c>
      <c r="F510">
        <f>-0.007</f>
        <v>-7.0000000000000001E-3</v>
      </c>
      <c r="G510">
        <f>-0.701</f>
        <v>-0.70099999999999996</v>
      </c>
      <c r="H510">
        <f>0.248</f>
        <v>0.248</v>
      </c>
    </row>
    <row r="511" spans="1:8" x14ac:dyDescent="0.25">
      <c r="A511" s="1">
        <v>44078</v>
      </c>
      <c r="B511">
        <f>1.4714</f>
        <v>1.4714</v>
      </c>
      <c r="C511">
        <f>0.718</f>
        <v>0.71799999999999997</v>
      </c>
      <c r="D511">
        <f>0.1428</f>
        <v>0.14280000000000001</v>
      </c>
      <c r="E511">
        <f>-0.472</f>
        <v>-0.47199999999999998</v>
      </c>
      <c r="F511">
        <f>-0.028</f>
        <v>-2.8000000000000001E-2</v>
      </c>
      <c r="G511">
        <f>-0.7</f>
        <v>-0.7</v>
      </c>
      <c r="H511">
        <f>0.263</f>
        <v>0.26300000000000001</v>
      </c>
    </row>
    <row r="512" spans="1:8" x14ac:dyDescent="0.25">
      <c r="A512" s="1">
        <v>44077</v>
      </c>
      <c r="B512">
        <f>1.3616</f>
        <v>1.3615999999999999</v>
      </c>
      <c r="C512">
        <f>0.6347</f>
        <v>0.63470000000000004</v>
      </c>
      <c r="D512">
        <f>0.127</f>
        <v>0.127</v>
      </c>
      <c r="E512">
        <f>-0.488</f>
        <v>-0.48799999999999999</v>
      </c>
      <c r="F512">
        <f>-0.051</f>
        <v>-5.0999999999999997E-2</v>
      </c>
      <c r="G512">
        <f>-0.703</f>
        <v>-0.70299999999999996</v>
      </c>
      <c r="H512">
        <f>0.237</f>
        <v>0.23699999999999999</v>
      </c>
    </row>
    <row r="513" spans="1:8" x14ac:dyDescent="0.25">
      <c r="A513" s="1">
        <v>44076</v>
      </c>
      <c r="B513">
        <f>1.3788</f>
        <v>1.3788</v>
      </c>
      <c r="C513">
        <f>0.6477</f>
        <v>0.64770000000000005</v>
      </c>
      <c r="D513">
        <f>0.1329</f>
        <v>0.13289999999999999</v>
      </c>
      <c r="E513">
        <f>-0.473</f>
        <v>-0.47299999999999998</v>
      </c>
      <c r="F513">
        <f>-0.018</f>
        <v>-1.7999999999999999E-2</v>
      </c>
      <c r="G513">
        <f>-0.699</f>
        <v>-0.69899999999999995</v>
      </c>
      <c r="H513">
        <f>0.23</f>
        <v>0.23</v>
      </c>
    </row>
    <row r="514" spans="1:8" x14ac:dyDescent="0.25">
      <c r="A514" s="1">
        <v>44075</v>
      </c>
      <c r="B514">
        <f>1.42</f>
        <v>1.42</v>
      </c>
      <c r="C514">
        <f>0.6689</f>
        <v>0.66890000000000005</v>
      </c>
      <c r="D514">
        <f>0.1309</f>
        <v>0.13089999999999999</v>
      </c>
      <c r="E514">
        <f>-0.42</f>
        <v>-0.42</v>
      </c>
      <c r="F514">
        <f>0.041</f>
        <v>4.1000000000000002E-2</v>
      </c>
      <c r="G514">
        <f>-0.677</f>
        <v>-0.67700000000000005</v>
      </c>
      <c r="H514">
        <f>0.295</f>
        <v>0.29499999999999998</v>
      </c>
    </row>
    <row r="515" spans="1:8" x14ac:dyDescent="0.25">
      <c r="A515" s="1">
        <v>44074</v>
      </c>
      <c r="B515">
        <f>1.4747</f>
        <v>1.4746999999999999</v>
      </c>
      <c r="C515">
        <f>0.7048</f>
        <v>0.70479999999999998</v>
      </c>
      <c r="D515">
        <f>0.1309</f>
        <v>0.13089999999999999</v>
      </c>
      <c r="E515">
        <f>-0.397</f>
        <v>-0.39700000000000002</v>
      </c>
      <c r="F515">
        <f>0.062</f>
        <v>6.2E-2</v>
      </c>
      <c r="G515">
        <f>-0.652</f>
        <v>-0.65200000000000002</v>
      </c>
      <c r="H515">
        <f>0.311</f>
        <v>0.311</v>
      </c>
    </row>
    <row r="516" spans="1:8" x14ac:dyDescent="0.25">
      <c r="A516" s="1">
        <v>44071</v>
      </c>
      <c r="B516">
        <f>1.501</f>
        <v>1.5009999999999999</v>
      </c>
      <c r="C516">
        <f>0.7211</f>
        <v>0.72109999999999996</v>
      </c>
      <c r="D516">
        <f>0.127</f>
        <v>0.127</v>
      </c>
      <c r="E516">
        <f>-0.409</f>
        <v>-0.40899999999999997</v>
      </c>
      <c r="F516">
        <f>0.065</f>
        <v>6.5000000000000002E-2</v>
      </c>
      <c r="G516">
        <f>-0.665</f>
        <v>-0.66500000000000004</v>
      </c>
      <c r="H516">
        <f>0.311</f>
        <v>0.311</v>
      </c>
    </row>
    <row r="517" spans="1:8" x14ac:dyDescent="0.25">
      <c r="A517" s="1">
        <v>44070</v>
      </c>
      <c r="B517">
        <f>1.5096</f>
        <v>1.5096000000000001</v>
      </c>
      <c r="C517">
        <f>0.7522</f>
        <v>0.75219999999999998</v>
      </c>
      <c r="D517">
        <f>0.1583</f>
        <v>0.1583</v>
      </c>
      <c r="E517">
        <f>-0.407</f>
        <v>-0.40699999999999997</v>
      </c>
      <c r="F517">
        <f>0.06</f>
        <v>0.06</v>
      </c>
      <c r="G517">
        <f>-0.658</f>
        <v>-0.65800000000000003</v>
      </c>
      <c r="H517">
        <f>0.336</f>
        <v>0.33600000000000002</v>
      </c>
    </row>
    <row r="518" spans="1:8" x14ac:dyDescent="0.25">
      <c r="A518" s="1">
        <v>44069</v>
      </c>
      <c r="B518">
        <f>1.4135</f>
        <v>1.4135</v>
      </c>
      <c r="C518">
        <f>0.6884</f>
        <v>0.68840000000000001</v>
      </c>
      <c r="D518">
        <f>0.1504</f>
        <v>0.15040000000000001</v>
      </c>
      <c r="E518">
        <f>-0.415</f>
        <v>-0.41499999999999998</v>
      </c>
      <c r="F518">
        <f>0.036</f>
        <v>3.5999999999999997E-2</v>
      </c>
      <c r="G518">
        <f>-0.644</f>
        <v>-0.64400000000000002</v>
      </c>
      <c r="H518">
        <f>0.302</f>
        <v>0.30199999999999999</v>
      </c>
    </row>
    <row r="519" spans="1:8" x14ac:dyDescent="0.25">
      <c r="A519" s="1">
        <v>44068</v>
      </c>
      <c r="B519">
        <f>1.3935</f>
        <v>1.3935</v>
      </c>
      <c r="C519">
        <f>0.6835</f>
        <v>0.6835</v>
      </c>
      <c r="D519">
        <f>0.1493</f>
        <v>0.14929999999999999</v>
      </c>
      <c r="E519">
        <f>-0.431</f>
        <v>-0.43099999999999999</v>
      </c>
      <c r="F519">
        <f>0.01</f>
        <v>0.01</v>
      </c>
      <c r="G519">
        <f>-0.656</f>
        <v>-0.65600000000000003</v>
      </c>
      <c r="H519">
        <f>0.263</f>
        <v>0.26300000000000001</v>
      </c>
    </row>
    <row r="520" spans="1:8" x14ac:dyDescent="0.25">
      <c r="A520" s="1">
        <v>44067</v>
      </c>
      <c r="B520">
        <f>1.3559</f>
        <v>1.3559000000000001</v>
      </c>
      <c r="C520">
        <f>0.6542</f>
        <v>0.6542</v>
      </c>
      <c r="D520">
        <f>0.1513</f>
        <v>0.15129999999999999</v>
      </c>
      <c r="E520">
        <f>-0.491</f>
        <v>-0.49099999999999999</v>
      </c>
      <c r="F520">
        <f>-0.055</f>
        <v>-5.5E-2</v>
      </c>
      <c r="G520">
        <f>-0.677</f>
        <v>-0.67700000000000005</v>
      </c>
      <c r="H520">
        <f>0.213</f>
        <v>0.21299999999999999</v>
      </c>
    </row>
    <row r="521" spans="1:8" x14ac:dyDescent="0.25">
      <c r="A521" s="1">
        <v>44064</v>
      </c>
      <c r="B521">
        <f>1.3407</f>
        <v>1.3407</v>
      </c>
      <c r="C521">
        <f>0.6282</f>
        <v>0.62819999999999998</v>
      </c>
      <c r="D521">
        <f>0.1432</f>
        <v>0.14319999999999999</v>
      </c>
      <c r="E521">
        <f>-0.507</f>
        <v>-0.50700000000000001</v>
      </c>
      <c r="F521">
        <f>-0.075</f>
        <v>-7.4999999999999997E-2</v>
      </c>
      <c r="G521">
        <f>-0.683</f>
        <v>-0.68300000000000005</v>
      </c>
      <c r="H521">
        <f>0.206</f>
        <v>0.20599999999999999</v>
      </c>
    </row>
    <row r="522" spans="1:8" x14ac:dyDescent="0.25">
      <c r="A522" s="1">
        <v>44063</v>
      </c>
      <c r="B522">
        <f>1.3833</f>
        <v>1.3833</v>
      </c>
      <c r="C522">
        <f>0.6509</f>
        <v>0.65090000000000003</v>
      </c>
      <c r="D522">
        <f>0.1411</f>
        <v>0.1411</v>
      </c>
      <c r="E522">
        <f>-0.496</f>
        <v>-0.496</v>
      </c>
      <c r="F522">
        <f>-0.071</f>
        <v>-7.0999999999999994E-2</v>
      </c>
      <c r="G522">
        <f>-0.675</f>
        <v>-0.67500000000000004</v>
      </c>
      <c r="H522">
        <f>0.225</f>
        <v>0.22500000000000001</v>
      </c>
    </row>
    <row r="523" spans="1:8" x14ac:dyDescent="0.25">
      <c r="A523" s="1">
        <v>44062</v>
      </c>
      <c r="B523">
        <f>1.4238</f>
        <v>1.4238</v>
      </c>
      <c r="C523">
        <f>0.6801</f>
        <v>0.68010000000000004</v>
      </c>
      <c r="D523">
        <f>0.1391</f>
        <v>0.1391</v>
      </c>
      <c r="E523">
        <f>-0.472</f>
        <v>-0.47199999999999998</v>
      </c>
      <c r="F523">
        <f>-0.035</f>
        <v>-3.5000000000000003E-2</v>
      </c>
      <c r="G523">
        <f>-0.669</f>
        <v>-0.66900000000000004</v>
      </c>
      <c r="H523">
        <f>0.236</f>
        <v>0.23599999999999999</v>
      </c>
    </row>
    <row r="524" spans="1:8" x14ac:dyDescent="0.25">
      <c r="A524" s="1">
        <v>44061</v>
      </c>
      <c r="B524">
        <f>1.3955</f>
        <v>1.3955</v>
      </c>
      <c r="C524">
        <f>0.6687</f>
        <v>0.66869999999999996</v>
      </c>
      <c r="D524">
        <f>0.1431</f>
        <v>0.1431</v>
      </c>
      <c r="E524">
        <f>-0.463</f>
        <v>-0.46300000000000002</v>
      </c>
      <c r="F524">
        <f>-0.026</f>
        <v>-2.5999999999999999E-2</v>
      </c>
      <c r="G524">
        <f>-0.658</f>
        <v>-0.65800000000000003</v>
      </c>
      <c r="H524">
        <f>0.219</f>
        <v>0.219</v>
      </c>
    </row>
    <row r="525" spans="1:8" x14ac:dyDescent="0.25">
      <c r="A525" s="1">
        <v>44060</v>
      </c>
      <c r="B525">
        <f>1.4341</f>
        <v>1.4340999999999999</v>
      </c>
      <c r="C525">
        <f>0.6882</f>
        <v>0.68820000000000003</v>
      </c>
      <c r="D525">
        <f>0.1511</f>
        <v>0.15110000000000001</v>
      </c>
      <c r="E525">
        <f>-0.451</f>
        <v>-0.45100000000000001</v>
      </c>
      <c r="F525">
        <f>-0.014</f>
        <v>-1.4E-2</v>
      </c>
      <c r="G525">
        <f>-0.657</f>
        <v>-0.65700000000000003</v>
      </c>
      <c r="H525">
        <f>0.216</f>
        <v>0.216</v>
      </c>
    </row>
    <row r="526" spans="1:8" x14ac:dyDescent="0.25">
      <c r="A526" s="1">
        <v>44057</v>
      </c>
      <c r="B526">
        <f>1.4471</f>
        <v>1.4471000000000001</v>
      </c>
      <c r="C526">
        <f>0.7094</f>
        <v>0.70940000000000003</v>
      </c>
      <c r="D526">
        <f>0.145</f>
        <v>0.14499999999999999</v>
      </c>
      <c r="E526">
        <f>-0.421</f>
        <v>-0.42099999999999999</v>
      </c>
      <c r="F526">
        <f>0.019</f>
        <v>1.9E-2</v>
      </c>
      <c r="G526">
        <f>-0.647</f>
        <v>-0.64700000000000002</v>
      </c>
      <c r="H526">
        <f>0.243</f>
        <v>0.24299999999999999</v>
      </c>
    </row>
    <row r="527" spans="1:8" x14ac:dyDescent="0.25">
      <c r="A527" s="1">
        <v>44056</v>
      </c>
      <c r="B527">
        <f>1.4277</f>
        <v>1.4277</v>
      </c>
      <c r="C527">
        <f>0.7208</f>
        <v>0.7208</v>
      </c>
      <c r="D527">
        <f>0.1629</f>
        <v>0.16289999999999999</v>
      </c>
      <c r="E527">
        <f>-0.412</f>
        <v>-0.41199999999999998</v>
      </c>
      <c r="F527">
        <f>0.029</f>
        <v>2.9000000000000001E-2</v>
      </c>
      <c r="G527">
        <f>-0.644</f>
        <v>-0.64400000000000002</v>
      </c>
      <c r="H527">
        <f>0.243</f>
        <v>0.24299999999999999</v>
      </c>
    </row>
    <row r="528" spans="1:8" x14ac:dyDescent="0.25">
      <c r="A528" s="1">
        <v>44055</v>
      </c>
      <c r="B528">
        <f>1.3738</f>
        <v>1.3737999999999999</v>
      </c>
      <c r="C528">
        <f>0.6747</f>
        <v>0.67469999999999997</v>
      </c>
      <c r="D528">
        <f>0.1609</f>
        <v>0.16089999999999999</v>
      </c>
      <c r="E528">
        <f>-0.447</f>
        <v>-0.44700000000000001</v>
      </c>
      <c r="F528">
        <f>-0.001</f>
        <v>-1E-3</v>
      </c>
      <c r="G528">
        <f>-0.66</f>
        <v>-0.66</v>
      </c>
      <c r="H528">
        <f>0.237</f>
        <v>0.23699999999999999</v>
      </c>
    </row>
    <row r="529" spans="1:8" x14ac:dyDescent="0.25">
      <c r="A529" s="1">
        <v>44054</v>
      </c>
      <c r="B529">
        <f>1.329</f>
        <v>1.329</v>
      </c>
      <c r="C529">
        <f>0.6415</f>
        <v>0.64149999999999996</v>
      </c>
      <c r="D529">
        <f>0.1489</f>
        <v>0.1489</v>
      </c>
      <c r="E529">
        <f>-0.478</f>
        <v>-0.47799999999999998</v>
      </c>
      <c r="F529">
        <f>-0.044</f>
        <v>-4.3999999999999997E-2</v>
      </c>
      <c r="G529">
        <f>-0.681</f>
        <v>-0.68100000000000005</v>
      </c>
      <c r="H529">
        <f>0.2</f>
        <v>0.2</v>
      </c>
    </row>
    <row r="530" spans="1:8" x14ac:dyDescent="0.25">
      <c r="A530" s="1">
        <v>44053</v>
      </c>
      <c r="B530">
        <f>1.2538</f>
        <v>1.2538</v>
      </c>
      <c r="C530">
        <f>0.5755</f>
        <v>0.57550000000000001</v>
      </c>
      <c r="D530">
        <f>0.131</f>
        <v>0.13100000000000001</v>
      </c>
      <c r="E530">
        <f>-0.526</f>
        <v>-0.52600000000000002</v>
      </c>
      <c r="F530">
        <f>-0.103</f>
        <v>-0.10299999999999999</v>
      </c>
      <c r="G530">
        <f>-0.703</f>
        <v>-0.70299999999999996</v>
      </c>
      <c r="H530">
        <f>0.131</f>
        <v>0.13100000000000001</v>
      </c>
    </row>
    <row r="531" spans="1:8" x14ac:dyDescent="0.25">
      <c r="A531" s="1">
        <v>44050</v>
      </c>
      <c r="B531">
        <f>1.2336</f>
        <v>1.2336</v>
      </c>
      <c r="C531">
        <f>0.564</f>
        <v>0.56399999999999995</v>
      </c>
      <c r="D531">
        <f>0.129</f>
        <v>0.129</v>
      </c>
      <c r="E531">
        <f>-0.509</f>
        <v>-0.50900000000000001</v>
      </c>
      <c r="F531">
        <f>-0.091</f>
        <v>-9.0999999999999998E-2</v>
      </c>
      <c r="G531">
        <f>-0.683</f>
        <v>-0.68300000000000005</v>
      </c>
      <c r="H531">
        <f>0.139</f>
        <v>0.13900000000000001</v>
      </c>
    </row>
    <row r="532" spans="1:8" x14ac:dyDescent="0.25">
      <c r="A532" s="1">
        <v>44049</v>
      </c>
      <c r="B532">
        <f>1.1981</f>
        <v>1.1980999999999999</v>
      </c>
      <c r="C532">
        <f>0.5362</f>
        <v>0.53620000000000001</v>
      </c>
      <c r="D532">
        <f>0.1151</f>
        <v>0.11509999999999999</v>
      </c>
      <c r="E532">
        <f>-0.531</f>
        <v>-0.53100000000000003</v>
      </c>
      <c r="F532">
        <f>-0.115</f>
        <v>-0.115</v>
      </c>
      <c r="G532">
        <f>-0.697</f>
        <v>-0.69699999999999995</v>
      </c>
      <c r="H532">
        <f>0.108</f>
        <v>0.108</v>
      </c>
    </row>
    <row r="533" spans="1:8" x14ac:dyDescent="0.25">
      <c r="A533" s="1">
        <v>44048</v>
      </c>
      <c r="B533">
        <f>1.2217</f>
        <v>1.2217</v>
      </c>
      <c r="C533">
        <f>0.5477</f>
        <v>0.54769999999999996</v>
      </c>
      <c r="D533">
        <f>0.1171</f>
        <v>0.1171</v>
      </c>
      <c r="E533">
        <f>-0.506</f>
        <v>-0.50600000000000001</v>
      </c>
      <c r="F533">
        <f>-0.089</f>
        <v>-8.8999999999999996E-2</v>
      </c>
      <c r="G533">
        <f>-0.695</f>
        <v>-0.69499999999999995</v>
      </c>
      <c r="H533">
        <f>0.13</f>
        <v>0.13</v>
      </c>
    </row>
    <row r="534" spans="1:8" x14ac:dyDescent="0.25">
      <c r="A534" s="1">
        <v>44047</v>
      </c>
      <c r="B534">
        <f>1.1857</f>
        <v>1.1857</v>
      </c>
      <c r="C534">
        <f>0.5069</f>
        <v>0.50690000000000002</v>
      </c>
      <c r="D534">
        <f>0.1073</f>
        <v>0.10730000000000001</v>
      </c>
      <c r="E534">
        <f>-0.553</f>
        <v>-0.55300000000000005</v>
      </c>
      <c r="F534">
        <f>-0.141</f>
        <v>-0.14099999999999999</v>
      </c>
      <c r="G534">
        <f>-0.706</f>
        <v>-0.70599999999999996</v>
      </c>
      <c r="H534">
        <f>0.077</f>
        <v>7.6999999999999999E-2</v>
      </c>
    </row>
    <row r="535" spans="1:8" x14ac:dyDescent="0.25">
      <c r="A535" s="1">
        <v>44046</v>
      </c>
      <c r="B535">
        <f>1.2318</f>
        <v>1.2318</v>
      </c>
      <c r="C535">
        <f>0.5543</f>
        <v>0.55430000000000001</v>
      </c>
      <c r="D535">
        <f>0.1093</f>
        <v>0.10929999999999999</v>
      </c>
      <c r="E535">
        <f>-0.523</f>
        <v>-0.52300000000000002</v>
      </c>
      <c r="F535">
        <f>-0.099</f>
        <v>-9.9000000000000005E-2</v>
      </c>
      <c r="G535">
        <f>-0.698</f>
        <v>-0.69799999999999995</v>
      </c>
      <c r="H535">
        <f>0.099</f>
        <v>9.9000000000000005E-2</v>
      </c>
    </row>
    <row r="536" spans="1:8" x14ac:dyDescent="0.25">
      <c r="A536" s="1">
        <v>44043</v>
      </c>
      <c r="B536">
        <f>1.1925</f>
        <v>1.1924999999999999</v>
      </c>
      <c r="C536">
        <f>0.5282</f>
        <v>0.5282</v>
      </c>
      <c r="D536">
        <f>0.1054</f>
        <v>0.10539999999999999</v>
      </c>
      <c r="E536">
        <f>-0.524</f>
        <v>-0.52400000000000002</v>
      </c>
      <c r="F536">
        <f>-0.101</f>
        <v>-0.10100000000000001</v>
      </c>
      <c r="G536">
        <f>-0.713</f>
        <v>-0.71299999999999997</v>
      </c>
      <c r="H536">
        <f>0.104</f>
        <v>0.104</v>
      </c>
    </row>
    <row r="537" spans="1:8" x14ac:dyDescent="0.25">
      <c r="A537" s="1">
        <v>44042</v>
      </c>
      <c r="B537">
        <f>1.2068</f>
        <v>1.2068000000000001</v>
      </c>
      <c r="C537">
        <f>0.5462</f>
        <v>0.54620000000000002</v>
      </c>
      <c r="D537">
        <f>0.1172</f>
        <v>0.1172</v>
      </c>
      <c r="E537">
        <f>-0.542</f>
        <v>-0.54200000000000004</v>
      </c>
      <c r="F537">
        <f>-0.128</f>
        <v>-0.128</v>
      </c>
      <c r="G537">
        <f>-0.713</f>
        <v>-0.71299999999999997</v>
      </c>
      <c r="H537">
        <f>0.088</f>
        <v>8.7999999999999995E-2</v>
      </c>
    </row>
    <row r="538" spans="1:8" x14ac:dyDescent="0.25">
      <c r="A538" s="1">
        <v>44041</v>
      </c>
      <c r="B538">
        <f>1.2362</f>
        <v>1.2362</v>
      </c>
      <c r="C538">
        <f>0.5741</f>
        <v>0.57410000000000005</v>
      </c>
      <c r="D538">
        <f>0.1309</f>
        <v>0.13089999999999999</v>
      </c>
      <c r="E538">
        <f>-0.498</f>
        <v>-0.498</v>
      </c>
      <c r="F538">
        <f>-0.078</f>
        <v>-7.8E-2</v>
      </c>
      <c r="G538">
        <f>-0.681</f>
        <v>-0.68100000000000005</v>
      </c>
      <c r="H538">
        <f>0.118</f>
        <v>0.11799999999999999</v>
      </c>
    </row>
    <row r="539" spans="1:8" x14ac:dyDescent="0.25">
      <c r="A539" s="1">
        <v>44040</v>
      </c>
      <c r="B539">
        <f>1.2168</f>
        <v>1.2168000000000001</v>
      </c>
      <c r="C539">
        <f>0.579</f>
        <v>0.57899999999999996</v>
      </c>
      <c r="D539">
        <f>0.1387</f>
        <v>0.13869999999999999</v>
      </c>
      <c r="E539">
        <f>-0.508</f>
        <v>-0.50800000000000001</v>
      </c>
      <c r="F539">
        <f>-0.095</f>
        <v>-9.5000000000000001E-2</v>
      </c>
      <c r="G539">
        <f>-0.687</f>
        <v>-0.68700000000000006</v>
      </c>
      <c r="H539">
        <f>0.109</f>
        <v>0.109</v>
      </c>
    </row>
    <row r="540" spans="1:8" x14ac:dyDescent="0.25">
      <c r="A540" s="1">
        <v>44039</v>
      </c>
      <c r="B540">
        <f>1.2601</f>
        <v>1.2601</v>
      </c>
      <c r="C540">
        <f>0.6151</f>
        <v>0.61509999999999998</v>
      </c>
      <c r="D540">
        <f>0.1514</f>
        <v>0.15140000000000001</v>
      </c>
      <c r="E540">
        <f>-0.491</f>
        <v>-0.49099999999999999</v>
      </c>
      <c r="F540">
        <f>-0.078</f>
        <v>-7.8E-2</v>
      </c>
      <c r="G540">
        <f>-0.666</f>
        <v>-0.66600000000000004</v>
      </c>
      <c r="H540">
        <f>0.109</f>
        <v>0.109</v>
      </c>
    </row>
    <row r="541" spans="1:8" x14ac:dyDescent="0.25">
      <c r="A541" s="1">
        <v>44036</v>
      </c>
      <c r="B541">
        <f>1.2293</f>
        <v>1.2293000000000001</v>
      </c>
      <c r="C541">
        <f>0.5888</f>
        <v>0.58879999999999999</v>
      </c>
      <c r="D541">
        <f>0.1473</f>
        <v>0.14729999999999999</v>
      </c>
      <c r="E541">
        <f>-0.448</f>
        <v>-0.44800000000000001</v>
      </c>
      <c r="F541">
        <f>-0.028</f>
        <v>-2.8000000000000001E-2</v>
      </c>
      <c r="G541">
        <f>-0.651</f>
        <v>-0.65100000000000002</v>
      </c>
      <c r="H541">
        <f>0.144</f>
        <v>0.14399999999999999</v>
      </c>
    </row>
    <row r="542" spans="1:8" x14ac:dyDescent="0.25">
      <c r="A542" s="1">
        <v>44035</v>
      </c>
      <c r="B542">
        <f>1.2311</f>
        <v>1.2311000000000001</v>
      </c>
      <c r="C542">
        <f>0.5774</f>
        <v>0.57740000000000002</v>
      </c>
      <c r="D542">
        <f>0.1513</f>
        <v>0.15129999999999999</v>
      </c>
      <c r="E542">
        <f>-0.481</f>
        <v>-0.48099999999999998</v>
      </c>
      <c r="F542">
        <f>-0.058</f>
        <v>-5.8000000000000003E-2</v>
      </c>
      <c r="G542">
        <f>-0.671</f>
        <v>-0.67100000000000004</v>
      </c>
      <c r="H542">
        <f>0.124</f>
        <v>0.124</v>
      </c>
    </row>
    <row r="543" spans="1:8" x14ac:dyDescent="0.25">
      <c r="A543" s="1">
        <v>44034</v>
      </c>
      <c r="B543">
        <f>1.293</f>
        <v>1.2929999999999999</v>
      </c>
      <c r="C543">
        <f>0.5971</f>
        <v>0.59709999999999996</v>
      </c>
      <c r="D543">
        <f>0.1492</f>
        <v>0.1492</v>
      </c>
      <c r="E543">
        <f>-0.49</f>
        <v>-0.49</v>
      </c>
      <c r="F543">
        <f>-0.061</f>
        <v>-6.0999999999999999E-2</v>
      </c>
      <c r="G543">
        <f>-0.686</f>
        <v>-0.68600000000000005</v>
      </c>
      <c r="H543">
        <f>0.12</f>
        <v>0.12</v>
      </c>
    </row>
    <row r="544" spans="1:8" x14ac:dyDescent="0.25">
      <c r="A544" s="1">
        <v>44033</v>
      </c>
      <c r="B544">
        <f>1.309</f>
        <v>1.3089999999999999</v>
      </c>
      <c r="C544">
        <f>0.6004</f>
        <v>0.60040000000000004</v>
      </c>
      <c r="D544">
        <f>0.1411</f>
        <v>0.1411</v>
      </c>
      <c r="E544">
        <f>-0.46</f>
        <v>-0.46</v>
      </c>
      <c r="F544">
        <f>-0.023</f>
        <v>-2.3E-2</v>
      </c>
      <c r="G544">
        <f>-0.67</f>
        <v>-0.67</v>
      </c>
      <c r="H544">
        <f>0.136</f>
        <v>0.13600000000000001</v>
      </c>
    </row>
    <row r="545" spans="1:8" x14ac:dyDescent="0.25">
      <c r="A545" s="1">
        <v>44032</v>
      </c>
      <c r="B545">
        <f>1.3116</f>
        <v>1.3116000000000001</v>
      </c>
      <c r="C545">
        <f>0.6102</f>
        <v>0.61019999999999996</v>
      </c>
      <c r="D545">
        <f>0.1472</f>
        <v>0.1472</v>
      </c>
      <c r="E545">
        <f>-0.46</f>
        <v>-0.46</v>
      </c>
      <c r="F545">
        <f>-0.024</f>
        <v>-2.4E-2</v>
      </c>
      <c r="G545">
        <f>-0.67</f>
        <v>-0.67</v>
      </c>
      <c r="H545">
        <f>0.151</f>
        <v>0.151</v>
      </c>
    </row>
    <row r="546" spans="1:8" x14ac:dyDescent="0.25">
      <c r="A546" s="1">
        <v>44029</v>
      </c>
      <c r="B546">
        <f>1.3289</f>
        <v>1.3289</v>
      </c>
      <c r="C546">
        <f>0.6266</f>
        <v>0.62660000000000005</v>
      </c>
      <c r="D546">
        <f>0.1451</f>
        <v>0.14510000000000001</v>
      </c>
      <c r="E546">
        <f>-0.447</f>
        <v>-0.44700000000000001</v>
      </c>
      <c r="F546">
        <f>-0.003</f>
        <v>-3.0000000000000001E-3</v>
      </c>
      <c r="G546">
        <f>-0.664</f>
        <v>-0.66400000000000003</v>
      </c>
      <c r="H546">
        <f>0.163</f>
        <v>0.16300000000000001</v>
      </c>
    </row>
    <row r="547" spans="1:8" x14ac:dyDescent="0.25">
      <c r="A547" s="1">
        <v>44028</v>
      </c>
      <c r="B547">
        <f>1.3083</f>
        <v>1.3083</v>
      </c>
      <c r="C547">
        <f>0.6168</f>
        <v>0.61680000000000001</v>
      </c>
      <c r="D547">
        <f>0.145</f>
        <v>0.14499999999999999</v>
      </c>
      <c r="E547">
        <f>-0.465</f>
        <v>-0.46500000000000002</v>
      </c>
      <c r="F547">
        <f>-0.025</f>
        <v>-2.5000000000000001E-2</v>
      </c>
      <c r="G547">
        <f>-0.683</f>
        <v>-0.68300000000000005</v>
      </c>
      <c r="H547">
        <f>0.139</f>
        <v>0.13900000000000001</v>
      </c>
    </row>
    <row r="548" spans="1:8" x14ac:dyDescent="0.25">
      <c r="A548" s="1">
        <v>44027</v>
      </c>
      <c r="B548">
        <f>1.3321</f>
        <v>1.3321000000000001</v>
      </c>
      <c r="C548">
        <f>0.6299</f>
        <v>0.62990000000000002</v>
      </c>
      <c r="D548">
        <f>0.155</f>
        <v>0.155</v>
      </c>
      <c r="E548">
        <f>-0.444</f>
        <v>-0.44400000000000001</v>
      </c>
      <c r="F548">
        <f>-0.024</f>
        <v>-2.4E-2</v>
      </c>
      <c r="G548">
        <f>-0.669</f>
        <v>-0.66900000000000004</v>
      </c>
      <c r="H548">
        <f>0.166</f>
        <v>0.16600000000000001</v>
      </c>
    </row>
    <row r="549" spans="1:8" x14ac:dyDescent="0.25">
      <c r="A549" s="1">
        <v>44026</v>
      </c>
      <c r="B549">
        <f>1.3109</f>
        <v>1.3109</v>
      </c>
      <c r="C549">
        <f>0.6233</f>
        <v>0.62329999999999997</v>
      </c>
      <c r="D549">
        <f>0.157</f>
        <v>0.157</v>
      </c>
      <c r="E549">
        <f>-0.447</f>
        <v>-0.44700000000000001</v>
      </c>
      <c r="F549">
        <f>-0.031</f>
        <v>-3.1E-2</v>
      </c>
      <c r="G549">
        <f>-0.665</f>
        <v>-0.66500000000000004</v>
      </c>
      <c r="H549">
        <f>0.15</f>
        <v>0.15</v>
      </c>
    </row>
    <row r="550" spans="1:8" x14ac:dyDescent="0.25">
      <c r="A550" s="1">
        <v>44025</v>
      </c>
      <c r="B550">
        <f>1.3077</f>
        <v>1.3077000000000001</v>
      </c>
      <c r="C550">
        <f>0.6184</f>
        <v>0.61839999999999995</v>
      </c>
      <c r="D550">
        <f>0.1509</f>
        <v>0.15090000000000001</v>
      </c>
      <c r="E550">
        <f>-0.417</f>
        <v>-0.41699999999999998</v>
      </c>
      <c r="F550">
        <f>0.011</f>
        <v>1.0999999999999999E-2</v>
      </c>
      <c r="G550">
        <f>-0.66</f>
        <v>-0.66</v>
      </c>
      <c r="H550">
        <f>0.186</f>
        <v>0.186</v>
      </c>
    </row>
    <row r="551" spans="1:8" x14ac:dyDescent="0.25">
      <c r="A551" s="1">
        <v>44022</v>
      </c>
      <c r="B551">
        <f>1.3359</f>
        <v>1.3359000000000001</v>
      </c>
      <c r="C551">
        <f>0.6447</f>
        <v>0.64470000000000005</v>
      </c>
      <c r="D551">
        <f>0.1529</f>
        <v>0.15290000000000001</v>
      </c>
      <c r="E551">
        <f>-0.465</f>
        <v>-0.46500000000000002</v>
      </c>
      <c r="F551">
        <f>-0.042</f>
        <v>-4.2000000000000003E-2</v>
      </c>
      <c r="G551">
        <f>-0.689</f>
        <v>-0.68899999999999995</v>
      </c>
      <c r="H551">
        <f>0.155</f>
        <v>0.155</v>
      </c>
    </row>
    <row r="552" spans="1:8" x14ac:dyDescent="0.25">
      <c r="A552" s="1">
        <v>44021</v>
      </c>
      <c r="B552">
        <f>1.3134</f>
        <v>1.3133999999999999</v>
      </c>
      <c r="C552">
        <f>0.6135</f>
        <v>0.61350000000000005</v>
      </c>
      <c r="D552">
        <f>0.1508</f>
        <v>0.15079999999999999</v>
      </c>
      <c r="E552">
        <f>-0.463</f>
        <v>-0.46300000000000002</v>
      </c>
      <c r="F552">
        <f>-0.034</f>
        <v>-3.4000000000000002E-2</v>
      </c>
      <c r="G552">
        <f>-0.684</f>
        <v>-0.68400000000000005</v>
      </c>
      <c r="H552">
        <f>0.158</f>
        <v>0.158</v>
      </c>
    </row>
    <row r="553" spans="1:8" x14ac:dyDescent="0.25">
      <c r="A553" s="1">
        <v>44020</v>
      </c>
      <c r="B553">
        <f>1.3996</f>
        <v>1.3996</v>
      </c>
      <c r="C553">
        <f>0.6644</f>
        <v>0.66439999999999999</v>
      </c>
      <c r="D553">
        <f>0.1587</f>
        <v>0.15870000000000001</v>
      </c>
      <c r="E553">
        <f>-0.44</f>
        <v>-0.44</v>
      </c>
      <c r="F553">
        <f>-0.009</f>
        <v>-8.9999999999999993E-3</v>
      </c>
      <c r="G553">
        <f>-0.668</f>
        <v>-0.66800000000000004</v>
      </c>
      <c r="H553">
        <f>0.183</f>
        <v>0.183</v>
      </c>
    </row>
    <row r="554" spans="1:8" x14ac:dyDescent="0.25">
      <c r="A554" s="1">
        <v>44019</v>
      </c>
      <c r="B554">
        <f>1.3748</f>
        <v>1.3748</v>
      </c>
      <c r="C554">
        <f>0.6397</f>
        <v>0.63970000000000005</v>
      </c>
      <c r="D554">
        <f>0.1567</f>
        <v>0.15670000000000001</v>
      </c>
      <c r="E554">
        <f>-0.429</f>
        <v>-0.42899999999999999</v>
      </c>
      <c r="F554">
        <f>0.017</f>
        <v>1.7000000000000001E-2</v>
      </c>
      <c r="G554">
        <f>-0.671</f>
        <v>-0.67100000000000004</v>
      </c>
      <c r="H554">
        <f>0.18</f>
        <v>0.18</v>
      </c>
    </row>
    <row r="555" spans="1:8" x14ac:dyDescent="0.25">
      <c r="A555" s="1">
        <v>44018</v>
      </c>
      <c r="B555">
        <f>1.4392</f>
        <v>1.4392</v>
      </c>
      <c r="C555">
        <f>0.6759</f>
        <v>0.67589999999999995</v>
      </c>
      <c r="D555">
        <f>0.1566</f>
        <v>0.15659999999999999</v>
      </c>
      <c r="E555">
        <f>-0.431</f>
        <v>-0.43099999999999999</v>
      </c>
      <c r="F555">
        <f>0.03</f>
        <v>0.03</v>
      </c>
      <c r="G555">
        <f>-0.684</f>
        <v>-0.68400000000000005</v>
      </c>
      <c r="H555">
        <f>0.201</f>
        <v>0.20100000000000001</v>
      </c>
    </row>
    <row r="556" spans="1:8" x14ac:dyDescent="0.25">
      <c r="A556" s="1">
        <v>44015</v>
      </c>
      <c r="B556">
        <f>1.4272</f>
        <v>1.4272</v>
      </c>
      <c r="C556">
        <f>0.6693</f>
        <v>0.66930000000000001</v>
      </c>
      <c r="D556">
        <f>0.1526</f>
        <v>0.15260000000000001</v>
      </c>
      <c r="E556">
        <f>-0.432</f>
        <v>-0.432</v>
      </c>
      <c r="F556">
        <f>0.029</f>
        <v>2.9000000000000001E-2</v>
      </c>
      <c r="G556">
        <f>-0.683</f>
        <v>-0.68300000000000005</v>
      </c>
      <c r="H556">
        <f>0.188</f>
        <v>0.188</v>
      </c>
    </row>
    <row r="557" spans="1:8" x14ac:dyDescent="0.25">
      <c r="A557" s="1">
        <v>44014</v>
      </c>
      <c r="B557">
        <f>1.4272</f>
        <v>1.4272</v>
      </c>
      <c r="C557">
        <f>0.6693</f>
        <v>0.66930000000000001</v>
      </c>
      <c r="D557">
        <f>0.1526</f>
        <v>0.15260000000000001</v>
      </c>
      <c r="E557">
        <f>-0.428</f>
        <v>-0.42799999999999999</v>
      </c>
      <c r="F557">
        <f>0.03</f>
        <v>0.03</v>
      </c>
      <c r="G557">
        <f>-0.68</f>
        <v>-0.68</v>
      </c>
      <c r="H557">
        <f>0.186</f>
        <v>0.186</v>
      </c>
    </row>
    <row r="558" spans="1:8" x14ac:dyDescent="0.25">
      <c r="A558" s="1">
        <v>44013</v>
      </c>
      <c r="B558">
        <f>1.4232</f>
        <v>1.4232</v>
      </c>
      <c r="C558">
        <f>0.6758</f>
        <v>0.67579999999999996</v>
      </c>
      <c r="D558">
        <f>0.1603</f>
        <v>0.1603</v>
      </c>
      <c r="E558">
        <f>-0.395</f>
        <v>-0.39500000000000002</v>
      </c>
      <c r="F558">
        <f>0.058</f>
        <v>5.8000000000000003E-2</v>
      </c>
      <c r="G558">
        <f>-0.656</f>
        <v>-0.65600000000000003</v>
      </c>
      <c r="H558">
        <f>0.211</f>
        <v>0.21099999999999999</v>
      </c>
    </row>
    <row r="559" spans="1:8" x14ac:dyDescent="0.25">
      <c r="A559" s="1">
        <v>44012</v>
      </c>
      <c r="B559">
        <f>1.4107</f>
        <v>1.4107000000000001</v>
      </c>
      <c r="C559">
        <f>0.6561</f>
        <v>0.65610000000000002</v>
      </c>
      <c r="D559">
        <f>0.1485</f>
        <v>0.14849999999999999</v>
      </c>
      <c r="E559">
        <f>-0.454</f>
        <v>-0.45400000000000001</v>
      </c>
      <c r="F559">
        <f>0.005</f>
        <v>5.0000000000000001E-3</v>
      </c>
      <c r="G559">
        <f>-0.687</f>
        <v>-0.68700000000000006</v>
      </c>
      <c r="H559">
        <f>0.172</f>
        <v>0.17199999999999999</v>
      </c>
    </row>
    <row r="560" spans="1:8" x14ac:dyDescent="0.25">
      <c r="A560" s="1">
        <v>44011</v>
      </c>
      <c r="B560">
        <f>1.3734</f>
        <v>1.3734</v>
      </c>
      <c r="C560">
        <f>0.6234</f>
        <v>0.62339999999999995</v>
      </c>
      <c r="D560">
        <f>0.1485</f>
        <v>0.14849999999999999</v>
      </c>
      <c r="E560">
        <f>-0.47</f>
        <v>-0.47</v>
      </c>
      <c r="F560">
        <f>-0.021</f>
        <v>-2.1000000000000001E-2</v>
      </c>
      <c r="G560">
        <f>-0.691</f>
        <v>-0.69099999999999995</v>
      </c>
      <c r="H560">
        <f>0.163</f>
        <v>0.16300000000000001</v>
      </c>
    </row>
    <row r="561" spans="1:8" x14ac:dyDescent="0.25">
      <c r="A561" s="1">
        <v>44008</v>
      </c>
      <c r="B561">
        <f>1.3701</f>
        <v>1.3701000000000001</v>
      </c>
      <c r="C561">
        <f>0.6413</f>
        <v>0.64129999999999998</v>
      </c>
      <c r="D561">
        <f>0.1661</f>
        <v>0.1661</v>
      </c>
      <c r="E561">
        <f>-0.482</f>
        <v>-0.48199999999999998</v>
      </c>
      <c r="F561">
        <f>-0.041</f>
        <v>-4.1000000000000002E-2</v>
      </c>
      <c r="G561">
        <f>-0.702</f>
        <v>-0.70199999999999996</v>
      </c>
      <c r="H561">
        <f>0.172</f>
        <v>0.17199999999999999</v>
      </c>
    </row>
    <row r="562" spans="1:8" x14ac:dyDescent="0.25">
      <c r="A562" s="1">
        <v>44007</v>
      </c>
      <c r="B562">
        <f>1.4344</f>
        <v>1.4343999999999999</v>
      </c>
      <c r="C562">
        <f>0.6856</f>
        <v>0.68559999999999999</v>
      </c>
      <c r="D562">
        <f>0.1857</f>
        <v>0.1857</v>
      </c>
      <c r="E562">
        <f>-0.468</f>
        <v>-0.46800000000000003</v>
      </c>
      <c r="F562">
        <f>-0.032</f>
        <v>-3.2000000000000001E-2</v>
      </c>
      <c r="G562">
        <f>-0.69</f>
        <v>-0.69</v>
      </c>
      <c r="H562">
        <f>0.154</f>
        <v>0.154</v>
      </c>
    </row>
    <row r="563" spans="1:8" x14ac:dyDescent="0.25">
      <c r="A563" s="1">
        <v>44006</v>
      </c>
      <c r="B563">
        <f>1.4291</f>
        <v>1.4291</v>
      </c>
      <c r="C563">
        <f>0.679</f>
        <v>0.67900000000000005</v>
      </c>
      <c r="D563">
        <f>0.1876</f>
        <v>0.18759999999999999</v>
      </c>
      <c r="E563">
        <f>-0.44</f>
        <v>-0.44</v>
      </c>
      <c r="F563">
        <f>0.011</f>
        <v>1.0999999999999999E-2</v>
      </c>
      <c r="G563">
        <f>-0.672</f>
        <v>-0.67200000000000004</v>
      </c>
      <c r="H563">
        <f>0.189</f>
        <v>0.189</v>
      </c>
    </row>
    <row r="564" spans="1:8" x14ac:dyDescent="0.25">
      <c r="A564" s="1">
        <v>44005</v>
      </c>
      <c r="B564">
        <f>1.4917</f>
        <v>1.4917</v>
      </c>
      <c r="C564">
        <f>0.7118</f>
        <v>0.71179999999999999</v>
      </c>
      <c r="D564">
        <f>0.1857</f>
        <v>0.1857</v>
      </c>
      <c r="E564">
        <f>-0.408</f>
        <v>-0.40799999999999997</v>
      </c>
      <c r="F564">
        <f>0.075</f>
        <v>7.4999999999999997E-2</v>
      </c>
      <c r="G564">
        <f>-0.659</f>
        <v>-0.65900000000000003</v>
      </c>
      <c r="H564">
        <f>0.211</f>
        <v>0.21099999999999999</v>
      </c>
    </row>
    <row r="565" spans="1:8" x14ac:dyDescent="0.25">
      <c r="A565" s="1">
        <v>44004</v>
      </c>
      <c r="B565">
        <f>1.4642</f>
        <v>1.4641999999999999</v>
      </c>
      <c r="C565">
        <f>0.7085</f>
        <v>0.70850000000000002</v>
      </c>
      <c r="D565">
        <f>0.1917</f>
        <v>0.19170000000000001</v>
      </c>
      <c r="E565">
        <f>-0.439</f>
        <v>-0.439</v>
      </c>
      <c r="F565">
        <f>0.01</f>
        <v>0.01</v>
      </c>
      <c r="G565">
        <f>-0.686</f>
        <v>-0.68600000000000005</v>
      </c>
      <c r="H565">
        <f>0.193</f>
        <v>0.193</v>
      </c>
    </row>
    <row r="566" spans="1:8" x14ac:dyDescent="0.25">
      <c r="A566" s="1">
        <v>44001</v>
      </c>
      <c r="B566">
        <f>1.4582</f>
        <v>1.4581999999999999</v>
      </c>
      <c r="C566">
        <f>0.6937</f>
        <v>0.69369999999999998</v>
      </c>
      <c r="D566">
        <f>0.1855</f>
        <v>0.1855</v>
      </c>
      <c r="E566">
        <f>-0.415</f>
        <v>-0.41499999999999998</v>
      </c>
      <c r="F566">
        <f>0.019</f>
        <v>1.9E-2</v>
      </c>
      <c r="G566">
        <f>-0.669</f>
        <v>-0.66900000000000004</v>
      </c>
      <c r="H566">
        <f>0.238</f>
        <v>0.23799999999999999</v>
      </c>
    </row>
    <row r="567" spans="1:8" x14ac:dyDescent="0.25">
      <c r="A567" s="1">
        <v>44000</v>
      </c>
      <c r="B567">
        <f>1.4816</f>
        <v>1.4816</v>
      </c>
      <c r="C567">
        <f>0.7084</f>
        <v>0.70840000000000003</v>
      </c>
      <c r="D567">
        <f>0.1933</f>
        <v>0.1933</v>
      </c>
      <c r="E567">
        <f>-0.407</f>
        <v>-0.40699999999999997</v>
      </c>
      <c r="F567">
        <f>0.02</f>
        <v>0.02</v>
      </c>
      <c r="G567">
        <f>-0.651</f>
        <v>-0.65100000000000002</v>
      </c>
      <c r="H567">
        <f>0.228</f>
        <v>0.22800000000000001</v>
      </c>
    </row>
    <row r="568" spans="1:8" x14ac:dyDescent="0.25">
      <c r="A568" s="1">
        <v>43999</v>
      </c>
      <c r="B568">
        <f>1.5295</f>
        <v>1.5295000000000001</v>
      </c>
      <c r="C568">
        <f>0.738</f>
        <v>0.73799999999999999</v>
      </c>
      <c r="D568">
        <f>0.1952</f>
        <v>0.19520000000000001</v>
      </c>
      <c r="E568">
        <f>-0.392</f>
        <v>-0.39200000000000002</v>
      </c>
      <c r="F568">
        <f>0.055</f>
        <v>5.5E-2</v>
      </c>
      <c r="G568">
        <f>-0.655</f>
        <v>-0.65500000000000003</v>
      </c>
      <c r="H568">
        <f>0.19</f>
        <v>0.19</v>
      </c>
    </row>
    <row r="569" spans="1:8" x14ac:dyDescent="0.25">
      <c r="A569" s="1">
        <v>43998</v>
      </c>
      <c r="B569">
        <f>1.5431</f>
        <v>1.5430999999999999</v>
      </c>
      <c r="C569">
        <f>0.7528</f>
        <v>0.75280000000000002</v>
      </c>
      <c r="D569">
        <f>0.1992</f>
        <v>0.19919999999999999</v>
      </c>
      <c r="E569">
        <f>-0.427</f>
        <v>-0.42699999999999999</v>
      </c>
      <c r="F569">
        <f>0.056</f>
        <v>5.6000000000000001E-2</v>
      </c>
      <c r="G569">
        <f>-0.652</f>
        <v>-0.65200000000000002</v>
      </c>
      <c r="H569">
        <f>0.207</f>
        <v>0.20699999999999999</v>
      </c>
    </row>
    <row r="570" spans="1:8" x14ac:dyDescent="0.25">
      <c r="A570" s="1">
        <v>43997</v>
      </c>
      <c r="B570">
        <f>1.4608</f>
        <v>1.4608000000000001</v>
      </c>
      <c r="C570">
        <f>0.7215</f>
        <v>0.72150000000000003</v>
      </c>
      <c r="D570">
        <f>0.189</f>
        <v>0.189</v>
      </c>
      <c r="E570">
        <f>-0.446</f>
        <v>-0.44600000000000001</v>
      </c>
      <c r="F570">
        <f>0.038</f>
        <v>3.7999999999999999E-2</v>
      </c>
      <c r="G570">
        <f>-0.659</f>
        <v>-0.65900000000000003</v>
      </c>
      <c r="H570">
        <f>0.205</f>
        <v>0.20499999999999999</v>
      </c>
    </row>
    <row r="571" spans="1:8" x14ac:dyDescent="0.25">
      <c r="A571" s="1">
        <v>43994</v>
      </c>
      <c r="B571">
        <f>1.4568</f>
        <v>1.4568000000000001</v>
      </c>
      <c r="C571">
        <f>0.7034</f>
        <v>0.70340000000000003</v>
      </c>
      <c r="D571">
        <f>0.193</f>
        <v>0.193</v>
      </c>
      <c r="E571">
        <f>-0.439</f>
        <v>-0.439</v>
      </c>
      <c r="F571">
        <f>0.044</f>
        <v>4.3999999999999997E-2</v>
      </c>
      <c r="G571">
        <f>-0.672</f>
        <v>-0.67200000000000004</v>
      </c>
      <c r="H571">
        <f>0.208</f>
        <v>0.20799999999999999</v>
      </c>
    </row>
    <row r="572" spans="1:8" x14ac:dyDescent="0.25">
      <c r="A572" s="1">
        <v>43993</v>
      </c>
      <c r="B572">
        <f>1.4019</f>
        <v>1.4018999999999999</v>
      </c>
      <c r="C572">
        <f>0.669</f>
        <v>0.66900000000000004</v>
      </c>
      <c r="D572">
        <f>0.1967</f>
        <v>0.19670000000000001</v>
      </c>
      <c r="E572">
        <f>-0.414</f>
        <v>-0.41399999999999998</v>
      </c>
      <c r="F572">
        <f>0.063</f>
        <v>6.3E-2</v>
      </c>
      <c r="G572">
        <f>-0.649</f>
        <v>-0.64900000000000002</v>
      </c>
      <c r="H572">
        <f>0.198</f>
        <v>0.19800000000000001</v>
      </c>
    </row>
    <row r="573" spans="1:8" x14ac:dyDescent="0.25">
      <c r="A573" s="1">
        <v>43992</v>
      </c>
      <c r="B573">
        <f>1.5063</f>
        <v>1.5063</v>
      </c>
      <c r="C573">
        <f>0.7263</f>
        <v>0.72629999999999995</v>
      </c>
      <c r="D573">
        <f>0.1667</f>
        <v>0.16669999999999999</v>
      </c>
      <c r="E573">
        <f>-0.331</f>
        <v>-0.33100000000000002</v>
      </c>
      <c r="F573">
        <f>0.152</f>
        <v>0.152</v>
      </c>
      <c r="G573">
        <f>-0.615</f>
        <v>-0.61499999999999999</v>
      </c>
      <c r="H573">
        <f>0.267</f>
        <v>0.26700000000000002</v>
      </c>
    </row>
    <row r="574" spans="1:8" x14ac:dyDescent="0.25">
      <c r="A574" s="1">
        <v>43991</v>
      </c>
      <c r="B574">
        <f>1.5758</f>
        <v>1.5758000000000001</v>
      </c>
      <c r="C574">
        <f>0.8253</f>
        <v>0.82530000000000003</v>
      </c>
      <c r="D574">
        <f>0.2024</f>
        <v>0.2024</v>
      </c>
      <c r="E574">
        <f>-0.309</f>
        <v>-0.309</v>
      </c>
      <c r="F574">
        <f>0.195</f>
        <v>0.19500000000000001</v>
      </c>
      <c r="G574">
        <f>-0.608</f>
        <v>-0.60799999999999998</v>
      </c>
      <c r="H574">
        <f>0.336</f>
        <v>0.33600000000000002</v>
      </c>
    </row>
    <row r="575" spans="1:8" x14ac:dyDescent="0.25">
      <c r="A575" s="1">
        <v>43990</v>
      </c>
      <c r="B575">
        <f>1.6417</f>
        <v>1.6416999999999999</v>
      </c>
      <c r="C575">
        <f>0.8752</f>
        <v>0.87519999999999998</v>
      </c>
      <c r="D575">
        <f>0.2261</f>
        <v>0.2261</v>
      </c>
      <c r="E575">
        <f>-0.319</f>
        <v>-0.31900000000000001</v>
      </c>
      <c r="F575">
        <f>0.205</f>
        <v>0.20499999999999999</v>
      </c>
      <c r="G575">
        <f>-0.619</f>
        <v>-0.61899999999999999</v>
      </c>
      <c r="H575">
        <f>0.334</f>
        <v>0.33400000000000002</v>
      </c>
    </row>
    <row r="576" spans="1:8" x14ac:dyDescent="0.25">
      <c r="A576" s="1">
        <v>43987</v>
      </c>
      <c r="B576">
        <f>1.6656</f>
        <v>1.6656</v>
      </c>
      <c r="C576">
        <f>0.8951</f>
        <v>0.89510000000000001</v>
      </c>
      <c r="D576">
        <f>0.2062</f>
        <v>0.20619999999999999</v>
      </c>
      <c r="E576">
        <f>-0.277</f>
        <v>-0.27700000000000002</v>
      </c>
      <c r="F576">
        <f>0.256</f>
        <v>0.25600000000000001</v>
      </c>
      <c r="G576">
        <f>-0.601</f>
        <v>-0.60099999999999998</v>
      </c>
      <c r="H576">
        <f>0.354</f>
        <v>0.35399999999999998</v>
      </c>
    </row>
    <row r="577" spans="1:8" x14ac:dyDescent="0.25">
      <c r="A577" s="1">
        <v>43986</v>
      </c>
      <c r="B577">
        <f>1.6318</f>
        <v>1.6317999999999999</v>
      </c>
      <c r="C577">
        <f>0.8234</f>
        <v>0.82340000000000002</v>
      </c>
      <c r="D577">
        <f>0.194</f>
        <v>0.19400000000000001</v>
      </c>
      <c r="E577">
        <f>-0.32</f>
        <v>-0.32</v>
      </c>
      <c r="F577">
        <f>0.195</f>
        <v>0.19500000000000001</v>
      </c>
      <c r="G577">
        <f>-0.605</f>
        <v>-0.60499999999999998</v>
      </c>
      <c r="H577">
        <f>0.306</f>
        <v>0.30599999999999999</v>
      </c>
    </row>
    <row r="578" spans="1:8" x14ac:dyDescent="0.25">
      <c r="A578" s="1">
        <v>43985</v>
      </c>
      <c r="B578">
        <f>1.5305</f>
        <v>1.5305</v>
      </c>
      <c r="C578">
        <f>0.7458</f>
        <v>0.74580000000000002</v>
      </c>
      <c r="D578">
        <f>0.19</f>
        <v>0.19</v>
      </c>
      <c r="E578">
        <f>-0.354</f>
        <v>-0.35399999999999998</v>
      </c>
      <c r="F578">
        <f>0.122</f>
        <v>0.122</v>
      </c>
      <c r="G578">
        <f>-0.631</f>
        <v>-0.63100000000000001</v>
      </c>
      <c r="H578">
        <f>0.274</f>
        <v>0.27400000000000002</v>
      </c>
    </row>
    <row r="579" spans="1:8" x14ac:dyDescent="0.25">
      <c r="A579" s="1">
        <v>43984</v>
      </c>
      <c r="B579">
        <f>1.4873</f>
        <v>1.4873000000000001</v>
      </c>
      <c r="C579">
        <f>0.6852</f>
        <v>0.68520000000000003</v>
      </c>
      <c r="D579">
        <f>0.1623</f>
        <v>0.1623</v>
      </c>
      <c r="E579">
        <f>-0.415</f>
        <v>-0.41499999999999998</v>
      </c>
      <c r="F579">
        <f>0.065</f>
        <v>6.5000000000000002E-2</v>
      </c>
      <c r="G579">
        <f>-0.653</f>
        <v>-0.65300000000000002</v>
      </c>
      <c r="H579">
        <f>0.222</f>
        <v>0.222</v>
      </c>
    </row>
    <row r="580" spans="1:8" x14ac:dyDescent="0.25">
      <c r="A580" s="1">
        <v>43983</v>
      </c>
      <c r="B580">
        <f>1.4506</f>
        <v>1.4505999999999999</v>
      </c>
      <c r="C580">
        <f>0.6591</f>
        <v>0.65910000000000002</v>
      </c>
      <c r="D580">
        <f>0.1564</f>
        <v>0.15640000000000001</v>
      </c>
      <c r="E580">
        <f>-0.402</f>
        <v>-0.40200000000000002</v>
      </c>
      <c r="F580">
        <f>0.084</f>
        <v>8.4000000000000005E-2</v>
      </c>
      <c r="G580">
        <f>-0.653</f>
        <v>-0.65300000000000002</v>
      </c>
      <c r="H580">
        <f>0.231</f>
        <v>0.23100000000000001</v>
      </c>
    </row>
    <row r="581" spans="1:8" x14ac:dyDescent="0.25">
      <c r="A581" s="1">
        <v>43980</v>
      </c>
      <c r="B581">
        <f>1.4064</f>
        <v>1.4064000000000001</v>
      </c>
      <c r="C581">
        <f>0.6526</f>
        <v>0.65259999999999996</v>
      </c>
      <c r="D581">
        <f>0.1603</f>
        <v>0.1603</v>
      </c>
      <c r="E581">
        <f>-0.447</f>
        <v>-0.44700000000000001</v>
      </c>
      <c r="F581">
        <f>0.003</f>
        <v>3.0000000000000001E-3</v>
      </c>
      <c r="G581">
        <f>-0.659</f>
        <v>-0.65900000000000003</v>
      </c>
      <c r="H581">
        <f>0.184</f>
        <v>0.184</v>
      </c>
    </row>
    <row r="582" spans="1:8" x14ac:dyDescent="0.25">
      <c r="A582" s="1">
        <v>43979</v>
      </c>
      <c r="B582">
        <f>1.4519</f>
        <v>1.4519</v>
      </c>
      <c r="C582">
        <f>0.69</f>
        <v>0.69</v>
      </c>
      <c r="D582">
        <f>0.1701</f>
        <v>0.1701</v>
      </c>
      <c r="E582">
        <f>-0.419</f>
        <v>-0.41899999999999998</v>
      </c>
      <c r="F582">
        <f>0.03</f>
        <v>0.03</v>
      </c>
      <c r="G582">
        <f>-0.633</f>
        <v>-0.63300000000000001</v>
      </c>
      <c r="H582">
        <f>0.21</f>
        <v>0.21</v>
      </c>
    </row>
    <row r="583" spans="1:8" x14ac:dyDescent="0.25">
      <c r="A583" s="1">
        <v>43978</v>
      </c>
      <c r="B583">
        <f>1.4399</f>
        <v>1.4399</v>
      </c>
      <c r="C583">
        <f>0.6819</f>
        <v>0.68189999999999995</v>
      </c>
      <c r="D583">
        <f>0.1799</f>
        <v>0.1799</v>
      </c>
      <c r="E583">
        <f>-0.414</f>
        <v>-0.41399999999999998</v>
      </c>
      <c r="F583">
        <f>0.028</f>
        <v>2.8000000000000001E-2</v>
      </c>
      <c r="G583">
        <f>-0.634</f>
        <v>-0.63400000000000001</v>
      </c>
      <c r="H583">
        <f>0.193</f>
        <v>0.193</v>
      </c>
    </row>
    <row r="584" spans="1:8" x14ac:dyDescent="0.25">
      <c r="A584" s="1">
        <v>43977</v>
      </c>
      <c r="B584">
        <f>1.4446</f>
        <v>1.4446000000000001</v>
      </c>
      <c r="C584">
        <f>0.6965</f>
        <v>0.69650000000000001</v>
      </c>
      <c r="D584">
        <f>0.1717</f>
        <v>0.17169999999999999</v>
      </c>
      <c r="E584">
        <f>-0.429</f>
        <v>-0.42899999999999999</v>
      </c>
      <c r="F584">
        <f>0.014</f>
        <v>1.4E-2</v>
      </c>
      <c r="G584">
        <f>-0.641</f>
        <v>-0.64100000000000001</v>
      </c>
      <c r="H584">
        <f>0.215</f>
        <v>0.215</v>
      </c>
    </row>
    <row r="585" spans="1:8" x14ac:dyDescent="0.25">
      <c r="A585" s="1">
        <v>43976</v>
      </c>
      <c r="B585">
        <f>1.3705</f>
        <v>1.3705000000000001</v>
      </c>
      <c r="C585">
        <f>0.6591</f>
        <v>0.65910000000000002</v>
      </c>
      <c r="D585">
        <f>0.1676</f>
        <v>0.1676</v>
      </c>
      <c r="E585">
        <f>-0.494</f>
        <v>-0.49399999999999999</v>
      </c>
      <c r="F585">
        <f>-0.049</f>
        <v>-4.9000000000000002E-2</v>
      </c>
      <c r="G585">
        <f>-0.678</f>
        <v>-0.67800000000000005</v>
      </c>
      <c r="H585">
        <f>0.174</f>
        <v>0.17399999999999999</v>
      </c>
    </row>
    <row r="586" spans="1:8" x14ac:dyDescent="0.25">
      <c r="A586" s="1">
        <v>43973</v>
      </c>
      <c r="B586">
        <f>1.3705</f>
        <v>1.3705000000000001</v>
      </c>
      <c r="C586">
        <f>0.6591</f>
        <v>0.65910000000000002</v>
      </c>
      <c r="D586">
        <f>0.1676</f>
        <v>0.1676</v>
      </c>
      <c r="E586">
        <f>-0.487</f>
        <v>-0.48699999999999999</v>
      </c>
      <c r="F586">
        <f>-0.046</f>
        <v>-4.5999999999999999E-2</v>
      </c>
      <c r="G586">
        <f>-0.68</f>
        <v>-0.68</v>
      </c>
      <c r="H586">
        <f>0.174</f>
        <v>0.17399999999999999</v>
      </c>
    </row>
    <row r="587" spans="1:8" x14ac:dyDescent="0.25">
      <c r="A587" s="1">
        <v>43972</v>
      </c>
      <c r="B587">
        <f>1.386</f>
        <v>1.3859999999999999</v>
      </c>
      <c r="C587">
        <f>0.672</f>
        <v>0.67200000000000004</v>
      </c>
      <c r="D587">
        <f>0.1653</f>
        <v>0.1653</v>
      </c>
      <c r="E587">
        <f>-0.495</f>
        <v>-0.495</v>
      </c>
      <c r="F587">
        <f>-0.067</f>
        <v>-6.7000000000000004E-2</v>
      </c>
      <c r="G587">
        <f>-0.692</f>
        <v>-0.69199999999999995</v>
      </c>
      <c r="H587">
        <f>0.171</f>
        <v>0.17100000000000001</v>
      </c>
    </row>
    <row r="588" spans="1:8" x14ac:dyDescent="0.25">
      <c r="A588" s="1">
        <v>43971</v>
      </c>
      <c r="B588">
        <f>1.3978</f>
        <v>1.3977999999999999</v>
      </c>
      <c r="C588">
        <f>0.6801</f>
        <v>0.68010000000000004</v>
      </c>
      <c r="D588">
        <f>0.1633</f>
        <v>0.1633</v>
      </c>
      <c r="E588">
        <f>-0.468</f>
        <v>-0.46800000000000003</v>
      </c>
      <c r="F588">
        <f>-0.045</f>
        <v>-4.4999999999999998E-2</v>
      </c>
      <c r="G588">
        <f>-0.672</f>
        <v>-0.67200000000000004</v>
      </c>
      <c r="H588">
        <f>0.229</f>
        <v>0.22900000000000001</v>
      </c>
    </row>
    <row r="589" spans="1:8" x14ac:dyDescent="0.25">
      <c r="A589" s="1">
        <v>43970</v>
      </c>
      <c r="B589">
        <f>1.4089</f>
        <v>1.4089</v>
      </c>
      <c r="C589">
        <f>0.6882</f>
        <v>0.68820000000000003</v>
      </c>
      <c r="D589">
        <f>0.1652</f>
        <v>0.16520000000000001</v>
      </c>
      <c r="E589">
        <f>-0.464</f>
        <v>-0.46400000000000002</v>
      </c>
      <c r="F589">
        <f>-0.038</f>
        <v>-3.7999999999999999E-2</v>
      </c>
      <c r="G589">
        <f>-0.672</f>
        <v>-0.67200000000000004</v>
      </c>
      <c r="H589">
        <f>0.245</f>
        <v>0.245</v>
      </c>
    </row>
    <row r="590" spans="1:8" x14ac:dyDescent="0.25">
      <c r="A590" s="1">
        <v>43969</v>
      </c>
      <c r="B590">
        <f>1.4365</f>
        <v>1.4365000000000001</v>
      </c>
      <c r="C590">
        <f>0.7257</f>
        <v>0.72570000000000001</v>
      </c>
      <c r="D590">
        <f>0.1772</f>
        <v>0.1772</v>
      </c>
      <c r="E590">
        <f>-0.467</f>
        <v>-0.46700000000000003</v>
      </c>
      <c r="F590">
        <f>-0.018</f>
        <v>-1.7999999999999999E-2</v>
      </c>
      <c r="G590">
        <f>-0.689</f>
        <v>-0.68899999999999995</v>
      </c>
      <c r="H590">
        <f>0.257</f>
        <v>0.25700000000000001</v>
      </c>
    </row>
    <row r="591" spans="1:8" x14ac:dyDescent="0.25">
      <c r="A591" s="1">
        <v>43966</v>
      </c>
      <c r="B591">
        <f>1.3266</f>
        <v>1.3266</v>
      </c>
      <c r="C591">
        <f>0.6428</f>
        <v>0.64280000000000004</v>
      </c>
      <c r="D591">
        <f>0.1451</f>
        <v>0.14510000000000001</v>
      </c>
      <c r="E591">
        <f>-0.531</f>
        <v>-0.53100000000000003</v>
      </c>
      <c r="F591">
        <f>-0.095</f>
        <v>-9.5000000000000001E-2</v>
      </c>
      <c r="G591">
        <f>-0.728</f>
        <v>-0.72799999999999998</v>
      </c>
      <c r="H591">
        <f>0.231</f>
        <v>0.23100000000000001</v>
      </c>
    </row>
    <row r="592" spans="1:8" x14ac:dyDescent="0.25">
      <c r="A592" s="1">
        <v>43965</v>
      </c>
      <c r="B592">
        <f>1.2909</f>
        <v>1.2908999999999999</v>
      </c>
      <c r="C592">
        <f>0.6218</f>
        <v>0.62180000000000002</v>
      </c>
      <c r="D592">
        <f>0.147</f>
        <v>0.14699999999999999</v>
      </c>
      <c r="E592">
        <f>-0.543</f>
        <v>-0.54300000000000004</v>
      </c>
      <c r="F592">
        <f>-0.11</f>
        <v>-0.11</v>
      </c>
      <c r="G592">
        <f>-0.742</f>
        <v>-0.74199999999999999</v>
      </c>
      <c r="H592">
        <f>0.204</f>
        <v>0.20399999999999999</v>
      </c>
    </row>
    <row r="593" spans="1:8" x14ac:dyDescent="0.25">
      <c r="A593" s="1">
        <v>43964</v>
      </c>
      <c r="B593">
        <f>1.3451</f>
        <v>1.3451</v>
      </c>
      <c r="C593">
        <f>0.6525</f>
        <v>0.65249999999999997</v>
      </c>
      <c r="D593">
        <f>0.1589</f>
        <v>0.15890000000000001</v>
      </c>
      <c r="E593">
        <f>-0.53</f>
        <v>-0.53</v>
      </c>
      <c r="F593">
        <f>-0.095</f>
        <v>-9.5000000000000001E-2</v>
      </c>
      <c r="G593">
        <f>-0.734</f>
        <v>-0.73399999999999999</v>
      </c>
      <c r="H593">
        <f>0.208</f>
        <v>0.20799999999999999</v>
      </c>
    </row>
    <row r="594" spans="1:8" x14ac:dyDescent="0.25">
      <c r="A594" s="1">
        <v>43963</v>
      </c>
      <c r="B594">
        <f>1.3698</f>
        <v>1.3697999999999999</v>
      </c>
      <c r="C594">
        <f>0.6651</f>
        <v>0.66510000000000002</v>
      </c>
      <c r="D594">
        <f>0.1589</f>
        <v>0.15890000000000001</v>
      </c>
      <c r="E594">
        <f>-0.505</f>
        <v>-0.505</v>
      </c>
      <c r="F594">
        <f>-0.063</f>
        <v>-6.3E-2</v>
      </c>
      <c r="G594">
        <f>-0.721</f>
        <v>-0.72099999999999997</v>
      </c>
      <c r="H594">
        <f>0.249</f>
        <v>0.249</v>
      </c>
    </row>
    <row r="595" spans="1:8" x14ac:dyDescent="0.25">
      <c r="A595" s="1">
        <v>43962</v>
      </c>
      <c r="B595">
        <f>1.416</f>
        <v>1.4159999999999999</v>
      </c>
      <c r="C595">
        <f>0.7099</f>
        <v>0.70989999999999998</v>
      </c>
      <c r="D595">
        <f>0.1747</f>
        <v>0.17469999999999999</v>
      </c>
      <c r="E595">
        <f>-0.512</f>
        <v>-0.51200000000000001</v>
      </c>
      <c r="F595">
        <f>-0.049</f>
        <v>-4.9000000000000002E-2</v>
      </c>
      <c r="G595">
        <f>-0.749</f>
        <v>-0.749</v>
      </c>
      <c r="H595">
        <f>0.269</f>
        <v>0.26900000000000002</v>
      </c>
    </row>
    <row r="596" spans="1:8" x14ac:dyDescent="0.25">
      <c r="A596" s="1">
        <v>43959</v>
      </c>
      <c r="B596">
        <f>1.3828</f>
        <v>1.3828</v>
      </c>
      <c r="C596">
        <f>0.6831</f>
        <v>0.68310000000000004</v>
      </c>
      <c r="D596">
        <f>0.1568</f>
        <v>0.15679999999999999</v>
      </c>
      <c r="E596">
        <f>-0.537</f>
        <v>-0.53700000000000003</v>
      </c>
      <c r="F596">
        <f>-0.071</f>
        <v>-7.0999999999999994E-2</v>
      </c>
      <c r="G596">
        <f>-0.778</f>
        <v>-0.77800000000000002</v>
      </c>
      <c r="H596">
        <f>0.235</f>
        <v>0.23499999999999999</v>
      </c>
    </row>
    <row r="597" spans="1:8" x14ac:dyDescent="0.25">
      <c r="A597" s="1">
        <v>43958</v>
      </c>
      <c r="B597">
        <f>1.329</f>
        <v>1.329</v>
      </c>
      <c r="C597">
        <f>0.6409</f>
        <v>0.64090000000000003</v>
      </c>
      <c r="D597">
        <f>0.1388</f>
        <v>0.13880000000000001</v>
      </c>
      <c r="E597">
        <f>-0.545</f>
        <v>-0.54500000000000004</v>
      </c>
      <c r="F597">
        <f>-0.084</f>
        <v>-8.4000000000000005E-2</v>
      </c>
      <c r="G597">
        <f>-0.758</f>
        <v>-0.75800000000000001</v>
      </c>
      <c r="H597">
        <f>0.235</f>
        <v>0.23499999999999999</v>
      </c>
    </row>
    <row r="598" spans="1:8" x14ac:dyDescent="0.25">
      <c r="A598" s="1">
        <v>43957</v>
      </c>
      <c r="B598">
        <f>1.3937</f>
        <v>1.3936999999999999</v>
      </c>
      <c r="C598">
        <f>0.703</f>
        <v>0.70299999999999996</v>
      </c>
      <c r="D598">
        <f>0.1784</f>
        <v>0.1784</v>
      </c>
      <c r="E598">
        <f>-0.507</f>
        <v>-0.50700000000000001</v>
      </c>
      <c r="F598">
        <f>-0.058</f>
        <v>-5.8000000000000003E-2</v>
      </c>
      <c r="G598">
        <f>-0.745</f>
        <v>-0.745</v>
      </c>
      <c r="H598">
        <f>0.231</f>
        <v>0.23100000000000001</v>
      </c>
    </row>
    <row r="599" spans="1:8" x14ac:dyDescent="0.25">
      <c r="A599" s="1">
        <v>43956</v>
      </c>
      <c r="B599">
        <f>1.332</f>
        <v>1.3320000000000001</v>
      </c>
      <c r="C599">
        <f>0.6619</f>
        <v>0.66190000000000004</v>
      </c>
      <c r="D599">
        <f>0.1882</f>
        <v>0.18820000000000001</v>
      </c>
      <c r="E599">
        <f>-0.578</f>
        <v>-0.57799999999999996</v>
      </c>
      <c r="F599">
        <f>-0.137</f>
        <v>-0.13700000000000001</v>
      </c>
      <c r="G599">
        <f>-0.791</f>
        <v>-0.79100000000000004</v>
      </c>
      <c r="H599">
        <f>0.206</f>
        <v>0.20599999999999999</v>
      </c>
    </row>
    <row r="600" spans="1:8" x14ac:dyDescent="0.25">
      <c r="A600" s="1">
        <v>43955</v>
      </c>
      <c r="B600">
        <f>1.2765</f>
        <v>1.2765</v>
      </c>
      <c r="C600">
        <f>0.6336</f>
        <v>0.63360000000000005</v>
      </c>
      <c r="D600">
        <f>0.1822</f>
        <v>0.1822</v>
      </c>
      <c r="E600">
        <f>-0.563</f>
        <v>-0.56299999999999994</v>
      </c>
      <c r="F600">
        <f>-0.133</f>
        <v>-0.13300000000000001</v>
      </c>
      <c r="G600">
        <f>-0.752</f>
        <v>-0.752</v>
      </c>
      <c r="H600">
        <f>0.231</f>
        <v>0.23100000000000001</v>
      </c>
    </row>
    <row r="601" spans="1:8" x14ac:dyDescent="0.25">
      <c r="A601" s="1">
        <v>43952</v>
      </c>
      <c r="B601">
        <f>1.2486</f>
        <v>1.2485999999999999</v>
      </c>
      <c r="C601">
        <f>0.6118</f>
        <v>0.61180000000000001</v>
      </c>
      <c r="D601">
        <f>0.19</f>
        <v>0.19</v>
      </c>
      <c r="E601">
        <f>-0.586</f>
        <v>-0.58599999999999997</v>
      </c>
      <c r="F601">
        <f>-0.177</f>
        <v>-0.17699999999999999</v>
      </c>
      <c r="G601">
        <f>-0.76</f>
        <v>-0.76</v>
      </c>
      <c r="H601">
        <f>0.248</f>
        <v>0.248</v>
      </c>
    </row>
    <row r="602" spans="1:8" x14ac:dyDescent="0.25">
      <c r="A602" s="1">
        <v>43951</v>
      </c>
      <c r="B602">
        <f>1.2848</f>
        <v>1.2847999999999999</v>
      </c>
      <c r="C602">
        <f>0.6393</f>
        <v>0.63929999999999998</v>
      </c>
      <c r="D602">
        <f>0.1956</f>
        <v>0.1956</v>
      </c>
      <c r="E602">
        <f>-0.586</f>
        <v>-0.58599999999999997</v>
      </c>
      <c r="F602">
        <f>-0.177</f>
        <v>-0.17699999999999999</v>
      </c>
      <c r="G602">
        <f>-0.76</f>
        <v>-0.76</v>
      </c>
      <c r="H602">
        <f>0.231</f>
        <v>0.23100000000000001</v>
      </c>
    </row>
    <row r="603" spans="1:8" x14ac:dyDescent="0.25">
      <c r="A603" s="1">
        <v>43950</v>
      </c>
      <c r="B603">
        <f>1.2499</f>
        <v>1.2499</v>
      </c>
      <c r="C603">
        <f>0.6269</f>
        <v>0.62690000000000001</v>
      </c>
      <c r="D603">
        <f>0.2014</f>
        <v>0.2014</v>
      </c>
      <c r="E603">
        <f>-0.495</f>
        <v>-0.495</v>
      </c>
      <c r="F603">
        <f>-0.086</f>
        <v>-8.5999999999999993E-2</v>
      </c>
      <c r="G603">
        <f>-0.706</f>
        <v>-0.70599999999999996</v>
      </c>
      <c r="H603">
        <f>0.285</f>
        <v>0.28499999999999998</v>
      </c>
    </row>
    <row r="604" spans="1:8" x14ac:dyDescent="0.25">
      <c r="A604" s="1">
        <v>43949</v>
      </c>
      <c r="B604">
        <f>1.2042</f>
        <v>1.2041999999999999</v>
      </c>
      <c r="C604">
        <f>0.6129</f>
        <v>0.6129</v>
      </c>
      <c r="D604">
        <f>0.2112</f>
        <v>0.2112</v>
      </c>
      <c r="E604">
        <f>-0.469</f>
        <v>-0.46899999999999997</v>
      </c>
      <c r="F604">
        <f>-0.061</f>
        <v>-6.0999999999999999E-2</v>
      </c>
      <c r="G604">
        <f>-0.694</f>
        <v>-0.69399999999999995</v>
      </c>
      <c r="H604">
        <f>0.287</f>
        <v>0.28699999999999998</v>
      </c>
    </row>
    <row r="605" spans="1:8" x14ac:dyDescent="0.25">
      <c r="A605" s="1">
        <v>43948</v>
      </c>
      <c r="B605">
        <f>1.2557</f>
        <v>1.2557</v>
      </c>
      <c r="C605">
        <f>0.6605</f>
        <v>0.66049999999999998</v>
      </c>
      <c r="D605">
        <f>0.2223</f>
        <v>0.2223</v>
      </c>
      <c r="E605">
        <f>-0.453</f>
        <v>-0.45300000000000001</v>
      </c>
      <c r="F605">
        <f>-0.063</f>
        <v>-6.3E-2</v>
      </c>
      <c r="G605">
        <f>-0.661</f>
        <v>-0.66100000000000003</v>
      </c>
      <c r="H605">
        <f>0.301</f>
        <v>0.30099999999999999</v>
      </c>
    </row>
    <row r="606" spans="1:8" x14ac:dyDescent="0.25">
      <c r="A606" s="1">
        <v>43945</v>
      </c>
      <c r="B606">
        <f>1.1696</f>
        <v>1.1696</v>
      </c>
      <c r="C606">
        <f>0.6008</f>
        <v>0.6008</v>
      </c>
      <c r="D606">
        <f>0.2245</f>
        <v>0.22450000000000001</v>
      </c>
      <c r="E606">
        <f>-0.473</f>
        <v>-0.47299999999999998</v>
      </c>
      <c r="F606">
        <f>-0.088</f>
        <v>-8.7999999999999995E-2</v>
      </c>
      <c r="G606">
        <f>-0.705</f>
        <v>-0.70499999999999996</v>
      </c>
      <c r="H606">
        <f>0.291</f>
        <v>0.29099999999999998</v>
      </c>
    </row>
    <row r="607" spans="1:8" x14ac:dyDescent="0.25">
      <c r="A607" s="1">
        <v>43944</v>
      </c>
      <c r="B607">
        <f>1.1804</f>
        <v>1.1803999999999999</v>
      </c>
      <c r="C607">
        <f>0.6015</f>
        <v>0.60150000000000003</v>
      </c>
      <c r="D607">
        <f>0.2191</f>
        <v>0.21909999999999999</v>
      </c>
      <c r="E607">
        <f>-0.424</f>
        <v>-0.42399999999999999</v>
      </c>
      <c r="F607">
        <f>-0.029</f>
        <v>-2.9000000000000001E-2</v>
      </c>
      <c r="G607">
        <f>-0.668</f>
        <v>-0.66800000000000004</v>
      </c>
      <c r="H607">
        <f>0.292</f>
        <v>0.29199999999999998</v>
      </c>
    </row>
    <row r="608" spans="1:8" x14ac:dyDescent="0.25">
      <c r="A608" s="1">
        <v>43943</v>
      </c>
      <c r="B608">
        <f>1.2146</f>
        <v>1.2145999999999999</v>
      </c>
      <c r="C608">
        <f>0.619</f>
        <v>0.61899999999999999</v>
      </c>
      <c r="D608">
        <f>0.2133</f>
        <v>0.21329999999999999</v>
      </c>
      <c r="E608">
        <f>-0.407</f>
        <v>-0.40699999999999997</v>
      </c>
      <c r="F608">
        <f>-0.005</f>
        <v>-5.0000000000000001E-3</v>
      </c>
      <c r="G608">
        <f>-0.662</f>
        <v>-0.66200000000000003</v>
      </c>
      <c r="H608">
        <f>0.327</f>
        <v>0.32700000000000001</v>
      </c>
    </row>
    <row r="609" spans="1:8" x14ac:dyDescent="0.25">
      <c r="A609" s="1">
        <v>43942</v>
      </c>
      <c r="B609">
        <f>1.1626</f>
        <v>1.1626000000000001</v>
      </c>
      <c r="C609">
        <f>0.5691</f>
        <v>0.56910000000000005</v>
      </c>
      <c r="D609">
        <f>0.2034</f>
        <v>0.2034</v>
      </c>
      <c r="E609">
        <f>-0.477</f>
        <v>-0.47699999999999998</v>
      </c>
      <c r="F609">
        <f>-0.069</f>
        <v>-6.9000000000000006E-2</v>
      </c>
      <c r="G609">
        <f>-0.679</f>
        <v>-0.67900000000000005</v>
      </c>
      <c r="H609">
        <f>0.297</f>
        <v>0.29699999999999999</v>
      </c>
    </row>
    <row r="610" spans="1:8" x14ac:dyDescent="0.25">
      <c r="A610" s="1">
        <v>43941</v>
      </c>
      <c r="B610">
        <f>1.2164</f>
        <v>1.2163999999999999</v>
      </c>
      <c r="C610">
        <f>0.6053</f>
        <v>0.60529999999999995</v>
      </c>
      <c r="D610">
        <f>0.2016</f>
        <v>0.2016</v>
      </c>
      <c r="E610">
        <f>-0.448</f>
        <v>-0.44800000000000001</v>
      </c>
      <c r="F610">
        <f>-0.029</f>
        <v>-2.9000000000000001E-2</v>
      </c>
      <c r="G610">
        <f>-0.668</f>
        <v>-0.66800000000000004</v>
      </c>
      <c r="H610">
        <f>0.337</f>
        <v>0.33700000000000002</v>
      </c>
    </row>
    <row r="611" spans="1:8" x14ac:dyDescent="0.25">
      <c r="A611" s="1">
        <v>43938</v>
      </c>
      <c r="B611">
        <f>1.2601</f>
        <v>1.2601</v>
      </c>
      <c r="C611">
        <f>0.6417</f>
        <v>0.64170000000000005</v>
      </c>
      <c r="D611">
        <f>0.2019</f>
        <v>0.2019</v>
      </c>
      <c r="E611">
        <f>-0.472</f>
        <v>-0.47199999999999998</v>
      </c>
      <c r="F611">
        <f>-0.059</f>
        <v>-5.8999999999999997E-2</v>
      </c>
      <c r="G611">
        <f>-0.679</f>
        <v>-0.67900000000000005</v>
      </c>
      <c r="H611">
        <f>0.304</f>
        <v>0.30399999999999999</v>
      </c>
    </row>
    <row r="612" spans="1:8" x14ac:dyDescent="0.25">
      <c r="A612" s="1">
        <v>43937</v>
      </c>
      <c r="B612">
        <f>1.2234</f>
        <v>1.2234</v>
      </c>
      <c r="C612">
        <f>0.6267</f>
        <v>0.62670000000000003</v>
      </c>
      <c r="D612">
        <f>0.2066</f>
        <v>0.20660000000000001</v>
      </c>
      <c r="E612">
        <f>-0.474</f>
        <v>-0.47399999999999998</v>
      </c>
      <c r="F612">
        <f>-0.075</f>
        <v>-7.4999999999999997E-2</v>
      </c>
      <c r="G612">
        <f>-0.676</f>
        <v>-0.67600000000000005</v>
      </c>
      <c r="H612">
        <f>0.302</f>
        <v>0.30199999999999999</v>
      </c>
    </row>
    <row r="613" spans="1:8" x14ac:dyDescent="0.25">
      <c r="A613" s="1">
        <v>43936</v>
      </c>
      <c r="B613">
        <f>1.2655</f>
        <v>1.2655000000000001</v>
      </c>
      <c r="C613">
        <f>0.6316</f>
        <v>0.63160000000000005</v>
      </c>
      <c r="D613">
        <f>0.1969</f>
        <v>0.19689999999999999</v>
      </c>
      <c r="E613">
        <f>-0.465</f>
        <v>-0.46500000000000002</v>
      </c>
      <c r="F613">
        <f>-0.072</f>
        <v>-7.1999999999999995E-2</v>
      </c>
      <c r="G613">
        <f>-0.694</f>
        <v>-0.69399999999999995</v>
      </c>
      <c r="H613">
        <f>0.302</f>
        <v>0.30199999999999999</v>
      </c>
    </row>
    <row r="614" spans="1:8" x14ac:dyDescent="0.25">
      <c r="A614" s="1">
        <v>43935</v>
      </c>
      <c r="B614">
        <f>1.4017</f>
        <v>1.4016999999999999</v>
      </c>
      <c r="C614">
        <f>0.752</f>
        <v>0.752</v>
      </c>
      <c r="D614">
        <f>0.219</f>
        <v>0.219</v>
      </c>
      <c r="E614">
        <f>-0.377</f>
        <v>-0.377</v>
      </c>
      <c r="F614">
        <f>0.034</f>
        <v>3.4000000000000002E-2</v>
      </c>
      <c r="G614">
        <f>-0.66</f>
        <v>-0.66</v>
      </c>
      <c r="H614">
        <f>0.341</f>
        <v>0.34100000000000003</v>
      </c>
    </row>
    <row r="615" spans="1:8" x14ac:dyDescent="0.25">
      <c r="A615" s="1">
        <v>43934</v>
      </c>
      <c r="B615">
        <f>1.4071</f>
        <v>1.4071</v>
      </c>
      <c r="C615">
        <f>0.7713</f>
        <v>0.77129999999999999</v>
      </c>
      <c r="D615">
        <f>0.2452</f>
        <v>0.2452</v>
      </c>
      <c r="E615">
        <f>-0.347</f>
        <v>-0.34699999999999998</v>
      </c>
      <c r="F615">
        <f>0.063</f>
        <v>6.3E-2</v>
      </c>
      <c r="G615">
        <f>-0.62</f>
        <v>-0.62</v>
      </c>
      <c r="H615">
        <f>0.306</f>
        <v>0.30599999999999999</v>
      </c>
    </row>
    <row r="616" spans="1:8" x14ac:dyDescent="0.25">
      <c r="A616" s="1">
        <v>43931</v>
      </c>
      <c r="B616">
        <f>1.3435</f>
        <v>1.3434999999999999</v>
      </c>
      <c r="C616">
        <f>0.7191</f>
        <v>0.71909999999999996</v>
      </c>
      <c r="D616">
        <f>0.2254</f>
        <v>0.22539999999999999</v>
      </c>
      <c r="E616">
        <f>-0.347</f>
        <v>-0.34699999999999998</v>
      </c>
      <c r="F616">
        <f>0.063</f>
        <v>6.3E-2</v>
      </c>
      <c r="G616">
        <f>-0.62</f>
        <v>-0.62</v>
      </c>
      <c r="H616">
        <f>0.306</f>
        <v>0.30599999999999999</v>
      </c>
    </row>
    <row r="617" spans="1:8" x14ac:dyDescent="0.25">
      <c r="A617" s="1">
        <v>43930</v>
      </c>
      <c r="B617">
        <f>1.3435</f>
        <v>1.3434999999999999</v>
      </c>
      <c r="C617">
        <f>0.7191</f>
        <v>0.71909999999999996</v>
      </c>
      <c r="D617">
        <f>0.2254</f>
        <v>0.22539999999999999</v>
      </c>
      <c r="E617">
        <f>-0.347</f>
        <v>-0.34699999999999998</v>
      </c>
      <c r="F617">
        <f>0.063</f>
        <v>6.3E-2</v>
      </c>
      <c r="G617">
        <f>-0.62</f>
        <v>-0.62</v>
      </c>
      <c r="H617">
        <f>0.306</f>
        <v>0.30599999999999999</v>
      </c>
    </row>
    <row r="618" spans="1:8" x14ac:dyDescent="0.25">
      <c r="A618" s="1">
        <v>43929</v>
      </c>
      <c r="B618">
        <f>1.3765</f>
        <v>1.3765000000000001</v>
      </c>
      <c r="C618">
        <f>0.7722</f>
        <v>0.7722</v>
      </c>
      <c r="D618">
        <f>0.252</f>
        <v>0.252</v>
      </c>
      <c r="E618">
        <f>-0.306</f>
        <v>-0.30599999999999999</v>
      </c>
      <c r="F618">
        <f>0.094</f>
        <v>9.4E-2</v>
      </c>
      <c r="G618">
        <f>-0.597</f>
        <v>-0.59699999999999998</v>
      </c>
      <c r="H618">
        <f>0.384</f>
        <v>0.38400000000000001</v>
      </c>
    </row>
    <row r="619" spans="1:8" x14ac:dyDescent="0.25">
      <c r="A619" s="1">
        <v>43928</v>
      </c>
      <c r="B619">
        <f>1.2945</f>
        <v>1.2945</v>
      </c>
      <c r="C619">
        <f>0.7122</f>
        <v>0.71220000000000006</v>
      </c>
      <c r="D619">
        <f>0.2601</f>
        <v>0.2601</v>
      </c>
      <c r="E619">
        <f>-0.309</f>
        <v>-0.309</v>
      </c>
      <c r="F619">
        <f>0.088</f>
        <v>8.7999999999999995E-2</v>
      </c>
      <c r="G619">
        <f>-0.606</f>
        <v>-0.60599999999999998</v>
      </c>
      <c r="H619">
        <f>0.414</f>
        <v>0.41399999999999998</v>
      </c>
    </row>
    <row r="620" spans="1:8" x14ac:dyDescent="0.25">
      <c r="A620" s="1">
        <v>43927</v>
      </c>
      <c r="B620">
        <f>1.2785</f>
        <v>1.2785</v>
      </c>
      <c r="C620">
        <f>0.6698</f>
        <v>0.66979999999999995</v>
      </c>
      <c r="D620">
        <f>0.2622</f>
        <v>0.26219999999999999</v>
      </c>
      <c r="E620">
        <f>-0.425</f>
        <v>-0.42499999999999999</v>
      </c>
      <c r="F620">
        <f>-0.017</f>
        <v>-1.7000000000000001E-2</v>
      </c>
      <c r="G620">
        <f>-0.647</f>
        <v>-0.64700000000000002</v>
      </c>
      <c r="H620">
        <f>0.334</f>
        <v>0.33400000000000002</v>
      </c>
    </row>
    <row r="621" spans="1:8" x14ac:dyDescent="0.25">
      <c r="A621" s="1">
        <v>43924</v>
      </c>
      <c r="B621">
        <f>1.2094</f>
        <v>1.2094</v>
      </c>
      <c r="C621">
        <f>0.5948</f>
        <v>0.5948</v>
      </c>
      <c r="D621">
        <f>0.2289</f>
        <v>0.22889999999999999</v>
      </c>
      <c r="E621">
        <f>-0.441</f>
        <v>-0.441</v>
      </c>
      <c r="F621">
        <f>-0.049</f>
        <v>-4.9000000000000002E-2</v>
      </c>
      <c r="G621">
        <f>-0.662</f>
        <v>-0.66200000000000003</v>
      </c>
      <c r="H621">
        <f>0.311</f>
        <v>0.311</v>
      </c>
    </row>
    <row r="622" spans="1:8" x14ac:dyDescent="0.25">
      <c r="A622" s="1">
        <v>43923</v>
      </c>
      <c r="B622">
        <f>1.2394</f>
        <v>1.2394000000000001</v>
      </c>
      <c r="C622">
        <f>0.597</f>
        <v>0.59699999999999998</v>
      </c>
      <c r="D622">
        <f>0.2255</f>
        <v>0.22550000000000001</v>
      </c>
      <c r="E622">
        <f>-0.433</f>
        <v>-0.433</v>
      </c>
      <c r="F622">
        <f>-0.027</f>
        <v>-2.7E-2</v>
      </c>
      <c r="G622">
        <f>-0.648</f>
        <v>-0.64800000000000002</v>
      </c>
      <c r="H622">
        <f>0.333</f>
        <v>0.33300000000000002</v>
      </c>
    </row>
    <row r="623" spans="1:8" x14ac:dyDescent="0.25">
      <c r="A623" s="1">
        <v>43922</v>
      </c>
      <c r="B623">
        <f>1.2191</f>
        <v>1.2191000000000001</v>
      </c>
      <c r="C623">
        <f>0.5832</f>
        <v>0.58320000000000005</v>
      </c>
      <c r="D623">
        <f>0.2061</f>
        <v>0.20610000000000001</v>
      </c>
      <c r="E623">
        <f>-0.458</f>
        <v>-0.45800000000000002</v>
      </c>
      <c r="F623">
        <f>-0.018</f>
        <v>-1.7999999999999999E-2</v>
      </c>
      <c r="G623">
        <f>-0.641</f>
        <v>-0.64100000000000001</v>
      </c>
      <c r="H623">
        <f>0.314</f>
        <v>0.314</v>
      </c>
    </row>
    <row r="624" spans="1:8" x14ac:dyDescent="0.25">
      <c r="A624" s="1">
        <v>43921</v>
      </c>
      <c r="B624">
        <f>1.3214</f>
        <v>1.3213999999999999</v>
      </c>
      <c r="C624">
        <f>0.6695</f>
        <v>0.66949999999999998</v>
      </c>
      <c r="D624">
        <f>0.2455</f>
        <v>0.2455</v>
      </c>
      <c r="E624">
        <f>-0.471</f>
        <v>-0.47099999999999997</v>
      </c>
      <c r="F624">
        <f>0.027</f>
        <v>2.7E-2</v>
      </c>
      <c r="G624">
        <f>-0.689</f>
        <v>-0.68899999999999995</v>
      </c>
      <c r="H624">
        <f>0.356</f>
        <v>0.35599999999999998</v>
      </c>
    </row>
    <row r="625" spans="1:8" x14ac:dyDescent="0.25">
      <c r="A625" s="1">
        <v>43920</v>
      </c>
      <c r="B625">
        <f>1.3366</f>
        <v>1.3366</v>
      </c>
      <c r="C625">
        <f>0.7264</f>
        <v>0.72640000000000005</v>
      </c>
      <c r="D625">
        <f>0.2281</f>
        <v>0.2281</v>
      </c>
      <c r="E625">
        <f>-0.49</f>
        <v>-0.49</v>
      </c>
      <c r="F625">
        <f>-0.007</f>
        <v>-7.0000000000000001E-3</v>
      </c>
      <c r="G625">
        <f>-0.681</f>
        <v>-0.68100000000000005</v>
      </c>
      <c r="H625">
        <f>0.336</f>
        <v>0.33600000000000002</v>
      </c>
    </row>
    <row r="626" spans="1:8" x14ac:dyDescent="0.25">
      <c r="A626" s="1">
        <v>43917</v>
      </c>
      <c r="B626">
        <f>1.2635</f>
        <v>1.2635000000000001</v>
      </c>
      <c r="C626">
        <f>0.6746</f>
        <v>0.67459999999999998</v>
      </c>
      <c r="D626">
        <f>0.2418</f>
        <v>0.24179999999999999</v>
      </c>
      <c r="E626">
        <f>-0.474</f>
        <v>-0.47399999999999998</v>
      </c>
      <c r="F626">
        <f>-0.023</f>
        <v>-2.3E-2</v>
      </c>
      <c r="G626">
        <f>-0.684</f>
        <v>-0.68400000000000005</v>
      </c>
      <c r="H626">
        <f>0.367</f>
        <v>0.36699999999999999</v>
      </c>
    </row>
    <row r="627" spans="1:8" x14ac:dyDescent="0.25">
      <c r="A627" s="1">
        <v>43916</v>
      </c>
      <c r="B627">
        <f>1.431</f>
        <v>1.431</v>
      </c>
      <c r="C627">
        <f>0.8447</f>
        <v>0.84470000000000001</v>
      </c>
      <c r="D627">
        <f>0.2927</f>
        <v>0.29270000000000002</v>
      </c>
      <c r="E627">
        <f>-0.361</f>
        <v>-0.36099999999999999</v>
      </c>
      <c r="F627">
        <f>0.122</f>
        <v>0.122</v>
      </c>
      <c r="G627">
        <f>-0.644</f>
        <v>-0.64400000000000002</v>
      </c>
      <c r="H627">
        <f>0.399</f>
        <v>0.39900000000000002</v>
      </c>
    </row>
    <row r="628" spans="1:8" x14ac:dyDescent="0.25">
      <c r="A628" s="1">
        <v>43915</v>
      </c>
      <c r="B628">
        <f>1.4448</f>
        <v>1.4448000000000001</v>
      </c>
      <c r="C628">
        <f>0.8673</f>
        <v>0.86729999999999996</v>
      </c>
      <c r="D628">
        <f>0.3299</f>
        <v>0.32990000000000003</v>
      </c>
      <c r="E628">
        <f>-0.262</f>
        <v>-0.26200000000000001</v>
      </c>
      <c r="F628">
        <f>0.162</f>
        <v>0.16200000000000001</v>
      </c>
      <c r="G628">
        <f>-0.596</f>
        <v>-0.59599999999999997</v>
      </c>
      <c r="H628">
        <f>0.445</f>
        <v>0.44500000000000001</v>
      </c>
    </row>
    <row r="629" spans="1:8" x14ac:dyDescent="0.25">
      <c r="A629" s="1">
        <v>43914</v>
      </c>
      <c r="B629">
        <f>1.3954</f>
        <v>1.3954</v>
      </c>
      <c r="C629">
        <f>0.8466</f>
        <v>0.84660000000000002</v>
      </c>
      <c r="D629">
        <f>0.3715</f>
        <v>0.3715</v>
      </c>
      <c r="E629">
        <f>-0.322</f>
        <v>-0.32200000000000001</v>
      </c>
      <c r="F629">
        <f>0.053</f>
        <v>5.2999999999999999E-2</v>
      </c>
      <c r="G629">
        <f>-0.629</f>
        <v>-0.629</v>
      </c>
      <c r="H629">
        <f>0.479</f>
        <v>0.47899999999999998</v>
      </c>
    </row>
    <row r="630" spans="1:8" x14ac:dyDescent="0.25">
      <c r="A630" s="1">
        <v>43913</v>
      </c>
      <c r="B630">
        <f>1.3509</f>
        <v>1.3509</v>
      </c>
      <c r="C630">
        <f>0.7863</f>
        <v>0.7863</v>
      </c>
      <c r="D630">
        <f>0.3123</f>
        <v>0.31230000000000002</v>
      </c>
      <c r="E630">
        <f>-0.375</f>
        <v>-0.375</v>
      </c>
      <c r="F630">
        <f>-0.037</f>
        <v>-3.6999999999999998E-2</v>
      </c>
      <c r="G630">
        <f>-0.685</f>
        <v>-0.68500000000000005</v>
      </c>
      <c r="H630">
        <f>0.425</f>
        <v>0.42499999999999999</v>
      </c>
    </row>
    <row r="631" spans="1:8" x14ac:dyDescent="0.25">
      <c r="A631" s="1">
        <v>43910</v>
      </c>
      <c r="B631">
        <f>1.4169</f>
        <v>1.4169</v>
      </c>
      <c r="C631">
        <f>0.8454</f>
        <v>0.84540000000000004</v>
      </c>
      <c r="D631">
        <f>0.3134</f>
        <v>0.31340000000000001</v>
      </c>
      <c r="E631">
        <f>-0.321</f>
        <v>-0.32100000000000001</v>
      </c>
      <c r="F631">
        <f>0.002</f>
        <v>2E-3</v>
      </c>
      <c r="G631">
        <f>-0.677</f>
        <v>-0.67700000000000005</v>
      </c>
      <c r="H631">
        <f>0.562</f>
        <v>0.56200000000000006</v>
      </c>
    </row>
    <row r="632" spans="1:8" x14ac:dyDescent="0.25">
      <c r="A632" s="1">
        <v>43909</v>
      </c>
      <c r="B632">
        <f>1.7848</f>
        <v>1.7847999999999999</v>
      </c>
      <c r="C632">
        <f>1.1404</f>
        <v>1.1404000000000001</v>
      </c>
      <c r="D632">
        <f>0.4507</f>
        <v>0.45069999999999999</v>
      </c>
      <c r="E632">
        <f>-0.193</f>
        <v>-0.193</v>
      </c>
      <c r="F632">
        <f>0.143</f>
        <v>0.14299999999999999</v>
      </c>
      <c r="G632">
        <f>-0.674</f>
        <v>-0.67400000000000004</v>
      </c>
      <c r="H632">
        <f>0.724</f>
        <v>0.72399999999999998</v>
      </c>
    </row>
    <row r="633" spans="1:8" x14ac:dyDescent="0.25">
      <c r="A633" s="1">
        <v>43908</v>
      </c>
      <c r="B633">
        <f>1.7875</f>
        <v>1.7875000000000001</v>
      </c>
      <c r="C633">
        <f>1.1915</f>
        <v>1.1915</v>
      </c>
      <c r="D633">
        <f>0.5337</f>
        <v>0.53369999999999995</v>
      </c>
      <c r="E633">
        <f>-0.235</f>
        <v>-0.23499999999999999</v>
      </c>
      <c r="F633">
        <f>0.077</f>
        <v>7.6999999999999999E-2</v>
      </c>
      <c r="G633">
        <f>-0.762</f>
        <v>-0.76200000000000001</v>
      </c>
      <c r="H633">
        <f>0.796</f>
        <v>0.79600000000000004</v>
      </c>
    </row>
    <row r="634" spans="1:8" x14ac:dyDescent="0.25">
      <c r="A634" s="1">
        <v>43907</v>
      </c>
      <c r="B634">
        <f>1.6844</f>
        <v>1.6843999999999999</v>
      </c>
      <c r="C634">
        <f>1.0784</f>
        <v>1.0784</v>
      </c>
      <c r="D634">
        <f>0.4925</f>
        <v>0.49249999999999999</v>
      </c>
      <c r="E634">
        <f>-0.434</f>
        <v>-0.434</v>
      </c>
      <c r="F634">
        <f>-0.137</f>
        <v>-0.13700000000000001</v>
      </c>
      <c r="G634">
        <f>-0.843</f>
        <v>-0.84299999999999997</v>
      </c>
      <c r="H634">
        <f>0.554</f>
        <v>0.55400000000000005</v>
      </c>
    </row>
    <row r="635" spans="1:8" x14ac:dyDescent="0.25">
      <c r="A635" s="1">
        <v>43906</v>
      </c>
      <c r="B635">
        <f>1.2841</f>
        <v>1.2841</v>
      </c>
      <c r="C635">
        <f>0.7182</f>
        <v>0.71819999999999995</v>
      </c>
      <c r="D635">
        <f>0.3599</f>
        <v>0.3599</v>
      </c>
      <c r="E635">
        <f>-0.461</f>
        <v>-0.46100000000000002</v>
      </c>
      <c r="F635">
        <f>-0.16</f>
        <v>-0.16</v>
      </c>
      <c r="G635">
        <f>-0.885</f>
        <v>-0.88500000000000001</v>
      </c>
      <c r="H635">
        <f>0.438</f>
        <v>0.438</v>
      </c>
    </row>
    <row r="636" spans="1:8" x14ac:dyDescent="0.25">
      <c r="A636" s="1">
        <v>43903</v>
      </c>
      <c r="B636">
        <f>1.5293</f>
        <v>1.5293000000000001</v>
      </c>
      <c r="C636">
        <f>0.9603</f>
        <v>0.96030000000000004</v>
      </c>
      <c r="D636">
        <f>0.4903</f>
        <v>0.49030000000000001</v>
      </c>
      <c r="E636">
        <f>-0.544</f>
        <v>-0.54400000000000004</v>
      </c>
      <c r="F636">
        <f>-0.203</f>
        <v>-0.20300000000000001</v>
      </c>
      <c r="G636">
        <f>-0.87</f>
        <v>-0.87</v>
      </c>
      <c r="H636">
        <f>0.413</f>
        <v>0.41299999999999998</v>
      </c>
    </row>
    <row r="637" spans="1:8" x14ac:dyDescent="0.25">
      <c r="A637" s="1">
        <v>43902</v>
      </c>
      <c r="B637">
        <f>1.4399</f>
        <v>1.4399</v>
      </c>
      <c r="C637">
        <f>0.8042</f>
        <v>0.80420000000000003</v>
      </c>
      <c r="D637">
        <f>0.481</f>
        <v>0.48099999999999998</v>
      </c>
      <c r="E637">
        <f>-0.741</f>
        <v>-0.74099999999999999</v>
      </c>
      <c r="F637">
        <f>-0.418</f>
        <v>-0.41799999999999998</v>
      </c>
      <c r="G637">
        <f>-0.932</f>
        <v>-0.93200000000000005</v>
      </c>
      <c r="H637">
        <f>0.265</f>
        <v>0.26500000000000001</v>
      </c>
    </row>
    <row r="638" spans="1:8" x14ac:dyDescent="0.25">
      <c r="A638" s="1">
        <v>43901</v>
      </c>
      <c r="B638">
        <f>1.3919</f>
        <v>1.3918999999999999</v>
      </c>
      <c r="C638">
        <f>0.8695</f>
        <v>0.86950000000000005</v>
      </c>
      <c r="D638">
        <f>0.5195</f>
        <v>0.51949999999999996</v>
      </c>
      <c r="E638">
        <f>-0.742</f>
        <v>-0.74199999999999999</v>
      </c>
      <c r="F638">
        <f>-0.433</f>
        <v>-0.433</v>
      </c>
      <c r="G638">
        <f>-0.952</f>
        <v>-0.95199999999999996</v>
      </c>
      <c r="H638">
        <f>0.296</f>
        <v>0.29599999999999999</v>
      </c>
    </row>
    <row r="639" spans="1:8" x14ac:dyDescent="0.25">
      <c r="A639" s="1">
        <v>43900</v>
      </c>
      <c r="B639">
        <f>1.2799</f>
        <v>1.2799</v>
      </c>
      <c r="C639">
        <f>0.803</f>
        <v>0.80300000000000005</v>
      </c>
      <c r="D639">
        <f>0.5342</f>
        <v>0.53420000000000001</v>
      </c>
      <c r="E639">
        <f>-0.79</f>
        <v>-0.79</v>
      </c>
      <c r="F639">
        <f>-0.466</f>
        <v>-0.46600000000000003</v>
      </c>
      <c r="G639">
        <f>-0.957</f>
        <v>-0.95699999999999996</v>
      </c>
      <c r="H639">
        <f>0.24</f>
        <v>0.24</v>
      </c>
    </row>
    <row r="640" spans="1:8" x14ac:dyDescent="0.25">
      <c r="A640" s="1">
        <v>43899</v>
      </c>
      <c r="B640">
        <f>0.9953</f>
        <v>0.99529999999999996</v>
      </c>
      <c r="C640">
        <f>0.5407</f>
        <v>0.54069999999999996</v>
      </c>
      <c r="D640">
        <f>0.381</f>
        <v>0.38100000000000001</v>
      </c>
      <c r="E640">
        <f>-0.856</f>
        <v>-0.85599999999999998</v>
      </c>
      <c r="F640">
        <f>-0.49</f>
        <v>-0.49</v>
      </c>
      <c r="G640">
        <f>-1.003</f>
        <v>-1.0029999999999999</v>
      </c>
      <c r="H640">
        <f>0.159</f>
        <v>0.159</v>
      </c>
    </row>
    <row r="641" spans="1:8" x14ac:dyDescent="0.25">
      <c r="A641" s="1">
        <v>43896</v>
      </c>
      <c r="B641">
        <f>1.2874</f>
        <v>1.2874000000000001</v>
      </c>
      <c r="C641">
        <f>0.7623</f>
        <v>0.76229999999999998</v>
      </c>
      <c r="D641">
        <f>0.5062</f>
        <v>0.50619999999999998</v>
      </c>
      <c r="E641">
        <f>-0.71</f>
        <v>-0.71</v>
      </c>
      <c r="F641">
        <f>-0.285</f>
        <v>-0.28499999999999998</v>
      </c>
      <c r="G641">
        <f>-0.857</f>
        <v>-0.85699999999999998</v>
      </c>
      <c r="H641">
        <f>0.236</f>
        <v>0.23599999999999999</v>
      </c>
    </row>
    <row r="642" spans="1:8" x14ac:dyDescent="0.25">
      <c r="A642" s="1">
        <v>43895</v>
      </c>
      <c r="B642">
        <f>1.5407</f>
        <v>1.5407</v>
      </c>
      <c r="C642">
        <f>0.912</f>
        <v>0.91200000000000003</v>
      </c>
      <c r="D642">
        <f>0.5973</f>
        <v>0.59730000000000005</v>
      </c>
      <c r="E642">
        <f>-0.686</f>
        <v>-0.68600000000000005</v>
      </c>
      <c r="F642">
        <f>-0.21</f>
        <v>-0.21</v>
      </c>
      <c r="G642">
        <f>-0.857</f>
        <v>-0.85699999999999998</v>
      </c>
      <c r="H642">
        <f>0.331</f>
        <v>0.33100000000000002</v>
      </c>
    </row>
    <row r="643" spans="1:8" x14ac:dyDescent="0.25">
      <c r="A643" s="1">
        <v>43894</v>
      </c>
      <c r="B643">
        <f>1.7014</f>
        <v>1.7014</v>
      </c>
      <c r="C643">
        <f>1.0522</f>
        <v>1.0522</v>
      </c>
      <c r="D643">
        <f>0.6926</f>
        <v>0.69259999999999999</v>
      </c>
      <c r="E643">
        <f>-0.638</f>
        <v>-0.63800000000000001</v>
      </c>
      <c r="F643">
        <f>-0.162</f>
        <v>-0.16200000000000001</v>
      </c>
      <c r="G643">
        <f>-0.838</f>
        <v>-0.83799999999999997</v>
      </c>
      <c r="H643">
        <f>0.369</f>
        <v>0.36899999999999999</v>
      </c>
    </row>
    <row r="644" spans="1:8" x14ac:dyDescent="0.25">
      <c r="A644" s="1">
        <v>43893</v>
      </c>
      <c r="B644">
        <f>1.6145</f>
        <v>1.6145</v>
      </c>
      <c r="C644">
        <f>0.999</f>
        <v>0.999</v>
      </c>
      <c r="D644">
        <f>0.6991</f>
        <v>0.69910000000000005</v>
      </c>
      <c r="E644">
        <f>-0.625</f>
        <v>-0.625</v>
      </c>
      <c r="F644">
        <f>-0.161</f>
        <v>-0.161</v>
      </c>
      <c r="G644">
        <f>-0.811</f>
        <v>-0.81100000000000005</v>
      </c>
      <c r="H644">
        <f>0.39</f>
        <v>0.39</v>
      </c>
    </row>
    <row r="645" spans="1:8" x14ac:dyDescent="0.25">
      <c r="A645" s="1">
        <v>43892</v>
      </c>
      <c r="B645">
        <f>1.7213</f>
        <v>1.7213000000000001</v>
      </c>
      <c r="C645">
        <f>1.1632</f>
        <v>1.1632</v>
      </c>
      <c r="D645">
        <f>0.9029</f>
        <v>0.90290000000000004</v>
      </c>
      <c r="E645">
        <f>-0.624</f>
        <v>-0.624</v>
      </c>
      <c r="F645">
        <f>-0.167</f>
        <v>-0.16700000000000001</v>
      </c>
      <c r="G645">
        <f>-0.824</f>
        <v>-0.82399999999999995</v>
      </c>
      <c r="H645">
        <f>0.406</f>
        <v>0.40600000000000003</v>
      </c>
    </row>
    <row r="646" spans="1:8" x14ac:dyDescent="0.25">
      <c r="A646" s="1">
        <v>43889</v>
      </c>
      <c r="B646">
        <f>1.6752</f>
        <v>1.6752</v>
      </c>
      <c r="C646">
        <f>1.1486</f>
        <v>1.1486000000000001</v>
      </c>
      <c r="D646">
        <f>0.913</f>
        <v>0.91300000000000003</v>
      </c>
      <c r="E646">
        <f>-0.607</f>
        <v>-0.60699999999999998</v>
      </c>
      <c r="F646">
        <f>-0.15</f>
        <v>-0.15</v>
      </c>
      <c r="G646">
        <f>-0.769</f>
        <v>-0.76900000000000002</v>
      </c>
      <c r="H646">
        <f>0.442</f>
        <v>0.442</v>
      </c>
    </row>
    <row r="647" spans="1:8" x14ac:dyDescent="0.25">
      <c r="A647" s="1">
        <v>43888</v>
      </c>
      <c r="B647">
        <f>1.7577</f>
        <v>1.7577</v>
      </c>
      <c r="C647">
        <f>1.2607</f>
        <v>1.2606999999999999</v>
      </c>
      <c r="D647">
        <f>1.0615</f>
        <v>1.0615000000000001</v>
      </c>
      <c r="E647">
        <f>-0.543</f>
        <v>-0.54300000000000004</v>
      </c>
      <c r="F647">
        <f>-0.06</f>
        <v>-0.06</v>
      </c>
      <c r="G647">
        <f>-0.733</f>
        <v>-0.73299999999999998</v>
      </c>
      <c r="H647">
        <f>0.47</f>
        <v>0.47</v>
      </c>
    </row>
    <row r="648" spans="1:8" x14ac:dyDescent="0.25">
      <c r="A648" s="1">
        <v>43887</v>
      </c>
      <c r="B648">
        <f>1.8241</f>
        <v>1.8241000000000001</v>
      </c>
      <c r="C648">
        <f>1.3371</f>
        <v>1.3371</v>
      </c>
      <c r="D648">
        <f>1.1647</f>
        <v>1.1647000000000001</v>
      </c>
      <c r="E648">
        <f>-0.505</f>
        <v>-0.505</v>
      </c>
      <c r="F648">
        <f>-0.012</f>
        <v>-1.2E-2</v>
      </c>
      <c r="G648">
        <f>-0.696</f>
        <v>-0.69599999999999995</v>
      </c>
      <c r="H648">
        <f>0.504</f>
        <v>0.504</v>
      </c>
    </row>
    <row r="649" spans="1:8" x14ac:dyDescent="0.25">
      <c r="A649" s="1">
        <v>43886</v>
      </c>
      <c r="B649">
        <f>1.8254</f>
        <v>1.8253999999999999</v>
      </c>
      <c r="C649">
        <f>1.3521</f>
        <v>1.3521000000000001</v>
      </c>
      <c r="D649">
        <f>1.2248</f>
        <v>1.2248000000000001</v>
      </c>
      <c r="E649">
        <f>-0.512</f>
        <v>-0.51200000000000001</v>
      </c>
      <c r="F649">
        <f>-0.032</f>
        <v>-3.2000000000000001E-2</v>
      </c>
      <c r="G649">
        <f>-0.687</f>
        <v>-0.68700000000000006</v>
      </c>
      <c r="H649">
        <f>0.519</f>
        <v>0.51900000000000002</v>
      </c>
    </row>
    <row r="650" spans="1:8" x14ac:dyDescent="0.25">
      <c r="A650" s="1">
        <v>43885</v>
      </c>
      <c r="B650">
        <f>1.8347</f>
        <v>1.8347</v>
      </c>
      <c r="C650">
        <f>1.3705</f>
        <v>1.3705000000000001</v>
      </c>
      <c r="D650">
        <f>1.2476</f>
        <v>1.2476</v>
      </c>
      <c r="E650">
        <f>-0.481</f>
        <v>-0.48099999999999998</v>
      </c>
      <c r="F650">
        <f>0.004</f>
        <v>4.0000000000000001E-3</v>
      </c>
      <c r="G650">
        <f>-0.673</f>
        <v>-0.67300000000000004</v>
      </c>
      <c r="H650">
        <f>0.54</f>
        <v>0.54</v>
      </c>
    </row>
    <row r="651" spans="1:8" x14ac:dyDescent="0.25">
      <c r="A651" s="1">
        <v>43882</v>
      </c>
      <c r="B651">
        <f>1.9147</f>
        <v>1.9147000000000001</v>
      </c>
      <c r="C651">
        <f>1.4713</f>
        <v>1.4713000000000001</v>
      </c>
      <c r="D651">
        <f>1.3543</f>
        <v>1.3543000000000001</v>
      </c>
      <c r="E651">
        <f>-0.431</f>
        <v>-0.43099999999999999</v>
      </c>
      <c r="F651">
        <f>0.049</f>
        <v>4.9000000000000002E-2</v>
      </c>
      <c r="G651">
        <f>-0.638</f>
        <v>-0.63800000000000001</v>
      </c>
      <c r="H651">
        <f>0.573</f>
        <v>0.57299999999999995</v>
      </c>
    </row>
    <row r="652" spans="1:8" x14ac:dyDescent="0.25">
      <c r="A652" s="1">
        <v>43881</v>
      </c>
      <c r="B652">
        <f>1.9606</f>
        <v>1.9605999999999999</v>
      </c>
      <c r="C652">
        <f>1.5152</f>
        <v>1.5152000000000001</v>
      </c>
      <c r="D652">
        <f>1.3892</f>
        <v>1.3892</v>
      </c>
      <c r="E652">
        <f>-0.444</f>
        <v>-0.44400000000000001</v>
      </c>
      <c r="F652">
        <f>0.047</f>
        <v>4.7E-2</v>
      </c>
      <c r="G652">
        <f>-0.642</f>
        <v>-0.64200000000000002</v>
      </c>
      <c r="H652">
        <f>0.576</f>
        <v>0.57599999999999996</v>
      </c>
    </row>
    <row r="653" spans="1:8" x14ac:dyDescent="0.25">
      <c r="A653" s="1">
        <v>43880</v>
      </c>
      <c r="B653">
        <f>2.0139</f>
        <v>2.0139</v>
      </c>
      <c r="C653">
        <f>1.5661</f>
        <v>1.5661</v>
      </c>
      <c r="D653">
        <f>1.4219</f>
        <v>1.4218999999999999</v>
      </c>
      <c r="E653">
        <f>-0.418</f>
        <v>-0.41799999999999998</v>
      </c>
      <c r="F653">
        <f>0.095</f>
        <v>9.5000000000000001E-2</v>
      </c>
      <c r="G653">
        <f>-0.639</f>
        <v>-0.63900000000000001</v>
      </c>
      <c r="H653">
        <f>0.599</f>
        <v>0.59899999999999998</v>
      </c>
    </row>
    <row r="654" spans="1:8" x14ac:dyDescent="0.25">
      <c r="A654" s="1">
        <v>43879</v>
      </c>
      <c r="B654">
        <f>2.0111</f>
        <v>2.0110999999999999</v>
      </c>
      <c r="C654">
        <f>1.561</f>
        <v>1.5609999999999999</v>
      </c>
      <c r="D654">
        <f>1.4116</f>
        <v>1.4116</v>
      </c>
      <c r="E654">
        <f>-0.407</f>
        <v>-0.40699999999999997</v>
      </c>
      <c r="F654">
        <f>0.114</f>
        <v>0.114</v>
      </c>
      <c r="G654">
        <f>-0.645</f>
        <v>-0.64500000000000002</v>
      </c>
      <c r="H654">
        <f>0.611</f>
        <v>0.61099999999999999</v>
      </c>
    </row>
    <row r="655" spans="1:8" x14ac:dyDescent="0.25">
      <c r="A655" s="1">
        <v>43878</v>
      </c>
      <c r="B655">
        <f>2.0391</f>
        <v>2.0390999999999999</v>
      </c>
      <c r="C655">
        <f>1.5848</f>
        <v>1.5848</v>
      </c>
      <c r="D655">
        <f>1.4279</f>
        <v>1.4278999999999999</v>
      </c>
      <c r="E655">
        <f>-0.401</f>
        <v>-0.40100000000000002</v>
      </c>
      <c r="F655">
        <f>0.116</f>
        <v>0.11600000000000001</v>
      </c>
      <c r="G655">
        <f>-0.651</f>
        <v>-0.65100000000000002</v>
      </c>
      <c r="H655">
        <f>0.641</f>
        <v>0.64100000000000001</v>
      </c>
    </row>
    <row r="656" spans="1:8" x14ac:dyDescent="0.25">
      <c r="A656" s="1">
        <v>43875</v>
      </c>
      <c r="B656">
        <f>2.0391</f>
        <v>2.0390999999999999</v>
      </c>
      <c r="C656">
        <f>1.5848</f>
        <v>1.5848</v>
      </c>
      <c r="D656">
        <f>1.4279</f>
        <v>1.4278999999999999</v>
      </c>
      <c r="E656">
        <f>-0.401</f>
        <v>-0.40100000000000002</v>
      </c>
      <c r="F656">
        <f>0.119</f>
        <v>0.11899999999999999</v>
      </c>
      <c r="G656">
        <f>-0.655</f>
        <v>-0.65500000000000003</v>
      </c>
      <c r="H656">
        <f>0.628</f>
        <v>0.628</v>
      </c>
    </row>
    <row r="657" spans="1:8" x14ac:dyDescent="0.25">
      <c r="A657" s="1">
        <v>43874</v>
      </c>
      <c r="B657">
        <f>2.0706</f>
        <v>2.0706000000000002</v>
      </c>
      <c r="C657">
        <f>1.6173</f>
        <v>1.6173</v>
      </c>
      <c r="D657">
        <f>1.4438</f>
        <v>1.4438</v>
      </c>
      <c r="E657">
        <f>-0.386</f>
        <v>-0.38600000000000001</v>
      </c>
      <c r="F657">
        <f>0.133</f>
        <v>0.13300000000000001</v>
      </c>
      <c r="G657">
        <f>-0.644</f>
        <v>-0.64400000000000002</v>
      </c>
      <c r="H657">
        <f>0.652</f>
        <v>0.65200000000000002</v>
      </c>
    </row>
    <row r="658" spans="1:8" x14ac:dyDescent="0.25">
      <c r="A658" s="1">
        <v>43873</v>
      </c>
      <c r="B658">
        <f>2.089</f>
        <v>2.089</v>
      </c>
      <c r="C658">
        <f>1.6333</f>
        <v>1.6333</v>
      </c>
      <c r="D658">
        <f>1.4437</f>
        <v>1.4437</v>
      </c>
      <c r="E658">
        <f>-0.378</f>
        <v>-0.378</v>
      </c>
      <c r="F658">
        <f>0.146</f>
        <v>0.14599999999999999</v>
      </c>
      <c r="G658">
        <f>-0.635</f>
        <v>-0.63500000000000001</v>
      </c>
      <c r="H658">
        <f>0.611</f>
        <v>0.61099999999999999</v>
      </c>
    </row>
    <row r="659" spans="1:8" x14ac:dyDescent="0.25">
      <c r="A659" s="1">
        <v>43872</v>
      </c>
      <c r="B659">
        <f>2.0659</f>
        <v>2.0659000000000001</v>
      </c>
      <c r="C659">
        <f>1.6006</f>
        <v>1.6006</v>
      </c>
      <c r="D659">
        <f>1.4234</f>
        <v>1.4234</v>
      </c>
      <c r="E659">
        <f>-0.391</f>
        <v>-0.39100000000000001</v>
      </c>
      <c r="F659">
        <f>0.136</f>
        <v>0.13600000000000001</v>
      </c>
      <c r="G659">
        <f>-0.637</f>
        <v>-0.63700000000000001</v>
      </c>
      <c r="H659">
        <f>0.569</f>
        <v>0.56899999999999995</v>
      </c>
    </row>
    <row r="660" spans="1:8" x14ac:dyDescent="0.25">
      <c r="A660" s="1">
        <v>43871</v>
      </c>
      <c r="B660">
        <f>2.0389</f>
        <v>2.0388999999999999</v>
      </c>
      <c r="C660">
        <f>1.5696</f>
        <v>1.5696000000000001</v>
      </c>
      <c r="D660">
        <f>1.3931</f>
        <v>1.3931</v>
      </c>
      <c r="E660">
        <f>-0.411</f>
        <v>-0.41099999999999998</v>
      </c>
      <c r="F660">
        <f>0.109</f>
        <v>0.109</v>
      </c>
      <c r="G660">
        <f>-0.64</f>
        <v>-0.64</v>
      </c>
      <c r="H660">
        <f>0.557</f>
        <v>0.55700000000000005</v>
      </c>
    </row>
    <row r="661" spans="1:8" x14ac:dyDescent="0.25">
      <c r="A661" s="1">
        <v>43868</v>
      </c>
      <c r="B661">
        <f>2.0484</f>
        <v>2.0484</v>
      </c>
      <c r="C661">
        <f>1.5834</f>
        <v>1.5833999999999999</v>
      </c>
      <c r="D661">
        <f>1.4011</f>
        <v>1.4011</v>
      </c>
      <c r="E661">
        <f>-0.386</f>
        <v>-0.38600000000000001</v>
      </c>
      <c r="F661">
        <f>0.137</f>
        <v>0.13700000000000001</v>
      </c>
      <c r="G661">
        <f>-0.643</f>
        <v>-0.64300000000000002</v>
      </c>
      <c r="H661">
        <f>0.57</f>
        <v>0.56999999999999995</v>
      </c>
    </row>
    <row r="662" spans="1:8" x14ac:dyDescent="0.25">
      <c r="A662" s="1">
        <v>43867</v>
      </c>
      <c r="B662">
        <f>2.1089</f>
        <v>2.1089000000000002</v>
      </c>
      <c r="C662">
        <f>1.6422</f>
        <v>1.6422000000000001</v>
      </c>
      <c r="D662">
        <f>1.4452</f>
        <v>1.4452</v>
      </c>
      <c r="E662">
        <f>-0.37</f>
        <v>-0.37</v>
      </c>
      <c r="F662">
        <f>0.157</f>
        <v>0.157</v>
      </c>
      <c r="G662">
        <f>-0.634</f>
        <v>-0.63400000000000001</v>
      </c>
      <c r="H662">
        <f>0.582</f>
        <v>0.58199999999999996</v>
      </c>
    </row>
    <row r="663" spans="1:8" x14ac:dyDescent="0.25">
      <c r="A663" s="1">
        <v>43866</v>
      </c>
      <c r="B663">
        <f>2.1385</f>
        <v>2.1385000000000001</v>
      </c>
      <c r="C663">
        <f>1.6508</f>
        <v>1.6508</v>
      </c>
      <c r="D663">
        <f>1.4431</f>
        <v>1.4431</v>
      </c>
      <c r="E663">
        <f>-0.359</f>
        <v>-0.35899999999999999</v>
      </c>
      <c r="F663">
        <f>0.17</f>
        <v>0.17</v>
      </c>
      <c r="G663">
        <f>-0.641</f>
        <v>-0.64100000000000001</v>
      </c>
      <c r="H663">
        <f>0.616</f>
        <v>0.61599999999999999</v>
      </c>
    </row>
    <row r="664" spans="1:8" x14ac:dyDescent="0.25">
      <c r="A664" s="1">
        <v>43865</v>
      </c>
      <c r="B664">
        <f>2.0769</f>
        <v>2.0769000000000002</v>
      </c>
      <c r="C664">
        <f>1.5991</f>
        <v>1.5991</v>
      </c>
      <c r="D664">
        <f>1.409</f>
        <v>1.409</v>
      </c>
      <c r="E664">
        <f>-0.399</f>
        <v>-0.39900000000000002</v>
      </c>
      <c r="F664">
        <f>0.117</f>
        <v>0.11700000000000001</v>
      </c>
      <c r="G664">
        <f>-0.654</f>
        <v>-0.65400000000000003</v>
      </c>
      <c r="H664">
        <f>0.566</f>
        <v>0.56599999999999995</v>
      </c>
    </row>
    <row r="665" spans="1:8" x14ac:dyDescent="0.25">
      <c r="A665" s="1">
        <v>43864</v>
      </c>
      <c r="B665">
        <f>2.0069</f>
        <v>2.0068999999999999</v>
      </c>
      <c r="C665">
        <f>1.5272</f>
        <v>1.5271999999999999</v>
      </c>
      <c r="D665">
        <f>1.353</f>
        <v>1.353</v>
      </c>
      <c r="E665">
        <f>-0.442</f>
        <v>-0.442</v>
      </c>
      <c r="F665">
        <f>0.067</f>
        <v>6.7000000000000004E-2</v>
      </c>
      <c r="G665">
        <f>-0.672</f>
        <v>-0.67200000000000004</v>
      </c>
      <c r="H665">
        <f>0.513</f>
        <v>0.51300000000000001</v>
      </c>
    </row>
    <row r="666" spans="1:8" x14ac:dyDescent="0.25">
      <c r="A666" s="1">
        <v>43861</v>
      </c>
      <c r="B666">
        <f>1.9996</f>
        <v>1.9996</v>
      </c>
      <c r="C666">
        <f>1.5068</f>
        <v>1.5067999999999999</v>
      </c>
      <c r="D666">
        <f>1.3132</f>
        <v>1.3131999999999999</v>
      </c>
      <c r="E666">
        <f>-0.434</f>
        <v>-0.434</v>
      </c>
      <c r="F666">
        <f>0.07</f>
        <v>7.0000000000000007E-2</v>
      </c>
      <c r="G666">
        <f>-0.67</f>
        <v>-0.67</v>
      </c>
      <c r="H666">
        <f>0.524</f>
        <v>0.52400000000000002</v>
      </c>
    </row>
    <row r="667" spans="1:8" x14ac:dyDescent="0.25">
      <c r="A667" s="1">
        <v>43860</v>
      </c>
      <c r="B667">
        <f>2.0506</f>
        <v>2.0506000000000002</v>
      </c>
      <c r="C667">
        <f>1.5856</f>
        <v>1.5855999999999999</v>
      </c>
      <c r="D667">
        <f>1.4128</f>
        <v>1.4128000000000001</v>
      </c>
      <c r="E667">
        <f>-0.406</f>
        <v>-0.40600000000000003</v>
      </c>
      <c r="F667">
        <f>0.099</f>
        <v>9.9000000000000005E-2</v>
      </c>
      <c r="G667">
        <f>-0.656</f>
        <v>-0.65600000000000003</v>
      </c>
      <c r="H667">
        <f>0.542</f>
        <v>0.54200000000000004</v>
      </c>
    </row>
    <row r="668" spans="1:8" x14ac:dyDescent="0.25">
      <c r="A668" s="1">
        <v>43859</v>
      </c>
      <c r="B668">
        <f>2.0392</f>
        <v>2.0392000000000001</v>
      </c>
      <c r="C668">
        <f>1.5839</f>
        <v>1.5839000000000001</v>
      </c>
      <c r="D668">
        <f>1.4128</f>
        <v>1.4128000000000001</v>
      </c>
      <c r="E668">
        <f>-0.377</f>
        <v>-0.377</v>
      </c>
      <c r="F668">
        <f>0.134</f>
        <v>0.13400000000000001</v>
      </c>
      <c r="G668">
        <f>-0.638</f>
        <v>-0.63800000000000001</v>
      </c>
      <c r="H668">
        <f>0.516</f>
        <v>0.51600000000000001</v>
      </c>
    </row>
    <row r="669" spans="1:8" x14ac:dyDescent="0.25">
      <c r="A669" s="1">
        <v>43858</v>
      </c>
      <c r="B669">
        <f>2.1118</f>
        <v>2.1118000000000001</v>
      </c>
      <c r="C669">
        <f>1.6562</f>
        <v>1.6561999999999999</v>
      </c>
      <c r="D669">
        <f>1.4625</f>
        <v>1.4624999999999999</v>
      </c>
      <c r="E669">
        <f>-0.341</f>
        <v>-0.34100000000000003</v>
      </c>
      <c r="F669">
        <f>0.173</f>
        <v>0.17299999999999999</v>
      </c>
      <c r="G669">
        <f>-0.625</f>
        <v>-0.625</v>
      </c>
      <c r="H669">
        <f>0.552</f>
        <v>0.55200000000000005</v>
      </c>
    </row>
    <row r="670" spans="1:8" x14ac:dyDescent="0.25">
      <c r="A670" s="1">
        <v>43857</v>
      </c>
      <c r="B670">
        <f>2.0567</f>
        <v>2.0567000000000002</v>
      </c>
      <c r="C670">
        <f>1.608</f>
        <v>1.6080000000000001</v>
      </c>
      <c r="D670">
        <f>1.4409</f>
        <v>1.4409000000000001</v>
      </c>
      <c r="E670">
        <f>-0.385</f>
        <v>-0.38500000000000001</v>
      </c>
      <c r="F670">
        <f>0.127</f>
        <v>0.127</v>
      </c>
      <c r="G670">
        <f>-0.628</f>
        <v>-0.628</v>
      </c>
      <c r="H670">
        <f>0.508</f>
        <v>0.50800000000000001</v>
      </c>
    </row>
    <row r="671" spans="1:8" x14ac:dyDescent="0.25">
      <c r="A671" s="1">
        <v>43854</v>
      </c>
      <c r="B671">
        <f>2.1324</f>
        <v>2.1324000000000001</v>
      </c>
      <c r="C671">
        <f>1.6839</f>
        <v>1.6839</v>
      </c>
      <c r="D671">
        <f>1.4947</f>
        <v>1.4946999999999999</v>
      </c>
      <c r="E671">
        <f>-0.335</f>
        <v>-0.33500000000000002</v>
      </c>
      <c r="F671">
        <f>0.186</f>
        <v>0.186</v>
      </c>
      <c r="G671">
        <f>-0.612</f>
        <v>-0.61199999999999999</v>
      </c>
      <c r="H671">
        <f>0.563</f>
        <v>0.56299999999999994</v>
      </c>
    </row>
    <row r="672" spans="1:8" x14ac:dyDescent="0.25">
      <c r="A672" s="1">
        <v>43853</v>
      </c>
      <c r="B672">
        <f>2.1782</f>
        <v>2.1781999999999999</v>
      </c>
      <c r="C672">
        <f>1.7325</f>
        <v>1.7324999999999999</v>
      </c>
      <c r="D672">
        <f>1.5137</f>
        <v>1.5137</v>
      </c>
      <c r="E672">
        <f>-0.308</f>
        <v>-0.308</v>
      </c>
      <c r="F672">
        <f>0.207</f>
        <v>0.20699999999999999</v>
      </c>
      <c r="G672">
        <f>-0.602</f>
        <v>-0.60199999999999998</v>
      </c>
      <c r="H672">
        <f>0.591</f>
        <v>0.59099999999999997</v>
      </c>
    </row>
    <row r="673" spans="1:8" x14ac:dyDescent="0.25">
      <c r="A673" s="1">
        <v>43852</v>
      </c>
      <c r="B673">
        <f>2.2217</f>
        <v>2.2216999999999998</v>
      </c>
      <c r="C673">
        <f>1.7691</f>
        <v>1.7690999999999999</v>
      </c>
      <c r="D673">
        <f>1.5283</f>
        <v>1.5283</v>
      </c>
      <c r="E673">
        <f>-0.26</f>
        <v>-0.26</v>
      </c>
      <c r="F673">
        <f>0.251</f>
        <v>0.251</v>
      </c>
      <c r="G673">
        <f>-0.585</f>
        <v>-0.58499999999999996</v>
      </c>
      <c r="H673">
        <f>0.635</f>
        <v>0.63500000000000001</v>
      </c>
    </row>
    <row r="674" spans="1:8" x14ac:dyDescent="0.25">
      <c r="A674" s="1">
        <v>43851</v>
      </c>
      <c r="B674">
        <f>2.2358</f>
        <v>2.2357999999999998</v>
      </c>
      <c r="C674">
        <f>1.7743</f>
        <v>1.7743</v>
      </c>
      <c r="D674">
        <f>1.5304</f>
        <v>1.5304</v>
      </c>
      <c r="E674">
        <f>-0.248</f>
        <v>-0.248</v>
      </c>
      <c r="F674">
        <f>0.259</f>
        <v>0.25900000000000001</v>
      </c>
      <c r="G674">
        <f>-0.581</f>
        <v>-0.58099999999999996</v>
      </c>
      <c r="H674">
        <f>0.631</f>
        <v>0.63100000000000001</v>
      </c>
    </row>
    <row r="675" spans="1:8" x14ac:dyDescent="0.25">
      <c r="A675" s="1">
        <v>43850</v>
      </c>
      <c r="B675">
        <f>2.2807</f>
        <v>2.2806999999999999</v>
      </c>
      <c r="C675">
        <f>1.8215</f>
        <v>1.8214999999999999</v>
      </c>
      <c r="D675">
        <f>1.5592</f>
        <v>1.5591999999999999</v>
      </c>
      <c r="E675">
        <f>-0.218</f>
        <v>-0.218</v>
      </c>
      <c r="F675">
        <f>0.298</f>
        <v>0.29799999999999999</v>
      </c>
      <c r="G675">
        <f>-0.586</f>
        <v>-0.58599999999999997</v>
      </c>
      <c r="H675">
        <f>0.65</f>
        <v>0.65</v>
      </c>
    </row>
    <row r="676" spans="1:8" x14ac:dyDescent="0.25">
      <c r="A676" s="1">
        <v>43847</v>
      </c>
      <c r="B676">
        <f>2.2807</f>
        <v>2.2806999999999999</v>
      </c>
      <c r="C676">
        <f>1.8215</f>
        <v>1.8214999999999999</v>
      </c>
      <c r="D676">
        <f>1.5592</f>
        <v>1.5591999999999999</v>
      </c>
      <c r="E676">
        <f>-0.215</f>
        <v>-0.215</v>
      </c>
      <c r="F676">
        <f>0.302</f>
        <v>0.30199999999999999</v>
      </c>
      <c r="G676">
        <f>-0.588</f>
        <v>-0.58799999999999997</v>
      </c>
      <c r="H676">
        <f>0.632</f>
        <v>0.63200000000000001</v>
      </c>
    </row>
    <row r="677" spans="1:8" x14ac:dyDescent="0.25">
      <c r="A677" s="1">
        <v>43846</v>
      </c>
      <c r="B677">
        <f>2.2578</f>
        <v>2.2578</v>
      </c>
      <c r="C677">
        <f>1.8074</f>
        <v>1.8073999999999999</v>
      </c>
      <c r="D677">
        <f>1.5657</f>
        <v>1.5657000000000001</v>
      </c>
      <c r="E677">
        <f>-0.219</f>
        <v>-0.219</v>
      </c>
      <c r="F677">
        <f>0.295</f>
        <v>0.29499999999999998</v>
      </c>
      <c r="G677">
        <f>-0.59</f>
        <v>-0.59</v>
      </c>
      <c r="H677">
        <f>0.643</f>
        <v>0.64300000000000002</v>
      </c>
    </row>
    <row r="678" spans="1:8" x14ac:dyDescent="0.25">
      <c r="A678" s="1">
        <v>43845</v>
      </c>
      <c r="B678">
        <f>2.2359</f>
        <v>2.2359</v>
      </c>
      <c r="C678">
        <f>1.783</f>
        <v>1.7829999999999999</v>
      </c>
      <c r="D678">
        <f>1.5536</f>
        <v>1.5536000000000001</v>
      </c>
      <c r="E678">
        <f>-0.2</f>
        <v>-0.2</v>
      </c>
      <c r="F678">
        <f>0.312</f>
        <v>0.312</v>
      </c>
      <c r="G678">
        <f>-0.589</f>
        <v>-0.58899999999999997</v>
      </c>
      <c r="H678">
        <f>0.654</f>
        <v>0.65400000000000003</v>
      </c>
    </row>
    <row r="679" spans="1:8" x14ac:dyDescent="0.25">
      <c r="A679" s="1">
        <v>43844</v>
      </c>
      <c r="B679">
        <f>2.27</f>
        <v>2.27</v>
      </c>
      <c r="C679">
        <f>1.8109</f>
        <v>1.8109</v>
      </c>
      <c r="D679">
        <f>1.57</f>
        <v>1.57</v>
      </c>
      <c r="E679">
        <f>-0.171</f>
        <v>-0.17100000000000001</v>
      </c>
      <c r="F679">
        <f>0.348</f>
        <v>0.34799999999999998</v>
      </c>
      <c r="G679">
        <f>-0.581</f>
        <v>-0.58099999999999996</v>
      </c>
      <c r="H679">
        <f>0.72</f>
        <v>0.72</v>
      </c>
    </row>
    <row r="680" spans="1:8" x14ac:dyDescent="0.25">
      <c r="A680" s="1">
        <v>43843</v>
      </c>
      <c r="B680">
        <f>2.3015</f>
        <v>2.3014999999999999</v>
      </c>
      <c r="C680">
        <f>1.8459</f>
        <v>1.8459000000000001</v>
      </c>
      <c r="D680">
        <f>1.5843</f>
        <v>1.5843</v>
      </c>
      <c r="E680">
        <f>-0.159</f>
        <v>-0.159</v>
      </c>
      <c r="F680">
        <f>0.369</f>
        <v>0.36899999999999999</v>
      </c>
      <c r="G680">
        <f>-0.588</f>
        <v>-0.58799999999999997</v>
      </c>
      <c r="H680">
        <f>0.75</f>
        <v>0.75</v>
      </c>
    </row>
    <row r="681" spans="1:8" x14ac:dyDescent="0.25">
      <c r="A681" s="1">
        <v>43840</v>
      </c>
      <c r="B681">
        <f>2.2786</f>
        <v>2.2786</v>
      </c>
      <c r="C681">
        <f>1.8196</f>
        <v>1.8196000000000001</v>
      </c>
      <c r="D681">
        <f>1.5702</f>
        <v>1.5702</v>
      </c>
      <c r="E681">
        <f>-0.199</f>
        <v>-0.19900000000000001</v>
      </c>
      <c r="F681">
        <f>0.312</f>
        <v>0.312</v>
      </c>
      <c r="G681">
        <f>-0.6</f>
        <v>-0.6</v>
      </c>
      <c r="H681">
        <f>0.769</f>
        <v>0.76900000000000002</v>
      </c>
    </row>
    <row r="682" spans="1:8" x14ac:dyDescent="0.25">
      <c r="A682" s="1">
        <v>43839</v>
      </c>
      <c r="B682">
        <f>2.3297</f>
        <v>2.3296999999999999</v>
      </c>
      <c r="C682">
        <f>1.8545</f>
        <v>1.8545</v>
      </c>
      <c r="D682">
        <f>1.5785</f>
        <v>1.5785</v>
      </c>
      <c r="E682">
        <f>-0.179</f>
        <v>-0.17899999999999999</v>
      </c>
      <c r="F682">
        <f>0.332</f>
        <v>0.33200000000000002</v>
      </c>
      <c r="G682">
        <f>-0.595</f>
        <v>-0.59499999999999997</v>
      </c>
      <c r="H682">
        <f>0.82</f>
        <v>0.82</v>
      </c>
    </row>
    <row r="683" spans="1:8" x14ac:dyDescent="0.25">
      <c r="A683" s="1">
        <v>43838</v>
      </c>
      <c r="B683">
        <f>2.3625</f>
        <v>2.3624999999999998</v>
      </c>
      <c r="C683">
        <f>1.8738</f>
        <v>1.8737999999999999</v>
      </c>
      <c r="D683">
        <f>1.5806</f>
        <v>1.5806</v>
      </c>
      <c r="E683">
        <f>-0.207</f>
        <v>-0.20699999999999999</v>
      </c>
      <c r="F683">
        <f>0.307</f>
        <v>0.307</v>
      </c>
      <c r="G683">
        <f>-0.606</f>
        <v>-0.60599999999999998</v>
      </c>
      <c r="H683">
        <f>0.817</f>
        <v>0.81699999999999995</v>
      </c>
    </row>
    <row r="684" spans="1:8" x14ac:dyDescent="0.25">
      <c r="A684" s="1">
        <v>43837</v>
      </c>
      <c r="B684">
        <f>2.3052</f>
        <v>2.3052000000000001</v>
      </c>
      <c r="C684">
        <f>1.8177</f>
        <v>1.8177000000000001</v>
      </c>
      <c r="D684">
        <f>1.5404</f>
        <v>1.5404</v>
      </c>
      <c r="E684">
        <f>-0.285</f>
        <v>-0.28499999999999998</v>
      </c>
      <c r="F684">
        <f>0.256</f>
        <v>0.25600000000000001</v>
      </c>
      <c r="G684">
        <f>-0.624</f>
        <v>-0.624</v>
      </c>
      <c r="H684">
        <f>0.792</f>
        <v>0.79200000000000004</v>
      </c>
    </row>
    <row r="685" spans="1:8" x14ac:dyDescent="0.25">
      <c r="A685" s="1">
        <v>43836</v>
      </c>
      <c r="B685">
        <f>2.2858</f>
        <v>2.2858000000000001</v>
      </c>
      <c r="C685">
        <f>1.809</f>
        <v>1.8089999999999999</v>
      </c>
      <c r="D685">
        <f>1.5445</f>
        <v>1.5445</v>
      </c>
      <c r="E685">
        <f>-0.287</f>
        <v>-0.28699999999999998</v>
      </c>
      <c r="F685">
        <f>0.249</f>
        <v>0.249</v>
      </c>
      <c r="G685">
        <f>-0.625</f>
        <v>-0.625</v>
      </c>
      <c r="H685">
        <f>0.768</f>
        <v>0.76800000000000002</v>
      </c>
    </row>
    <row r="686" spans="1:8" x14ac:dyDescent="0.25">
      <c r="A686" s="1">
        <v>43833</v>
      </c>
      <c r="B686">
        <f>2.2444</f>
        <v>2.2444000000000002</v>
      </c>
      <c r="C686">
        <f>1.7881</f>
        <v>1.7881</v>
      </c>
      <c r="D686">
        <f>1.5246</f>
        <v>1.5246</v>
      </c>
      <c r="E686">
        <f>-0.278</f>
        <v>-0.27800000000000002</v>
      </c>
      <c r="F686">
        <f>0.251</f>
        <v>0.251</v>
      </c>
      <c r="G686">
        <f>-0.619</f>
        <v>-0.61899999999999999</v>
      </c>
      <c r="H686">
        <f>0.738</f>
        <v>0.73799999999999999</v>
      </c>
    </row>
    <row r="687" spans="1:8" x14ac:dyDescent="0.25">
      <c r="A687" s="1">
        <v>43832</v>
      </c>
      <c r="B687">
        <f>2.3312</f>
        <v>2.3311999999999999</v>
      </c>
      <c r="C687">
        <f>1.8771</f>
        <v>1.8771</v>
      </c>
      <c r="D687">
        <f>1.569</f>
        <v>1.569</v>
      </c>
      <c r="E687">
        <f>-0.223</f>
        <v>-0.223</v>
      </c>
      <c r="F687">
        <f>0.307</f>
        <v>0.307</v>
      </c>
      <c r="G687">
        <f>-0.603</f>
        <v>-0.60299999999999998</v>
      </c>
      <c r="H687">
        <f>0.793</f>
        <v>0.79300000000000004</v>
      </c>
    </row>
    <row r="688" spans="1:8" x14ac:dyDescent="0.25">
      <c r="A688" s="1">
        <v>43831</v>
      </c>
      <c r="B688">
        <f>2.3896</f>
        <v>2.3896000000000002</v>
      </c>
      <c r="C688">
        <f>1.9175</f>
        <v>1.9175</v>
      </c>
      <c r="D688">
        <f>1.5691</f>
        <v>1.5690999999999999</v>
      </c>
      <c r="E688">
        <f>-0.186</f>
        <v>-0.186</v>
      </c>
      <c r="F688">
        <f>0.349</f>
        <v>0.34899999999999998</v>
      </c>
      <c r="G688">
        <f>-0.602</f>
        <v>-0.60199999999999998</v>
      </c>
      <c r="H688">
        <f>0.822</f>
        <v>0.82199999999999995</v>
      </c>
    </row>
    <row r="689" spans="1:8" x14ac:dyDescent="0.25">
      <c r="A689" s="1">
        <v>43830</v>
      </c>
      <c r="B689">
        <f>2.3896</f>
        <v>2.3896000000000002</v>
      </c>
      <c r="C689">
        <f>1.9175</f>
        <v>1.9175</v>
      </c>
      <c r="D689">
        <f>1.5691</f>
        <v>1.5690999999999999</v>
      </c>
      <c r="E689" t="e">
        <f>NA()</f>
        <v>#N/A</v>
      </c>
      <c r="F689" t="e">
        <f>NA()</f>
        <v>#N/A</v>
      </c>
      <c r="G689" t="e">
        <f>NA()</f>
        <v>#N/A</v>
      </c>
      <c r="H689">
        <f>0.822</f>
        <v>0.82199999999999995</v>
      </c>
    </row>
    <row r="690" spans="1:8" x14ac:dyDescent="0.25">
      <c r="A690" s="1">
        <v>43829</v>
      </c>
      <c r="B690">
        <f>2.3297</f>
        <v>2.3296999999999999</v>
      </c>
      <c r="C690">
        <f>1.8788</f>
        <v>1.8788</v>
      </c>
      <c r="D690">
        <f>1.5653</f>
        <v>1.5652999999999999</v>
      </c>
      <c r="E690">
        <f>-0.185</f>
        <v>-0.185</v>
      </c>
      <c r="F690">
        <f>0.349</f>
        <v>0.34899999999999998</v>
      </c>
      <c r="G690">
        <f>-0.601</f>
        <v>-0.60099999999999998</v>
      </c>
      <c r="H690">
        <f>0.867</f>
        <v>0.86699999999999999</v>
      </c>
    </row>
    <row r="691" spans="1:8" x14ac:dyDescent="0.25">
      <c r="A691" s="1">
        <v>43826</v>
      </c>
      <c r="B691">
        <f>2.316</f>
        <v>2.3159999999999998</v>
      </c>
      <c r="C691">
        <f>1.8752</f>
        <v>1.8752</v>
      </c>
      <c r="D691">
        <f>1.5812</f>
        <v>1.5811999999999999</v>
      </c>
      <c r="E691">
        <f>-0.256</f>
        <v>-0.25600000000000001</v>
      </c>
      <c r="F691">
        <f>0.282</f>
        <v>0.28199999999999997</v>
      </c>
      <c r="G691">
        <f>-0.631</f>
        <v>-0.63100000000000001</v>
      </c>
      <c r="H691">
        <f>0.755</f>
        <v>0.755</v>
      </c>
    </row>
    <row r="692" spans="1:8" x14ac:dyDescent="0.25">
      <c r="A692" s="1">
        <v>43825</v>
      </c>
      <c r="B692">
        <f>2.3218</f>
        <v>2.3218000000000001</v>
      </c>
      <c r="C692">
        <f>1.8944</f>
        <v>1.8944000000000001</v>
      </c>
      <c r="D692">
        <f>1.631</f>
        <v>1.631</v>
      </c>
      <c r="E692">
        <f>-0.242</f>
        <v>-0.24199999999999999</v>
      </c>
      <c r="F692">
        <f>0.291</f>
        <v>0.29099999999999998</v>
      </c>
      <c r="G692">
        <f>-0.62</f>
        <v>-0.62</v>
      </c>
      <c r="H692">
        <f>0.769</f>
        <v>0.76900000000000002</v>
      </c>
    </row>
    <row r="693" spans="1:8" x14ac:dyDescent="0.25">
      <c r="A693" s="1">
        <v>43824</v>
      </c>
      <c r="B693">
        <f>2.329</f>
        <v>2.3290000000000002</v>
      </c>
      <c r="C693">
        <f>1.8996</f>
        <v>1.8996</v>
      </c>
      <c r="D693">
        <f>1.621</f>
        <v>1.621</v>
      </c>
      <c r="E693">
        <f>-0.242</f>
        <v>-0.24199999999999999</v>
      </c>
      <c r="F693">
        <f>0.291</f>
        <v>0.29099999999999998</v>
      </c>
      <c r="G693">
        <f>-0.62</f>
        <v>-0.62</v>
      </c>
      <c r="H693">
        <f>0.769</f>
        <v>0.76900000000000002</v>
      </c>
    </row>
    <row r="694" spans="1:8" x14ac:dyDescent="0.25">
      <c r="A694" s="1">
        <v>43823</v>
      </c>
      <c r="B694">
        <f>2.329</f>
        <v>2.3290000000000002</v>
      </c>
      <c r="C694">
        <f>1.8996</f>
        <v>1.8996</v>
      </c>
      <c r="D694">
        <f>1.621</f>
        <v>1.621</v>
      </c>
      <c r="E694">
        <f>-0.242</f>
        <v>-0.24199999999999999</v>
      </c>
      <c r="F694">
        <f>0.291</f>
        <v>0.29099999999999998</v>
      </c>
      <c r="G694">
        <f>-0.62</f>
        <v>-0.62</v>
      </c>
      <c r="H694">
        <f>0.769</f>
        <v>0.76900000000000002</v>
      </c>
    </row>
    <row r="695" spans="1:8" x14ac:dyDescent="0.25">
      <c r="A695" s="1">
        <v>43822</v>
      </c>
      <c r="B695">
        <f>2.3567</f>
        <v>2.3567</v>
      </c>
      <c r="C695">
        <f>1.9294</f>
        <v>1.9294</v>
      </c>
      <c r="D695">
        <f>1.6523</f>
        <v>1.6523000000000001</v>
      </c>
      <c r="E695">
        <f>-0.242</f>
        <v>-0.24199999999999999</v>
      </c>
      <c r="F695">
        <f>0.291</f>
        <v>0.29099999999999998</v>
      </c>
      <c r="G695">
        <f>-0.618</f>
        <v>-0.61799999999999999</v>
      </c>
      <c r="H695">
        <f>0.773</f>
        <v>0.77300000000000002</v>
      </c>
    </row>
    <row r="696" spans="1:8" x14ac:dyDescent="0.25">
      <c r="A696" s="1">
        <v>43819</v>
      </c>
      <c r="B696">
        <f>2.3421</f>
        <v>2.3420999999999998</v>
      </c>
      <c r="C696">
        <f>1.9171</f>
        <v>1.9171</v>
      </c>
      <c r="D696">
        <f>1.6294</f>
        <v>1.6294</v>
      </c>
      <c r="E696">
        <f>-0.252</f>
        <v>-0.252</v>
      </c>
      <c r="F696">
        <f>0.276</f>
        <v>0.27600000000000002</v>
      </c>
      <c r="G696">
        <f>-0.633</f>
        <v>-0.63300000000000001</v>
      </c>
      <c r="H696">
        <f>0.782</f>
        <v>0.78200000000000003</v>
      </c>
    </row>
    <row r="697" spans="1:8" x14ac:dyDescent="0.25">
      <c r="A697" s="1">
        <v>43818</v>
      </c>
      <c r="B697">
        <f>2.3538</f>
        <v>2.3538000000000001</v>
      </c>
      <c r="C697">
        <f>1.9204</f>
        <v>1.9204000000000001</v>
      </c>
      <c r="D697">
        <f>1.6268</f>
        <v>1.6268</v>
      </c>
      <c r="E697">
        <f>-0.235</f>
        <v>-0.23499999999999999</v>
      </c>
      <c r="F697">
        <f>0.288</f>
        <v>0.28799999999999998</v>
      </c>
      <c r="G697">
        <f>-0.629</f>
        <v>-0.629</v>
      </c>
      <c r="H697">
        <f>0.804</f>
        <v>0.80400000000000005</v>
      </c>
    </row>
    <row r="698" spans="1:8" x14ac:dyDescent="0.25">
      <c r="A698" s="1">
        <v>43817</v>
      </c>
      <c r="B698">
        <f>2.3472</f>
        <v>2.3472</v>
      </c>
      <c r="C698">
        <f>1.9169</f>
        <v>1.9169</v>
      </c>
      <c r="D698">
        <f>1.6287</f>
        <v>1.6287</v>
      </c>
      <c r="E698">
        <f>-0.249</f>
        <v>-0.249</v>
      </c>
      <c r="F698">
        <f>0.272</f>
        <v>0.27200000000000002</v>
      </c>
      <c r="G698">
        <f>-0.633</f>
        <v>-0.63300000000000001</v>
      </c>
      <c r="H698">
        <f>0.775</f>
        <v>0.77500000000000002</v>
      </c>
    </row>
    <row r="699" spans="1:8" x14ac:dyDescent="0.25">
      <c r="A699" s="1">
        <v>43816</v>
      </c>
      <c r="B699">
        <f>2.306</f>
        <v>2.306</v>
      </c>
      <c r="C699">
        <f>1.8801</f>
        <v>1.8801000000000001</v>
      </c>
      <c r="D699">
        <f>1.6224</f>
        <v>1.6224000000000001</v>
      </c>
      <c r="E699">
        <f>-0.295</f>
        <v>-0.29499999999999998</v>
      </c>
      <c r="F699">
        <f>0.222</f>
        <v>0.222</v>
      </c>
      <c r="G699">
        <f>-0.639</f>
        <v>-0.63900000000000001</v>
      </c>
      <c r="H699">
        <f>0.762</f>
        <v>0.76200000000000001</v>
      </c>
    </row>
    <row r="700" spans="1:8" x14ac:dyDescent="0.25">
      <c r="A700" s="1">
        <v>43815</v>
      </c>
      <c r="B700">
        <f>2.2866</f>
        <v>2.2866</v>
      </c>
      <c r="C700">
        <f>1.8713</f>
        <v>1.8713</v>
      </c>
      <c r="D700">
        <f>1.6263</f>
        <v>1.6263000000000001</v>
      </c>
      <c r="E700">
        <f>-0.277</f>
        <v>-0.27700000000000002</v>
      </c>
      <c r="F700">
        <f>0.248</f>
        <v>0.248</v>
      </c>
      <c r="G700">
        <f>-0.628</f>
        <v>-0.628</v>
      </c>
      <c r="H700">
        <f>0.822</f>
        <v>0.82199999999999995</v>
      </c>
    </row>
    <row r="701" spans="1:8" x14ac:dyDescent="0.25">
      <c r="A701" s="1">
        <v>43812</v>
      </c>
      <c r="B701">
        <f>2.2524</f>
        <v>2.2524000000000002</v>
      </c>
      <c r="C701">
        <f>1.8226</f>
        <v>1.8226</v>
      </c>
      <c r="D701">
        <f>1.6037</f>
        <v>1.6036999999999999</v>
      </c>
      <c r="E701">
        <f>-0.289</f>
        <v>-0.28899999999999998</v>
      </c>
      <c r="F701">
        <f>0.229</f>
        <v>0.22900000000000001</v>
      </c>
      <c r="G701">
        <f>-0.618</f>
        <v>-0.61799999999999999</v>
      </c>
      <c r="H701">
        <f>0.791</f>
        <v>0.79100000000000004</v>
      </c>
    </row>
    <row r="702" spans="1:8" x14ac:dyDescent="0.25">
      <c r="A702" s="1">
        <v>43811</v>
      </c>
      <c r="B702">
        <f>2.3103</f>
        <v>2.3102999999999998</v>
      </c>
      <c r="C702">
        <f>1.8922</f>
        <v>1.8922000000000001</v>
      </c>
      <c r="D702">
        <f>1.6582</f>
        <v>1.6581999999999999</v>
      </c>
      <c r="E702">
        <f>-0.269</f>
        <v>-0.26900000000000002</v>
      </c>
      <c r="F702">
        <f>0.262</f>
        <v>0.26200000000000001</v>
      </c>
      <c r="G702">
        <f>-0.625</f>
        <v>-0.625</v>
      </c>
      <c r="H702">
        <f>0.82</f>
        <v>0.82</v>
      </c>
    </row>
    <row r="703" spans="1:8" x14ac:dyDescent="0.25">
      <c r="A703" s="1">
        <v>43810</v>
      </c>
      <c r="B703">
        <f>2.2263</f>
        <v>2.2263000000000002</v>
      </c>
      <c r="C703">
        <f>1.7914</f>
        <v>1.7914000000000001</v>
      </c>
      <c r="D703">
        <f>1.6133</f>
        <v>1.6133</v>
      </c>
      <c r="E703">
        <f>-0.321</f>
        <v>-0.32100000000000001</v>
      </c>
      <c r="F703">
        <f>0.206</f>
        <v>0.20599999999999999</v>
      </c>
      <c r="G703">
        <f>-0.641</f>
        <v>-0.64100000000000001</v>
      </c>
      <c r="H703">
        <f>0.774</f>
        <v>0.77400000000000002</v>
      </c>
    </row>
    <row r="704" spans="1:8" x14ac:dyDescent="0.25">
      <c r="A704" s="1">
        <v>43809</v>
      </c>
      <c r="B704">
        <f>2.2645</f>
        <v>2.2645</v>
      </c>
      <c r="C704">
        <f>1.8416</f>
        <v>1.8415999999999999</v>
      </c>
      <c r="D704">
        <f>1.6517</f>
        <v>1.6516999999999999</v>
      </c>
      <c r="E704">
        <f>-0.295</f>
        <v>-0.29499999999999998</v>
      </c>
      <c r="F704">
        <f>0.232</f>
        <v>0.23200000000000001</v>
      </c>
      <c r="G704">
        <f>-0.633</f>
        <v>-0.63300000000000001</v>
      </c>
      <c r="H704">
        <f>0.799</f>
        <v>0.79900000000000004</v>
      </c>
    </row>
    <row r="705" spans="1:8" x14ac:dyDescent="0.25">
      <c r="A705" s="1">
        <v>43808</v>
      </c>
      <c r="B705">
        <f>2.2546</f>
        <v>2.2545999999999999</v>
      </c>
      <c r="C705">
        <f>1.819</f>
        <v>1.819</v>
      </c>
      <c r="D705">
        <f>1.613</f>
        <v>1.613</v>
      </c>
      <c r="E705">
        <f>-0.307</f>
        <v>-0.307</v>
      </c>
      <c r="F705">
        <f>0.222</f>
        <v>0.222</v>
      </c>
      <c r="G705">
        <f>-0.637</f>
        <v>-0.63700000000000001</v>
      </c>
      <c r="H705">
        <f>0.763</f>
        <v>0.76300000000000001</v>
      </c>
    </row>
    <row r="706" spans="1:8" x14ac:dyDescent="0.25">
      <c r="A706" s="1">
        <v>43805</v>
      </c>
      <c r="B706">
        <f>2.2774</f>
        <v>2.2774000000000001</v>
      </c>
      <c r="C706">
        <f>1.8363</f>
        <v>1.8363</v>
      </c>
      <c r="D706">
        <f>1.6149</f>
        <v>1.6149</v>
      </c>
      <c r="E706">
        <f>-0.286</f>
        <v>-0.28599999999999998</v>
      </c>
      <c r="F706">
        <f>0.237</f>
        <v>0.23699999999999999</v>
      </c>
      <c r="G706">
        <f>-0.625</f>
        <v>-0.625</v>
      </c>
      <c r="H706">
        <f>0.772</f>
        <v>0.77200000000000002</v>
      </c>
    </row>
    <row r="707" spans="1:8" x14ac:dyDescent="0.25">
      <c r="A707" s="1">
        <v>43804</v>
      </c>
      <c r="B707">
        <f>2.2596</f>
        <v>2.2595999999999998</v>
      </c>
      <c r="C707">
        <f>1.8103</f>
        <v>1.8103</v>
      </c>
      <c r="D707">
        <f>1.5923</f>
        <v>1.5923</v>
      </c>
      <c r="E707">
        <f>-0.294</f>
        <v>-0.29399999999999998</v>
      </c>
      <c r="F707">
        <f>0.217</f>
        <v>0.217</v>
      </c>
      <c r="G707">
        <f>-0.623</f>
        <v>-0.623</v>
      </c>
      <c r="H707">
        <f>0.773</f>
        <v>0.77300000000000002</v>
      </c>
    </row>
    <row r="708" spans="1:8" x14ac:dyDescent="0.25">
      <c r="A708" s="1">
        <v>43803</v>
      </c>
      <c r="B708">
        <f>2.2271</f>
        <v>2.2271000000000001</v>
      </c>
      <c r="C708">
        <f>1.774</f>
        <v>1.774</v>
      </c>
      <c r="D708">
        <f>1.5721</f>
        <v>1.5721000000000001</v>
      </c>
      <c r="E708">
        <f>-0.315</f>
        <v>-0.315</v>
      </c>
      <c r="F708">
        <f>0.206</f>
        <v>0.20599999999999999</v>
      </c>
      <c r="G708">
        <f>-0.627</f>
        <v>-0.627</v>
      </c>
      <c r="H708">
        <f>0.741</f>
        <v>0.74099999999999999</v>
      </c>
    </row>
    <row r="709" spans="1:8" x14ac:dyDescent="0.25">
      <c r="A709" s="1">
        <v>43802</v>
      </c>
      <c r="B709">
        <f>2.1636</f>
        <v>2.1636000000000002</v>
      </c>
      <c r="C709">
        <f>1.7157</f>
        <v>1.7157</v>
      </c>
      <c r="D709">
        <f>1.538</f>
        <v>1.538</v>
      </c>
      <c r="E709">
        <f>-0.348</f>
        <v>-0.34799999999999998</v>
      </c>
      <c r="F709">
        <f>0.164</f>
        <v>0.16400000000000001</v>
      </c>
      <c r="G709">
        <f>-0.633</f>
        <v>-0.63300000000000001</v>
      </c>
      <c r="H709">
        <f>0.67</f>
        <v>0.67</v>
      </c>
    </row>
    <row r="710" spans="1:8" x14ac:dyDescent="0.25">
      <c r="A710" s="1">
        <v>43801</v>
      </c>
      <c r="B710">
        <f>2.266</f>
        <v>2.266</v>
      </c>
      <c r="C710">
        <f>1.8189</f>
        <v>1.8189</v>
      </c>
      <c r="D710">
        <f>1.6</f>
        <v>1.6</v>
      </c>
      <c r="E710">
        <f>-0.281</f>
        <v>-0.28100000000000003</v>
      </c>
      <c r="F710">
        <f>0.24</f>
        <v>0.24</v>
      </c>
      <c r="G710">
        <f>-0.613</f>
        <v>-0.61299999999999999</v>
      </c>
      <c r="H710">
        <f>0.739</f>
        <v>0.73899999999999999</v>
      </c>
    </row>
    <row r="711" spans="1:8" x14ac:dyDescent="0.25">
      <c r="A711" s="1">
        <v>43798</v>
      </c>
      <c r="B711">
        <f>2.2054</f>
        <v>2.2054</v>
      </c>
      <c r="C711">
        <f>1.7758</f>
        <v>1.7758</v>
      </c>
      <c r="D711">
        <f>1.6119</f>
        <v>1.6119000000000001</v>
      </c>
      <c r="E711">
        <f>-0.36</f>
        <v>-0.36</v>
      </c>
      <c r="F711">
        <f>0.148</f>
        <v>0.14799999999999999</v>
      </c>
      <c r="G711">
        <f>-0.627</f>
        <v>-0.627</v>
      </c>
      <c r="H711">
        <f>0.697</f>
        <v>0.69699999999999995</v>
      </c>
    </row>
    <row r="712" spans="1:8" x14ac:dyDescent="0.25">
      <c r="A712" s="1">
        <v>43797</v>
      </c>
      <c r="B712">
        <f>2.1901</f>
        <v>2.1901000000000002</v>
      </c>
      <c r="C712">
        <f>1.7654</f>
        <v>1.7654000000000001</v>
      </c>
      <c r="D712">
        <f>1.6259</f>
        <v>1.6258999999999999</v>
      </c>
      <c r="E712">
        <f>-0.361</f>
        <v>-0.36099999999999999</v>
      </c>
      <c r="F712">
        <f>0.152</f>
        <v>0.152</v>
      </c>
      <c r="G712">
        <f>-0.633</f>
        <v>-0.63300000000000001</v>
      </c>
      <c r="H712">
        <f>0.676</f>
        <v>0.67600000000000005</v>
      </c>
    </row>
    <row r="713" spans="1:8" x14ac:dyDescent="0.25">
      <c r="A713" s="1">
        <v>43796</v>
      </c>
      <c r="B713">
        <f>2.1901</f>
        <v>2.1901000000000002</v>
      </c>
      <c r="C713">
        <f>1.7654</f>
        <v>1.7654000000000001</v>
      </c>
      <c r="D713">
        <f>1.6259</f>
        <v>1.6258999999999999</v>
      </c>
      <c r="E713">
        <f>-0.372</f>
        <v>-0.372</v>
      </c>
      <c r="F713">
        <f>0.142</f>
        <v>0.14199999999999999</v>
      </c>
      <c r="G713">
        <f>-0.633</f>
        <v>-0.63300000000000001</v>
      </c>
      <c r="H713">
        <f>0.675</f>
        <v>0.67500000000000004</v>
      </c>
    </row>
    <row r="714" spans="1:8" x14ac:dyDescent="0.25">
      <c r="A714" s="1">
        <v>43795</v>
      </c>
      <c r="B714">
        <f>2.179</f>
        <v>2.1789999999999998</v>
      </c>
      <c r="C714">
        <f>1.7414</f>
        <v>1.7414000000000001</v>
      </c>
      <c r="D714">
        <f>1.5819</f>
        <v>1.5819000000000001</v>
      </c>
      <c r="E714">
        <f>-0.372</f>
        <v>-0.372</v>
      </c>
      <c r="F714">
        <f>0.151</f>
        <v>0.151</v>
      </c>
      <c r="G714">
        <f>-0.637</f>
        <v>-0.63700000000000001</v>
      </c>
      <c r="H714">
        <f>0.65</f>
        <v>0.65</v>
      </c>
    </row>
    <row r="715" spans="1:8" x14ac:dyDescent="0.25">
      <c r="A715" s="1">
        <v>43794</v>
      </c>
      <c r="B715">
        <f>2.2013</f>
        <v>2.2012999999999998</v>
      </c>
      <c r="C715">
        <f>1.7551</f>
        <v>1.7551000000000001</v>
      </c>
      <c r="D715">
        <f>1.6134</f>
        <v>1.6133999999999999</v>
      </c>
      <c r="E715">
        <f>-0.349</f>
        <v>-0.34899999999999998</v>
      </c>
      <c r="F715">
        <f>0.173</f>
        <v>0.17299999999999999</v>
      </c>
      <c r="G715">
        <f>-0.627</f>
        <v>-0.627</v>
      </c>
      <c r="H715">
        <f>0.696</f>
        <v>0.69599999999999995</v>
      </c>
    </row>
    <row r="716" spans="1:8" x14ac:dyDescent="0.25">
      <c r="A716" s="1">
        <v>43791</v>
      </c>
      <c r="B716">
        <f>2.2209</f>
        <v>2.2208999999999999</v>
      </c>
      <c r="C716">
        <f>1.7706</f>
        <v>1.7706</v>
      </c>
      <c r="D716">
        <f>1.6277</f>
        <v>1.6276999999999999</v>
      </c>
      <c r="E716">
        <f>-0.359</f>
        <v>-0.35899999999999999</v>
      </c>
      <c r="F716">
        <f>0.155</f>
        <v>0.155</v>
      </c>
      <c r="G716">
        <f>-0.636</f>
        <v>-0.63600000000000001</v>
      </c>
      <c r="H716">
        <f>0.705</f>
        <v>0.70499999999999996</v>
      </c>
    </row>
    <row r="717" spans="1:8" x14ac:dyDescent="0.25">
      <c r="A717" s="1">
        <v>43790</v>
      </c>
      <c r="B717">
        <f>2.2315</f>
        <v>2.2315</v>
      </c>
      <c r="C717">
        <f>1.7723</f>
        <v>1.7723</v>
      </c>
      <c r="D717">
        <f>1.6046</f>
        <v>1.6046</v>
      </c>
      <c r="E717">
        <f>-0.325</f>
        <v>-0.32500000000000001</v>
      </c>
      <c r="F717">
        <f>0.194</f>
        <v>0.19400000000000001</v>
      </c>
      <c r="G717">
        <f>-0.624</f>
        <v>-0.624</v>
      </c>
      <c r="H717">
        <f>0.754</f>
        <v>0.754</v>
      </c>
    </row>
    <row r="718" spans="1:8" x14ac:dyDescent="0.25">
      <c r="A718" s="1">
        <v>43789</v>
      </c>
      <c r="B718">
        <f>2.209</f>
        <v>2.2090000000000001</v>
      </c>
      <c r="C718">
        <f>1.7449</f>
        <v>1.7448999999999999</v>
      </c>
      <c r="D718">
        <f>1.5757</f>
        <v>1.5757000000000001</v>
      </c>
      <c r="E718">
        <f>-0.347</f>
        <v>-0.34699999999999998</v>
      </c>
      <c r="F718">
        <f>0.175</f>
        <v>0.17499999999999999</v>
      </c>
      <c r="G718">
        <f>-0.64</f>
        <v>-0.64</v>
      </c>
      <c r="H718">
        <f>0.73</f>
        <v>0.73</v>
      </c>
    </row>
    <row r="719" spans="1:8" x14ac:dyDescent="0.25">
      <c r="A719" s="1">
        <v>43788</v>
      </c>
      <c r="B719">
        <f>2.2513</f>
        <v>2.2513000000000001</v>
      </c>
      <c r="C719">
        <f>1.7826</f>
        <v>1.7826</v>
      </c>
      <c r="D719">
        <f>1.5961</f>
        <v>1.5961000000000001</v>
      </c>
      <c r="E719">
        <f>-0.339</f>
        <v>-0.33900000000000002</v>
      </c>
      <c r="F719">
        <f>0.187</f>
        <v>0.187</v>
      </c>
      <c r="G719">
        <f>-0.631</f>
        <v>-0.63100000000000001</v>
      </c>
      <c r="H719">
        <f>0.733</f>
        <v>0.73299999999999998</v>
      </c>
    </row>
    <row r="720" spans="1:8" x14ac:dyDescent="0.25">
      <c r="A720" s="1">
        <v>43787</v>
      </c>
      <c r="B720">
        <f>2.299</f>
        <v>2.2989999999999999</v>
      </c>
      <c r="C720">
        <f>1.8153</f>
        <v>1.8152999999999999</v>
      </c>
      <c r="D720">
        <f>1.598</f>
        <v>1.5980000000000001</v>
      </c>
      <c r="E720">
        <f>-0.336</f>
        <v>-0.33600000000000002</v>
      </c>
      <c r="F720">
        <f>0.184</f>
        <v>0.184</v>
      </c>
      <c r="G720">
        <f>-0.626</f>
        <v>-0.626</v>
      </c>
      <c r="H720">
        <f>0.75</f>
        <v>0.75</v>
      </c>
    </row>
    <row r="721" spans="1:8" x14ac:dyDescent="0.25">
      <c r="A721" s="1">
        <v>43784</v>
      </c>
      <c r="B721">
        <f>2.3047</f>
        <v>2.3047</v>
      </c>
      <c r="C721">
        <f>1.8308</f>
        <v>1.8308</v>
      </c>
      <c r="D721">
        <f>1.6101</f>
        <v>1.6101000000000001</v>
      </c>
      <c r="E721">
        <f>-0.334</f>
        <v>-0.33400000000000002</v>
      </c>
      <c r="F721">
        <f>0.185</f>
        <v>0.185</v>
      </c>
      <c r="G721">
        <f>-0.633</f>
        <v>-0.63300000000000001</v>
      </c>
      <c r="H721">
        <f>0.729</f>
        <v>0.72899999999999998</v>
      </c>
    </row>
    <row r="722" spans="1:8" x14ac:dyDescent="0.25">
      <c r="A722" s="1">
        <v>43783</v>
      </c>
      <c r="B722">
        <f>2.2997</f>
        <v>2.2997000000000001</v>
      </c>
      <c r="C722">
        <f>1.8186</f>
        <v>1.8186</v>
      </c>
      <c r="D722">
        <f>1.5914</f>
        <v>1.5913999999999999</v>
      </c>
      <c r="E722">
        <f>-0.351</f>
        <v>-0.35099999999999998</v>
      </c>
      <c r="F722">
        <f>0.159</f>
        <v>0.159</v>
      </c>
      <c r="G722">
        <f>-0.641</f>
        <v>-0.64100000000000001</v>
      </c>
      <c r="H722">
        <f>0.709</f>
        <v>0.70899999999999996</v>
      </c>
    </row>
    <row r="723" spans="1:8" x14ac:dyDescent="0.25">
      <c r="A723" s="1">
        <v>43782</v>
      </c>
      <c r="B723">
        <f>2.3648</f>
        <v>2.3647999999999998</v>
      </c>
      <c r="C723">
        <f>1.886</f>
        <v>1.8859999999999999</v>
      </c>
      <c r="D723">
        <f>1.636</f>
        <v>1.6359999999999999</v>
      </c>
      <c r="E723">
        <f>-0.3</f>
        <v>-0.3</v>
      </c>
      <c r="F723">
        <f>0.224</f>
        <v>0.224</v>
      </c>
      <c r="G723">
        <f>-0.623</f>
        <v>-0.623</v>
      </c>
      <c r="H723">
        <f>0.759</f>
        <v>0.75900000000000001</v>
      </c>
    </row>
    <row r="724" spans="1:8" x14ac:dyDescent="0.25">
      <c r="A724" s="1">
        <v>43781</v>
      </c>
      <c r="B724">
        <f>2.4162</f>
        <v>2.4161999999999999</v>
      </c>
      <c r="C724">
        <f>1.9347</f>
        <v>1.9347000000000001</v>
      </c>
      <c r="D724">
        <f>1.6623</f>
        <v>1.6623000000000001</v>
      </c>
      <c r="E724">
        <f>-0.252</f>
        <v>-0.252</v>
      </c>
      <c r="F724">
        <f>0.279</f>
        <v>0.27900000000000003</v>
      </c>
      <c r="G724">
        <f>-0.623</f>
        <v>-0.623</v>
      </c>
      <c r="H724">
        <f>0.806</f>
        <v>0.80600000000000005</v>
      </c>
    </row>
    <row r="725" spans="1:8" x14ac:dyDescent="0.25">
      <c r="A725" s="1">
        <v>43780</v>
      </c>
      <c r="B725">
        <f>2.4243</f>
        <v>2.4243000000000001</v>
      </c>
      <c r="C725">
        <f>1.9417</f>
        <v>1.9417</v>
      </c>
      <c r="D725">
        <f>1.6742</f>
        <v>1.6741999999999999</v>
      </c>
      <c r="E725">
        <f>-0.245</f>
        <v>-0.245</v>
      </c>
      <c r="F725">
        <f>0.29</f>
        <v>0.28999999999999998</v>
      </c>
      <c r="G725">
        <f>-0.612</f>
        <v>-0.61199999999999999</v>
      </c>
      <c r="H725">
        <f>0.811</f>
        <v>0.81100000000000005</v>
      </c>
    </row>
    <row r="726" spans="1:8" x14ac:dyDescent="0.25">
      <c r="A726" s="1">
        <v>43777</v>
      </c>
      <c r="B726">
        <f>2.4243</f>
        <v>2.4243000000000001</v>
      </c>
      <c r="C726">
        <f>1.9417</f>
        <v>1.9417</v>
      </c>
      <c r="D726">
        <f>1.6742</f>
        <v>1.6741999999999999</v>
      </c>
      <c r="E726">
        <f>-0.263</f>
        <v>-0.26300000000000001</v>
      </c>
      <c r="F726">
        <f>0.268</f>
        <v>0.26800000000000002</v>
      </c>
      <c r="G726">
        <f>-0.616</f>
        <v>-0.61599999999999999</v>
      </c>
      <c r="H726">
        <f>0.789</f>
        <v>0.78900000000000003</v>
      </c>
    </row>
    <row r="727" spans="1:8" x14ac:dyDescent="0.25">
      <c r="A727" s="1">
        <v>43776</v>
      </c>
      <c r="B727">
        <f>2.3974</f>
        <v>2.3974000000000002</v>
      </c>
      <c r="C727">
        <f>1.9173</f>
        <v>1.9173</v>
      </c>
      <c r="D727">
        <f>1.6672</f>
        <v>1.6672</v>
      </c>
      <c r="E727">
        <f>-0.233</f>
        <v>-0.23300000000000001</v>
      </c>
      <c r="F727">
        <f>0.305</f>
        <v>0.30499999999999999</v>
      </c>
      <c r="G727">
        <f>-0.611</f>
        <v>-0.61099999999999999</v>
      </c>
      <c r="H727">
        <f>0.793</f>
        <v>0.79300000000000004</v>
      </c>
    </row>
    <row r="728" spans="1:8" x14ac:dyDescent="0.25">
      <c r="A728" s="1">
        <v>43775</v>
      </c>
      <c r="B728">
        <f>2.3156</f>
        <v>2.3155999999999999</v>
      </c>
      <c r="C728">
        <f>1.8283</f>
        <v>1.8283</v>
      </c>
      <c r="D728">
        <f>1.6086</f>
        <v>1.6086</v>
      </c>
      <c r="E728">
        <f>-0.333</f>
        <v>-0.33300000000000002</v>
      </c>
      <c r="F728">
        <f>0.197</f>
        <v>0.19700000000000001</v>
      </c>
      <c r="G728">
        <f>-0.637</f>
        <v>-0.63700000000000001</v>
      </c>
      <c r="H728">
        <f>0.715</f>
        <v>0.71499999999999997</v>
      </c>
    </row>
    <row r="729" spans="1:8" x14ac:dyDescent="0.25">
      <c r="A729" s="1">
        <v>43774</v>
      </c>
      <c r="B729">
        <f>2.3384</f>
        <v>2.3384</v>
      </c>
      <c r="C729">
        <f>1.8584</f>
        <v>1.8584000000000001</v>
      </c>
      <c r="D729">
        <f>1.6245</f>
        <v>1.6245000000000001</v>
      </c>
      <c r="E729">
        <f>-0.309</f>
        <v>-0.309</v>
      </c>
      <c r="F729">
        <f>0.233</f>
        <v>0.23300000000000001</v>
      </c>
      <c r="G729">
        <f>-0.636</f>
        <v>-0.63600000000000001</v>
      </c>
      <c r="H729">
        <f>0.775</f>
        <v>0.77500000000000002</v>
      </c>
    </row>
    <row r="730" spans="1:8" x14ac:dyDescent="0.25">
      <c r="A730" s="1">
        <v>43773</v>
      </c>
      <c r="B730">
        <f>2.263</f>
        <v>2.2629999999999999</v>
      </c>
      <c r="C730">
        <f>1.777</f>
        <v>1.7769999999999999</v>
      </c>
      <c r="D730">
        <f>1.5822</f>
        <v>1.5822000000000001</v>
      </c>
      <c r="E730">
        <f>-0.351</f>
        <v>-0.35099999999999998</v>
      </c>
      <c r="F730">
        <f>0.193</f>
        <v>0.193</v>
      </c>
      <c r="G730">
        <f>-0.649</f>
        <v>-0.64900000000000002</v>
      </c>
      <c r="H730">
        <f>0.725</f>
        <v>0.72499999999999998</v>
      </c>
    </row>
    <row r="731" spans="1:8" x14ac:dyDescent="0.25">
      <c r="A731" s="1">
        <v>43770</v>
      </c>
      <c r="B731">
        <f>2.1897</f>
        <v>2.1897000000000002</v>
      </c>
      <c r="C731">
        <f>1.7103</f>
        <v>1.7102999999999999</v>
      </c>
      <c r="D731">
        <f>1.552</f>
        <v>1.552</v>
      </c>
      <c r="E731">
        <f>-0.382</f>
        <v>-0.38200000000000001</v>
      </c>
      <c r="F731">
        <f>0.147</f>
        <v>0.14699999999999999</v>
      </c>
      <c r="G731">
        <f>-0.656</f>
        <v>-0.65600000000000003</v>
      </c>
      <c r="H731">
        <f>0.663</f>
        <v>0.66300000000000003</v>
      </c>
    </row>
    <row r="732" spans="1:8" x14ac:dyDescent="0.25">
      <c r="A732" s="1">
        <v>43769</v>
      </c>
      <c r="B732">
        <f>2.1791</f>
        <v>2.1791</v>
      </c>
      <c r="C732">
        <f>1.691</f>
        <v>1.6910000000000001</v>
      </c>
      <c r="D732">
        <f>1.5239</f>
        <v>1.5239</v>
      </c>
      <c r="E732">
        <f>-0.407</f>
        <v>-0.40699999999999997</v>
      </c>
      <c r="F732">
        <f>0.109</f>
        <v>0.109</v>
      </c>
      <c r="G732">
        <f>-0.66</f>
        <v>-0.66</v>
      </c>
      <c r="H732">
        <f>0.629</f>
        <v>0.629</v>
      </c>
    </row>
    <row r="733" spans="1:8" x14ac:dyDescent="0.25">
      <c r="A733" s="1">
        <v>43768</v>
      </c>
      <c r="B733">
        <f>2.2521</f>
        <v>2.2521</v>
      </c>
      <c r="C733">
        <f>1.7715</f>
        <v>1.7715000000000001</v>
      </c>
      <c r="D733">
        <f>1.5976</f>
        <v>1.5975999999999999</v>
      </c>
      <c r="E733">
        <f>-0.354</f>
        <v>-0.35399999999999998</v>
      </c>
      <c r="F733">
        <f>0.175</f>
        <v>0.17499999999999999</v>
      </c>
      <c r="G733">
        <f>-0.633</f>
        <v>-0.63300000000000001</v>
      </c>
      <c r="H733">
        <f>0.686</f>
        <v>0.68600000000000005</v>
      </c>
    </row>
    <row r="734" spans="1:8" x14ac:dyDescent="0.25">
      <c r="A734" s="1">
        <v>43767</v>
      </c>
      <c r="B734">
        <f>2.3347</f>
        <v>2.3347000000000002</v>
      </c>
      <c r="C734">
        <f>1.8385</f>
        <v>1.8385</v>
      </c>
      <c r="D734">
        <f>1.6415</f>
        <v>1.6415</v>
      </c>
      <c r="E734">
        <f>-0.351</f>
        <v>-0.35099999999999998</v>
      </c>
      <c r="F734">
        <f>0.177</f>
        <v>0.17699999999999999</v>
      </c>
      <c r="G734">
        <f>-0.631</f>
        <v>-0.63100000000000001</v>
      </c>
      <c r="H734">
        <f>0.711</f>
        <v>0.71099999999999997</v>
      </c>
    </row>
    <row r="735" spans="1:8" x14ac:dyDescent="0.25">
      <c r="A735" s="1">
        <v>43766</v>
      </c>
      <c r="B735">
        <f>2.3339</f>
        <v>2.3338999999999999</v>
      </c>
      <c r="C735">
        <f>1.842</f>
        <v>1.8420000000000001</v>
      </c>
      <c r="D735">
        <f>1.6435</f>
        <v>1.6435</v>
      </c>
      <c r="E735">
        <f>-0.332</f>
        <v>-0.33200000000000002</v>
      </c>
      <c r="F735">
        <f>0.204</f>
        <v>0.20399999999999999</v>
      </c>
      <c r="G735">
        <f>-0.645</f>
        <v>-0.64500000000000002</v>
      </c>
      <c r="H735">
        <f>0.722</f>
        <v>0.72199999999999998</v>
      </c>
    </row>
    <row r="736" spans="1:8" x14ac:dyDescent="0.25">
      <c r="A736" s="1">
        <v>43763</v>
      </c>
      <c r="B736">
        <f>2.287</f>
        <v>2.2869999999999999</v>
      </c>
      <c r="C736">
        <f>1.7943</f>
        <v>1.7943</v>
      </c>
      <c r="D736">
        <f>1.6176</f>
        <v>1.6175999999999999</v>
      </c>
      <c r="E736">
        <f>-0.362</f>
        <v>-0.36199999999999999</v>
      </c>
      <c r="F736">
        <f>0.169</f>
        <v>0.16900000000000001</v>
      </c>
      <c r="G736">
        <f>-0.653</f>
        <v>-0.65300000000000002</v>
      </c>
      <c r="H736">
        <f>0.682</f>
        <v>0.68200000000000005</v>
      </c>
    </row>
    <row r="737" spans="1:8" x14ac:dyDescent="0.25">
      <c r="A737" s="1">
        <v>43762</v>
      </c>
      <c r="B737">
        <f>2.2622</f>
        <v>2.2622</v>
      </c>
      <c r="C737">
        <f>1.766</f>
        <v>1.766</v>
      </c>
      <c r="D737">
        <f>1.5777</f>
        <v>1.5777000000000001</v>
      </c>
      <c r="E737">
        <f>-0.404</f>
        <v>-0.40400000000000003</v>
      </c>
      <c r="F737">
        <f>0.11</f>
        <v>0.11</v>
      </c>
      <c r="G737">
        <f>-0.667</f>
        <v>-0.66700000000000004</v>
      </c>
      <c r="H737">
        <f>0.625</f>
        <v>0.625</v>
      </c>
    </row>
    <row r="738" spans="1:8" x14ac:dyDescent="0.25">
      <c r="A738" s="1">
        <v>43761</v>
      </c>
      <c r="B738">
        <f>2.2543</f>
        <v>2.2543000000000002</v>
      </c>
      <c r="C738">
        <f>1.7642</f>
        <v>1.7642</v>
      </c>
      <c r="D738">
        <f>1.5817</f>
        <v>1.5817000000000001</v>
      </c>
      <c r="E738">
        <f>-0.394</f>
        <v>-0.39400000000000002</v>
      </c>
      <c r="F738">
        <f>0.113</f>
        <v>0.113</v>
      </c>
      <c r="G738">
        <f>-0.655</f>
        <v>-0.65500000000000003</v>
      </c>
      <c r="H738">
        <f>0.685</f>
        <v>0.68500000000000005</v>
      </c>
    </row>
    <row r="739" spans="1:8" x14ac:dyDescent="0.25">
      <c r="A739" s="1">
        <v>43760</v>
      </c>
      <c r="B739">
        <f>2.2521</f>
        <v>2.2521</v>
      </c>
      <c r="C739">
        <f>1.7607</f>
        <v>1.7606999999999999</v>
      </c>
      <c r="D739">
        <f>1.5944</f>
        <v>1.5944</v>
      </c>
      <c r="E739">
        <f>-0.368</f>
        <v>-0.36799999999999999</v>
      </c>
      <c r="F739">
        <f>0.158</f>
        <v>0.158</v>
      </c>
      <c r="G739">
        <f>-0.658</f>
        <v>-0.65800000000000003</v>
      </c>
      <c r="H739">
        <f>0.711</f>
        <v>0.71099999999999997</v>
      </c>
    </row>
    <row r="740" spans="1:8" x14ac:dyDescent="0.25">
      <c r="A740" s="1">
        <v>43759</v>
      </c>
      <c r="B740">
        <f>2.2913</f>
        <v>2.2913000000000001</v>
      </c>
      <c r="C740">
        <f>1.7993</f>
        <v>1.7992999999999999</v>
      </c>
      <c r="D740">
        <f>1.621</f>
        <v>1.621</v>
      </c>
      <c r="E740">
        <f>-0.344</f>
        <v>-0.34399999999999997</v>
      </c>
      <c r="F740">
        <f>0.204</f>
        <v>0.20399999999999999</v>
      </c>
      <c r="G740">
        <f>-0.664</f>
        <v>-0.66400000000000003</v>
      </c>
      <c r="H740">
        <f>0.75</f>
        <v>0.75</v>
      </c>
    </row>
    <row r="741" spans="1:8" x14ac:dyDescent="0.25">
      <c r="A741" s="1">
        <v>43756</v>
      </c>
      <c r="B741">
        <f>2.2492</f>
        <v>2.2492000000000001</v>
      </c>
      <c r="C741">
        <f>1.7536</f>
        <v>1.7536</v>
      </c>
      <c r="D741">
        <f>1.5736</f>
        <v>1.5736000000000001</v>
      </c>
      <c r="E741">
        <f>-0.382</f>
        <v>-0.38200000000000001</v>
      </c>
      <c r="F741">
        <f>0.153</f>
        <v>0.153</v>
      </c>
      <c r="G741">
        <f>-0.663</f>
        <v>-0.66300000000000003</v>
      </c>
      <c r="H741">
        <f>0.709</f>
        <v>0.70899999999999996</v>
      </c>
    </row>
    <row r="742" spans="1:8" x14ac:dyDescent="0.25">
      <c r="A742" s="1">
        <v>43755</v>
      </c>
      <c r="B742">
        <f>2.2341</f>
        <v>2.2341000000000002</v>
      </c>
      <c r="C742">
        <f>1.7518</f>
        <v>1.7518</v>
      </c>
      <c r="D742">
        <f>1.5999</f>
        <v>1.5999000000000001</v>
      </c>
      <c r="E742">
        <f>-0.408</f>
        <v>-0.40799999999999997</v>
      </c>
      <c r="F742">
        <f>0.118</f>
        <v>0.11799999999999999</v>
      </c>
      <c r="G742">
        <f>-0.669</f>
        <v>-0.66900000000000004</v>
      </c>
      <c r="H742">
        <f>0.677</f>
        <v>0.67700000000000005</v>
      </c>
    </row>
    <row r="743" spans="1:8" x14ac:dyDescent="0.25">
      <c r="A743" s="1">
        <v>43754</v>
      </c>
      <c r="B743">
        <f>2.2248</f>
        <v>2.2248000000000001</v>
      </c>
      <c r="C743">
        <f>1.7395</f>
        <v>1.7395</v>
      </c>
      <c r="D743">
        <f>1.5835</f>
        <v>1.5834999999999999</v>
      </c>
      <c r="E743">
        <f>-0.387</f>
        <v>-0.38700000000000001</v>
      </c>
      <c r="F743">
        <f>0.154</f>
        <v>0.154</v>
      </c>
      <c r="G743">
        <f>-0.675</f>
        <v>-0.67500000000000004</v>
      </c>
      <c r="H743">
        <f>0.713</f>
        <v>0.71299999999999997</v>
      </c>
    </row>
    <row r="744" spans="1:8" x14ac:dyDescent="0.25">
      <c r="A744" s="1">
        <v>43753</v>
      </c>
      <c r="B744">
        <f>2.2348</f>
        <v>2.2347999999999999</v>
      </c>
      <c r="C744">
        <f>1.771</f>
        <v>1.7709999999999999</v>
      </c>
      <c r="D744">
        <f>1.618</f>
        <v>1.6180000000000001</v>
      </c>
      <c r="E744">
        <f>-0.417</f>
        <v>-0.41699999999999998</v>
      </c>
      <c r="F744">
        <f>0.115</f>
        <v>0.115</v>
      </c>
      <c r="G744">
        <f>-0.687</f>
        <v>-0.68700000000000006</v>
      </c>
      <c r="H744">
        <f>0.694</f>
        <v>0.69399999999999995</v>
      </c>
    </row>
    <row r="745" spans="1:8" x14ac:dyDescent="0.25">
      <c r="A745" s="1">
        <v>43752</v>
      </c>
      <c r="B745">
        <f>2.1941</f>
        <v>2.1941000000000002</v>
      </c>
      <c r="C745">
        <f>1.729</f>
        <v>1.7290000000000001</v>
      </c>
      <c r="D745">
        <f>1.5914</f>
        <v>1.5913999999999999</v>
      </c>
      <c r="E745">
        <f>-0.457</f>
        <v>-0.45700000000000002</v>
      </c>
      <c r="F745">
        <f>0.071</f>
        <v>7.0999999999999994E-2</v>
      </c>
      <c r="G745">
        <f>-0.704</f>
        <v>-0.70399999999999996</v>
      </c>
      <c r="H745">
        <f>0.637</f>
        <v>0.63700000000000001</v>
      </c>
    </row>
    <row r="746" spans="1:8" x14ac:dyDescent="0.25">
      <c r="A746" s="1">
        <v>43749</v>
      </c>
      <c r="B746">
        <f>2.1941</f>
        <v>2.1941000000000002</v>
      </c>
      <c r="C746">
        <f>1.729</f>
        <v>1.7290000000000001</v>
      </c>
      <c r="D746">
        <f>1.5914</f>
        <v>1.5913999999999999</v>
      </c>
      <c r="E746">
        <f>-0.442</f>
        <v>-0.442</v>
      </c>
      <c r="F746">
        <f>0.1</f>
        <v>0.1</v>
      </c>
      <c r="G746">
        <f>-0.72</f>
        <v>-0.72</v>
      </c>
      <c r="H746">
        <f>0.705</f>
        <v>0.70499999999999996</v>
      </c>
    </row>
    <row r="747" spans="1:8" x14ac:dyDescent="0.25">
      <c r="A747" s="1">
        <v>43748</v>
      </c>
      <c r="B747">
        <f>2.1615</f>
        <v>2.1615000000000002</v>
      </c>
      <c r="C747">
        <f>1.6681</f>
        <v>1.6680999999999999</v>
      </c>
      <c r="D747">
        <f>1.5424</f>
        <v>1.5424</v>
      </c>
      <c r="E747">
        <f>-0.469</f>
        <v>-0.46899999999999997</v>
      </c>
      <c r="F747">
        <f>0.049</f>
        <v>4.9000000000000002E-2</v>
      </c>
      <c r="G747">
        <f>-0.712</f>
        <v>-0.71199999999999997</v>
      </c>
      <c r="H747">
        <f>0.588</f>
        <v>0.58799999999999997</v>
      </c>
    </row>
    <row r="748" spans="1:8" x14ac:dyDescent="0.25">
      <c r="A748" s="1">
        <v>43747</v>
      </c>
      <c r="B748">
        <f>2.0841</f>
        <v>2.0840999999999998</v>
      </c>
      <c r="C748">
        <f>1.5836</f>
        <v>1.5835999999999999</v>
      </c>
      <c r="D748">
        <f>1.4657</f>
        <v>1.4657</v>
      </c>
      <c r="E748">
        <f>-0.548</f>
        <v>-0.54800000000000004</v>
      </c>
      <c r="F748">
        <f>-0.024</f>
        <v>-2.4E-2</v>
      </c>
      <c r="G748">
        <f>-0.756</f>
        <v>-0.75600000000000001</v>
      </c>
      <c r="H748">
        <f>0.46</f>
        <v>0.46</v>
      </c>
    </row>
    <row r="749" spans="1:8" x14ac:dyDescent="0.25">
      <c r="A749" s="1">
        <v>43746</v>
      </c>
      <c r="B749">
        <f>2.0293</f>
        <v>2.0293000000000001</v>
      </c>
      <c r="C749">
        <f>1.5289</f>
        <v>1.5288999999999999</v>
      </c>
      <c r="D749">
        <f>1.4194</f>
        <v>1.4194</v>
      </c>
      <c r="E749">
        <f>-0.594</f>
        <v>-0.59399999999999997</v>
      </c>
      <c r="F749">
        <f>-0.075</f>
        <v>-7.4999999999999997E-2</v>
      </c>
      <c r="G749">
        <f>-0.784</f>
        <v>-0.78400000000000003</v>
      </c>
      <c r="H749">
        <f>0.416</f>
        <v>0.41599999999999998</v>
      </c>
    </row>
    <row r="750" spans="1:8" x14ac:dyDescent="0.25">
      <c r="A750" s="1">
        <v>43745</v>
      </c>
      <c r="B750">
        <f>2.0484</f>
        <v>2.0484</v>
      </c>
      <c r="C750">
        <f>1.558</f>
        <v>1.5580000000000001</v>
      </c>
      <c r="D750">
        <f>1.4617</f>
        <v>1.4617</v>
      </c>
      <c r="E750">
        <f>-0.575</f>
        <v>-0.57499999999999996</v>
      </c>
      <c r="F750">
        <f>-0.06</f>
        <v>-0.06</v>
      </c>
      <c r="G750">
        <f>-0.774</f>
        <v>-0.77400000000000002</v>
      </c>
      <c r="H750">
        <f>0.451</f>
        <v>0.45100000000000001</v>
      </c>
    </row>
    <row r="751" spans="1:8" x14ac:dyDescent="0.25">
      <c r="A751" s="1">
        <v>43742</v>
      </c>
      <c r="B751">
        <f>2.0151</f>
        <v>2.0150999999999999</v>
      </c>
      <c r="C751">
        <f>1.529</f>
        <v>1.5289999999999999</v>
      </c>
      <c r="D751">
        <f>1.4036</f>
        <v>1.4036</v>
      </c>
      <c r="E751">
        <f>-0.586</f>
        <v>-0.58599999999999997</v>
      </c>
      <c r="F751">
        <f>-0.073</f>
        <v>-7.2999999999999995E-2</v>
      </c>
      <c r="G751">
        <f>-0.78</f>
        <v>-0.78</v>
      </c>
      <c r="H751">
        <f>0.443</f>
        <v>0.443</v>
      </c>
    </row>
    <row r="752" spans="1:8" x14ac:dyDescent="0.25">
      <c r="A752" s="1">
        <v>43741</v>
      </c>
      <c r="B752">
        <f>2.0321</f>
        <v>2.0320999999999998</v>
      </c>
      <c r="C752">
        <f>1.5341</f>
        <v>1.5341</v>
      </c>
      <c r="D752">
        <f>1.3901</f>
        <v>1.3900999999999999</v>
      </c>
      <c r="E752">
        <f>-0.59</f>
        <v>-0.59</v>
      </c>
      <c r="F752">
        <f>-0.082</f>
        <v>-8.2000000000000003E-2</v>
      </c>
      <c r="G752">
        <f>-0.782</f>
        <v>-0.78200000000000003</v>
      </c>
      <c r="H752">
        <f>0.47</f>
        <v>0.47</v>
      </c>
    </row>
    <row r="753" spans="1:8" x14ac:dyDescent="0.25">
      <c r="A753" s="1">
        <v>43740</v>
      </c>
      <c r="B753">
        <f>2.0876</f>
        <v>2.0876000000000001</v>
      </c>
      <c r="C753">
        <f>1.5992</f>
        <v>1.5992</v>
      </c>
      <c r="D753">
        <f>1.478</f>
        <v>1.478</v>
      </c>
      <c r="E753">
        <f>-0.546</f>
        <v>-0.54600000000000004</v>
      </c>
      <c r="F753">
        <f>-0.038</f>
        <v>-3.7999999999999999E-2</v>
      </c>
      <c r="G753">
        <f>-0.764</f>
        <v>-0.76400000000000001</v>
      </c>
      <c r="H753">
        <f>0.503</f>
        <v>0.503</v>
      </c>
    </row>
    <row r="754" spans="1:8" x14ac:dyDescent="0.25">
      <c r="A754" s="1">
        <v>43739</v>
      </c>
      <c r="B754">
        <f>2.0925</f>
        <v>2.0924999999999998</v>
      </c>
      <c r="C754">
        <f>1.6353</f>
        <v>1.6353</v>
      </c>
      <c r="D754">
        <f>1.5459</f>
        <v>1.5459000000000001</v>
      </c>
      <c r="E754">
        <f>-0.564</f>
        <v>-0.56399999999999995</v>
      </c>
      <c r="F754">
        <f>-0.06</f>
        <v>-0.06</v>
      </c>
      <c r="G754">
        <f>-0.769</f>
        <v>-0.76900000000000002</v>
      </c>
      <c r="H754">
        <f>0.47</f>
        <v>0.47</v>
      </c>
    </row>
    <row r="755" spans="1:8" x14ac:dyDescent="0.25">
      <c r="A755" s="1">
        <v>43738</v>
      </c>
      <c r="B755">
        <f>2.1105</f>
        <v>2.1105</v>
      </c>
      <c r="C755">
        <f>1.6646</f>
        <v>1.6646000000000001</v>
      </c>
      <c r="D755">
        <f>1.6217</f>
        <v>1.6216999999999999</v>
      </c>
      <c r="E755">
        <f>-0.571</f>
        <v>-0.57099999999999995</v>
      </c>
      <c r="F755">
        <f>-0.068</f>
        <v>-6.8000000000000005E-2</v>
      </c>
      <c r="G755">
        <f>-0.766</f>
        <v>-0.76600000000000001</v>
      </c>
      <c r="H755">
        <f>0.488</f>
        <v>0.48799999999999999</v>
      </c>
    </row>
    <row r="756" spans="1:8" x14ac:dyDescent="0.25">
      <c r="A756" s="1">
        <v>43735</v>
      </c>
      <c r="B756">
        <f>2.1286</f>
        <v>2.1286</v>
      </c>
      <c r="C756">
        <f>1.6801</f>
        <v>1.6800999999999999</v>
      </c>
      <c r="D756">
        <f>1.6315</f>
        <v>1.6315</v>
      </c>
      <c r="E756">
        <f>-0.573</f>
        <v>-0.57299999999999995</v>
      </c>
      <c r="F756">
        <f>-0.083</f>
        <v>-8.3000000000000004E-2</v>
      </c>
      <c r="G756">
        <f>-0.77</f>
        <v>-0.77</v>
      </c>
      <c r="H756">
        <f>0.499</f>
        <v>0.499</v>
      </c>
    </row>
    <row r="757" spans="1:8" x14ac:dyDescent="0.25">
      <c r="A757" s="1">
        <v>43734</v>
      </c>
      <c r="B757">
        <f>2.1419</f>
        <v>2.1419000000000001</v>
      </c>
      <c r="C757">
        <f>1.6921</f>
        <v>1.6920999999999999</v>
      </c>
      <c r="D757">
        <f>1.6555</f>
        <v>1.6555</v>
      </c>
      <c r="E757">
        <f>-0.582</f>
        <v>-0.58199999999999996</v>
      </c>
      <c r="F757">
        <f>-0.107</f>
        <v>-0.107</v>
      </c>
      <c r="G757">
        <f>-0.75</f>
        <v>-0.75</v>
      </c>
      <c r="H757">
        <f>0.519</f>
        <v>0.51900000000000002</v>
      </c>
    </row>
    <row r="758" spans="1:8" x14ac:dyDescent="0.25">
      <c r="A758" s="1">
        <v>43733</v>
      </c>
      <c r="B758">
        <f>2.1863</f>
        <v>2.1863000000000001</v>
      </c>
      <c r="C758">
        <f>1.7372</f>
        <v>1.7372000000000001</v>
      </c>
      <c r="D758">
        <f>1.6795</f>
        <v>1.6795</v>
      </c>
      <c r="E758">
        <f>-0.575</f>
        <v>-0.57499999999999996</v>
      </c>
      <c r="F758">
        <f>-0.092</f>
        <v>-9.1999999999999998E-2</v>
      </c>
      <c r="G758">
        <f>-0.734</f>
        <v>-0.73399999999999999</v>
      </c>
      <c r="H758">
        <f>0.536</f>
        <v>0.53600000000000003</v>
      </c>
    </row>
    <row r="759" spans="1:8" x14ac:dyDescent="0.25">
      <c r="A759" s="1">
        <v>43732</v>
      </c>
      <c r="B759">
        <f>2.1036</f>
        <v>2.1036000000000001</v>
      </c>
      <c r="C759">
        <f>1.6456</f>
        <v>1.6456</v>
      </c>
      <c r="D759">
        <f>1.6256</f>
        <v>1.6255999999999999</v>
      </c>
      <c r="E759">
        <f>-0.6</f>
        <v>-0.6</v>
      </c>
      <c r="F759">
        <f>-0.119</f>
        <v>-0.11899999999999999</v>
      </c>
      <c r="G759">
        <f>-0.734</f>
        <v>-0.73399999999999999</v>
      </c>
      <c r="H759">
        <f>0.528</f>
        <v>0.52800000000000002</v>
      </c>
    </row>
    <row r="760" spans="1:8" x14ac:dyDescent="0.25">
      <c r="A760" s="1">
        <v>43731</v>
      </c>
      <c r="B760">
        <f>2.1729</f>
        <v>2.1728999999999998</v>
      </c>
      <c r="C760">
        <f>1.7267</f>
        <v>1.7266999999999999</v>
      </c>
      <c r="D760">
        <f>1.6812</f>
        <v>1.6812</v>
      </c>
      <c r="E760">
        <f>-0.581</f>
        <v>-0.58099999999999996</v>
      </c>
      <c r="F760">
        <f>-0.088</f>
        <v>-8.7999999999999995E-2</v>
      </c>
      <c r="G760">
        <f>-0.742</f>
        <v>-0.74199999999999999</v>
      </c>
      <c r="H760">
        <f>0.552</f>
        <v>0.55200000000000005</v>
      </c>
    </row>
    <row r="761" spans="1:8" x14ac:dyDescent="0.25">
      <c r="A761" s="1">
        <v>43728</v>
      </c>
      <c r="B761">
        <f>2.1616</f>
        <v>2.1616</v>
      </c>
      <c r="C761">
        <f>1.7215</f>
        <v>1.7215</v>
      </c>
      <c r="D761">
        <f>1.683</f>
        <v>1.6830000000000001</v>
      </c>
      <c r="E761">
        <f>-0.521</f>
        <v>-0.52100000000000002</v>
      </c>
      <c r="F761">
        <f>-0.011</f>
        <v>-1.0999999999999999E-2</v>
      </c>
      <c r="G761">
        <f>-0.719</f>
        <v>-0.71899999999999997</v>
      </c>
      <c r="H761">
        <f>0.628</f>
        <v>0.628</v>
      </c>
    </row>
    <row r="762" spans="1:8" x14ac:dyDescent="0.25">
      <c r="A762" s="1">
        <v>43727</v>
      </c>
      <c r="B762">
        <f>2.2277</f>
        <v>2.2277</v>
      </c>
      <c r="C762">
        <f>1.784</f>
        <v>1.784</v>
      </c>
      <c r="D762">
        <f>1.7378</f>
        <v>1.7378</v>
      </c>
      <c r="E762">
        <f>-0.507</f>
        <v>-0.50700000000000001</v>
      </c>
      <c r="F762">
        <f>0.012</f>
        <v>1.2E-2</v>
      </c>
      <c r="G762">
        <f>-0.724</f>
        <v>-0.72399999999999998</v>
      </c>
      <c r="H762">
        <f>0.637</f>
        <v>0.63700000000000001</v>
      </c>
    </row>
    <row r="763" spans="1:8" x14ac:dyDescent="0.25">
      <c r="A763" s="1">
        <v>43726</v>
      </c>
      <c r="B763">
        <f>2.242</f>
        <v>2.242</v>
      </c>
      <c r="C763">
        <f>1.7961</f>
        <v>1.7961</v>
      </c>
      <c r="D763">
        <f>1.7621</f>
        <v>1.7621</v>
      </c>
      <c r="E763">
        <f>-0.51</f>
        <v>-0.51</v>
      </c>
      <c r="F763">
        <f>0.016</f>
        <v>1.6E-2</v>
      </c>
      <c r="G763">
        <f>-0.727</f>
        <v>-0.72699999999999998</v>
      </c>
      <c r="H763">
        <f>0.643</f>
        <v>0.64300000000000002</v>
      </c>
    </row>
    <row r="764" spans="1:8" x14ac:dyDescent="0.25">
      <c r="A764" s="1">
        <v>43725</v>
      </c>
      <c r="B764">
        <f>2.268</f>
        <v>2.2679999999999998</v>
      </c>
      <c r="C764">
        <f>1.8013</f>
        <v>1.8012999999999999</v>
      </c>
      <c r="D764">
        <f>1.7248</f>
        <v>1.7248000000000001</v>
      </c>
      <c r="E764">
        <f>-0.474</f>
        <v>-0.47399999999999998</v>
      </c>
      <c r="F764">
        <f>0.082</f>
        <v>8.2000000000000003E-2</v>
      </c>
      <c r="G764">
        <f>-0.713</f>
        <v>-0.71299999999999997</v>
      </c>
      <c r="H764">
        <f>0.697</f>
        <v>0.69699999999999995</v>
      </c>
    </row>
    <row r="765" spans="1:8" x14ac:dyDescent="0.25">
      <c r="A765" s="1">
        <v>43724</v>
      </c>
      <c r="B765">
        <f>2.3183</f>
        <v>2.3182999999999998</v>
      </c>
      <c r="C765">
        <f>1.8467</f>
        <v>1.8467</v>
      </c>
      <c r="D765">
        <f>1.7593</f>
        <v>1.7593000000000001</v>
      </c>
      <c r="E765">
        <f>-0.48</f>
        <v>-0.48</v>
      </c>
      <c r="F765">
        <f>0.085</f>
        <v>8.5000000000000006E-2</v>
      </c>
      <c r="G765">
        <f>-0.726</f>
        <v>-0.72599999999999998</v>
      </c>
      <c r="H765">
        <f>0.694</f>
        <v>0.69399999999999995</v>
      </c>
    </row>
    <row r="766" spans="1:8" x14ac:dyDescent="0.25">
      <c r="A766" s="1">
        <v>43721</v>
      </c>
      <c r="B766">
        <f>2.3708</f>
        <v>2.3708</v>
      </c>
      <c r="C766">
        <f>1.8958</f>
        <v>1.8957999999999999</v>
      </c>
      <c r="D766">
        <f>1.7999</f>
        <v>1.7999000000000001</v>
      </c>
      <c r="E766">
        <f>-0.449</f>
        <v>-0.44900000000000001</v>
      </c>
      <c r="F766">
        <f>0.13</f>
        <v>0.13</v>
      </c>
      <c r="G766">
        <f>-0.707</f>
        <v>-0.70699999999999996</v>
      </c>
      <c r="H766">
        <f>0.762</f>
        <v>0.76200000000000001</v>
      </c>
    </row>
    <row r="767" spans="1:8" x14ac:dyDescent="0.25">
      <c r="A767" s="1">
        <v>43720</v>
      </c>
      <c r="B767">
        <f>2.2557</f>
        <v>2.2557</v>
      </c>
      <c r="C767">
        <f>1.7715</f>
        <v>1.7715000000000001</v>
      </c>
      <c r="D767">
        <f>1.7192</f>
        <v>1.7192000000000001</v>
      </c>
      <c r="E767">
        <f>-0.516</f>
        <v>-0.51600000000000001</v>
      </c>
      <c r="F767">
        <f>0.037</f>
        <v>3.6999999999999998E-2</v>
      </c>
      <c r="G767">
        <f>-0.723</f>
        <v>-0.72299999999999998</v>
      </c>
      <c r="H767">
        <f>0.674</f>
        <v>0.67400000000000004</v>
      </c>
    </row>
    <row r="768" spans="1:8" x14ac:dyDescent="0.25">
      <c r="A768" s="1">
        <v>43719</v>
      </c>
      <c r="B768">
        <f>2.2213</f>
        <v>2.2212999999999998</v>
      </c>
      <c r="C768">
        <f>1.7385</f>
        <v>1.7384999999999999</v>
      </c>
      <c r="D768">
        <f>1.6742</f>
        <v>1.6741999999999999</v>
      </c>
      <c r="E768">
        <f>-0.564</f>
        <v>-0.56399999999999995</v>
      </c>
      <c r="F768">
        <f>0.022</f>
        <v>2.1999999999999999E-2</v>
      </c>
      <c r="G768">
        <f>-0.841</f>
        <v>-0.84099999999999997</v>
      </c>
      <c r="H768">
        <f>0.637</f>
        <v>0.63700000000000001</v>
      </c>
    </row>
    <row r="769" spans="1:8" x14ac:dyDescent="0.25">
      <c r="A769" s="1">
        <v>43718</v>
      </c>
      <c r="B769">
        <f>2.2163</f>
        <v>2.2162999999999999</v>
      </c>
      <c r="C769">
        <f>1.7316</f>
        <v>1.7316</v>
      </c>
      <c r="D769">
        <f>1.676</f>
        <v>1.6759999999999999</v>
      </c>
      <c r="E769">
        <f>-0.547</f>
        <v>-0.54700000000000004</v>
      </c>
      <c r="F769">
        <f>0.042</f>
        <v>4.2000000000000003E-2</v>
      </c>
      <c r="G769">
        <f>-0.843</f>
        <v>-0.84299999999999997</v>
      </c>
      <c r="H769">
        <f>0.639</f>
        <v>0.63900000000000001</v>
      </c>
    </row>
    <row r="770" spans="1:8" x14ac:dyDescent="0.25">
      <c r="A770" s="1">
        <v>43717</v>
      </c>
      <c r="B770">
        <f>2.1281</f>
        <v>2.1280999999999999</v>
      </c>
      <c r="C770">
        <f>1.6438</f>
        <v>1.6437999999999999</v>
      </c>
      <c r="D770">
        <f>1.5928</f>
        <v>1.5928</v>
      </c>
      <c r="E770">
        <f>-0.585</f>
        <v>-0.58499999999999996</v>
      </c>
      <c r="F770">
        <f>-0.003</f>
        <v>-3.0000000000000001E-3</v>
      </c>
      <c r="G770">
        <f>-0.857</f>
        <v>-0.85699999999999998</v>
      </c>
      <c r="H770">
        <f>0.591</f>
        <v>0.59099999999999997</v>
      </c>
    </row>
    <row r="771" spans="1:8" x14ac:dyDescent="0.25">
      <c r="A771" s="1">
        <v>43714</v>
      </c>
      <c r="B771">
        <f>2.025</f>
        <v>2.0249999999999999</v>
      </c>
      <c r="C771">
        <f>1.5602</f>
        <v>1.5602</v>
      </c>
      <c r="D771">
        <f>1.5402</f>
        <v>1.5402</v>
      </c>
      <c r="E771">
        <f>-0.638</f>
        <v>-0.63800000000000001</v>
      </c>
      <c r="F771">
        <f>-0.082</f>
        <v>-8.2000000000000003E-2</v>
      </c>
      <c r="G771">
        <f>-0.87</f>
        <v>-0.87</v>
      </c>
      <c r="H771">
        <f>0.506</f>
        <v>0.50600000000000001</v>
      </c>
    </row>
    <row r="772" spans="1:8" x14ac:dyDescent="0.25">
      <c r="A772" s="1">
        <v>43713</v>
      </c>
      <c r="B772">
        <f>2.0495</f>
        <v>2.0495000000000001</v>
      </c>
      <c r="C772">
        <f>1.5586</f>
        <v>1.5586</v>
      </c>
      <c r="D772">
        <f>1.526</f>
        <v>1.526</v>
      </c>
      <c r="E772">
        <f>-0.594</f>
        <v>-0.59399999999999997</v>
      </c>
      <c r="F772">
        <f>-0.008</f>
        <v>-8.0000000000000002E-3</v>
      </c>
      <c r="G772">
        <f>-0.868</f>
        <v>-0.86799999999999999</v>
      </c>
      <c r="H772">
        <f>0.6</f>
        <v>0.6</v>
      </c>
    </row>
    <row r="773" spans="1:8" x14ac:dyDescent="0.25">
      <c r="A773" s="1">
        <v>43712</v>
      </c>
      <c r="B773">
        <f>1.9699</f>
        <v>1.9699</v>
      </c>
      <c r="C773">
        <f>1.4657</f>
        <v>1.4657</v>
      </c>
      <c r="D773">
        <f>1.4319</f>
        <v>1.4319</v>
      </c>
      <c r="E773">
        <f>-0.674</f>
        <v>-0.67400000000000004</v>
      </c>
      <c r="F773">
        <f>-0.15</f>
        <v>-0.15</v>
      </c>
      <c r="G773">
        <f>-0.891</f>
        <v>-0.89100000000000001</v>
      </c>
      <c r="H773">
        <f>0.493</f>
        <v>0.49299999999999999</v>
      </c>
    </row>
    <row r="774" spans="1:8" x14ac:dyDescent="0.25">
      <c r="A774" s="1">
        <v>43711</v>
      </c>
      <c r="B774">
        <f>1.9526</f>
        <v>1.9525999999999999</v>
      </c>
      <c r="C774">
        <f>1.4573</f>
        <v>1.4573</v>
      </c>
      <c r="D774">
        <f>1.452</f>
        <v>1.452</v>
      </c>
      <c r="E774">
        <f>-0.706</f>
        <v>-0.70599999999999996</v>
      </c>
      <c r="F774">
        <f>-0.191</f>
        <v>-0.191</v>
      </c>
      <c r="G774">
        <f>-0.912</f>
        <v>-0.91200000000000003</v>
      </c>
      <c r="H774">
        <f>0.406</f>
        <v>0.40600000000000003</v>
      </c>
    </row>
    <row r="775" spans="1:8" x14ac:dyDescent="0.25">
      <c r="A775" s="1">
        <v>43710</v>
      </c>
      <c r="B775">
        <f>1.9626</f>
        <v>1.9625999999999999</v>
      </c>
      <c r="C775">
        <f>1.4961</f>
        <v>1.4961</v>
      </c>
      <c r="D775">
        <f>1.504</f>
        <v>1.504</v>
      </c>
      <c r="E775">
        <f>-0.702</f>
        <v>-0.70199999999999996</v>
      </c>
      <c r="F775">
        <f>-0.162</f>
        <v>-0.16200000000000001</v>
      </c>
      <c r="G775">
        <f>-0.928</f>
        <v>-0.92800000000000005</v>
      </c>
      <c r="H775">
        <f>0.415</f>
        <v>0.41499999999999998</v>
      </c>
    </row>
    <row r="776" spans="1:8" x14ac:dyDescent="0.25">
      <c r="A776" s="1">
        <v>43707</v>
      </c>
      <c r="B776">
        <f>1.9626</f>
        <v>1.9625999999999999</v>
      </c>
      <c r="C776">
        <f>1.4961</f>
        <v>1.4961</v>
      </c>
      <c r="D776">
        <f>1.504</f>
        <v>1.504</v>
      </c>
      <c r="E776">
        <f>-0.7</f>
        <v>-0.7</v>
      </c>
      <c r="F776">
        <f>-0.177</f>
        <v>-0.17699999999999999</v>
      </c>
      <c r="G776">
        <f>-0.927</f>
        <v>-0.92700000000000005</v>
      </c>
      <c r="H776">
        <f>0.479</f>
        <v>0.47899999999999998</v>
      </c>
    </row>
    <row r="777" spans="1:8" x14ac:dyDescent="0.25">
      <c r="A777" s="1">
        <v>43706</v>
      </c>
      <c r="B777">
        <f>1.964</f>
        <v>1.964</v>
      </c>
      <c r="C777">
        <f>1.4945</f>
        <v>1.4944999999999999</v>
      </c>
      <c r="D777">
        <f>1.52</f>
        <v>1.52</v>
      </c>
      <c r="E777">
        <f>-0.692</f>
        <v>-0.69199999999999995</v>
      </c>
      <c r="F777">
        <f>-0.18</f>
        <v>-0.18</v>
      </c>
      <c r="G777">
        <f>-0.907</f>
        <v>-0.90700000000000003</v>
      </c>
      <c r="H777">
        <f>0.436</f>
        <v>0.436</v>
      </c>
    </row>
    <row r="778" spans="1:8" x14ac:dyDescent="0.25">
      <c r="A778" s="1">
        <v>43705</v>
      </c>
      <c r="B778">
        <f>1.9714</f>
        <v>1.9714</v>
      </c>
      <c r="C778">
        <f>1.4794</f>
        <v>1.4794</v>
      </c>
      <c r="D778">
        <f>1.5</f>
        <v>1.5</v>
      </c>
      <c r="E778">
        <f>-0.714</f>
        <v>-0.71399999999999997</v>
      </c>
      <c r="F778">
        <f>-0.226</f>
        <v>-0.22600000000000001</v>
      </c>
      <c r="G778">
        <f>-0.88</f>
        <v>-0.88</v>
      </c>
      <c r="H778">
        <f>0.442</f>
        <v>0.442</v>
      </c>
    </row>
    <row r="779" spans="1:8" x14ac:dyDescent="0.25">
      <c r="A779" s="1">
        <v>43704</v>
      </c>
      <c r="B779">
        <f>1.9501</f>
        <v>1.9500999999999999</v>
      </c>
      <c r="C779">
        <f>1.4711</f>
        <v>1.4711000000000001</v>
      </c>
      <c r="D779">
        <f>1.5223</f>
        <v>1.5223</v>
      </c>
      <c r="E779">
        <f>-0.693</f>
        <v>-0.69299999999999995</v>
      </c>
      <c r="F779">
        <f>-0.188</f>
        <v>-0.188</v>
      </c>
      <c r="G779">
        <f>-0.887</f>
        <v>-0.88700000000000001</v>
      </c>
      <c r="H779">
        <f>0.502</f>
        <v>0.502</v>
      </c>
    </row>
    <row r="780" spans="1:8" x14ac:dyDescent="0.25">
      <c r="A780" s="1">
        <v>43703</v>
      </c>
      <c r="B780">
        <f>2.0354</f>
        <v>2.0354000000000001</v>
      </c>
      <c r="C780">
        <f>1.5351</f>
        <v>1.5350999999999999</v>
      </c>
      <c r="D780">
        <f>1.5391</f>
        <v>1.5390999999999999</v>
      </c>
      <c r="E780">
        <f>-0.666</f>
        <v>-0.66600000000000004</v>
      </c>
      <c r="F780">
        <f>-0.128</f>
        <v>-0.128</v>
      </c>
      <c r="G780">
        <f>-0.895</f>
        <v>-0.89500000000000002</v>
      </c>
      <c r="H780">
        <f>0.481</f>
        <v>0.48099999999999998</v>
      </c>
    </row>
    <row r="781" spans="1:8" x14ac:dyDescent="0.25">
      <c r="A781" s="1">
        <v>43700</v>
      </c>
      <c r="B781">
        <f>2.0252</f>
        <v>2.0251999999999999</v>
      </c>
      <c r="C781">
        <f>1.5351</f>
        <v>1.5350999999999999</v>
      </c>
      <c r="D781">
        <f>1.5332</f>
        <v>1.5331999999999999</v>
      </c>
      <c r="E781">
        <f>-0.675</f>
        <v>-0.67500000000000004</v>
      </c>
      <c r="F781">
        <f>-0.127</f>
        <v>-0.127</v>
      </c>
      <c r="G781">
        <f>-0.892</f>
        <v>-0.89200000000000002</v>
      </c>
      <c r="H781">
        <f>0.481</f>
        <v>0.48099999999999998</v>
      </c>
    </row>
    <row r="782" spans="1:8" x14ac:dyDescent="0.25">
      <c r="A782" s="1">
        <v>43699</v>
      </c>
      <c r="B782">
        <f>2.1047</f>
        <v>2.1046999999999998</v>
      </c>
      <c r="C782">
        <f>1.6131</f>
        <v>1.6131</v>
      </c>
      <c r="D782">
        <f>1.6121</f>
        <v>1.6121000000000001</v>
      </c>
      <c r="E782">
        <f>-0.644</f>
        <v>-0.64400000000000002</v>
      </c>
      <c r="F782">
        <f>-0.101</f>
        <v>-0.10100000000000001</v>
      </c>
      <c r="G782">
        <f>-0.862</f>
        <v>-0.86199999999999999</v>
      </c>
      <c r="H782">
        <f>0.517</f>
        <v>0.51700000000000002</v>
      </c>
    </row>
    <row r="783" spans="1:8" x14ac:dyDescent="0.25">
      <c r="A783" s="1">
        <v>43698</v>
      </c>
      <c r="B783">
        <f>2.0723</f>
        <v>2.0722999999999998</v>
      </c>
      <c r="C783">
        <f>1.5893</f>
        <v>1.5892999999999999</v>
      </c>
      <c r="D783">
        <f>1.5733</f>
        <v>1.5732999999999999</v>
      </c>
      <c r="E783">
        <f>-0.67</f>
        <v>-0.67</v>
      </c>
      <c r="F783">
        <f>-0.143</f>
        <v>-0.14299999999999999</v>
      </c>
      <c r="G783">
        <f>-0.886</f>
        <v>-0.88600000000000001</v>
      </c>
      <c r="H783">
        <f>0.479</f>
        <v>0.47899999999999998</v>
      </c>
    </row>
    <row r="784" spans="1:8" x14ac:dyDescent="0.25">
      <c r="A784" s="1">
        <v>43697</v>
      </c>
      <c r="B784">
        <f>2.0375</f>
        <v>2.0375000000000001</v>
      </c>
      <c r="C784">
        <f>1.5555</f>
        <v>1.5555000000000001</v>
      </c>
      <c r="D784">
        <f>1.5123</f>
        <v>1.5123</v>
      </c>
      <c r="E784">
        <f>-0.69</f>
        <v>-0.69</v>
      </c>
      <c r="F784">
        <f>-0.175</f>
        <v>-0.17499999999999999</v>
      </c>
      <c r="G784">
        <f>-0.903</f>
        <v>-0.90300000000000002</v>
      </c>
      <c r="H784">
        <f>0.452</f>
        <v>0.45200000000000001</v>
      </c>
    </row>
    <row r="785" spans="1:8" x14ac:dyDescent="0.25">
      <c r="A785" s="1">
        <v>43696</v>
      </c>
      <c r="B785">
        <f>2.0874</f>
        <v>2.0874000000000001</v>
      </c>
      <c r="C785">
        <f>1.6063</f>
        <v>1.6063000000000001</v>
      </c>
      <c r="D785">
        <f>1.5453</f>
        <v>1.5452999999999999</v>
      </c>
      <c r="E785">
        <f>-0.648</f>
        <v>-0.64800000000000002</v>
      </c>
      <c r="F785">
        <f>-0.142</f>
        <v>-0.14199999999999999</v>
      </c>
      <c r="G785">
        <f>-0.898</f>
        <v>-0.89800000000000002</v>
      </c>
      <c r="H785">
        <f>0.47</f>
        <v>0.47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568A-BED2-4AB2-9097-E6EB33E2FC52}">
  <dimension ref="A1:G1075"/>
  <sheetViews>
    <sheetView workbookViewId="0">
      <selection activeCell="C37" sqref="C37"/>
    </sheetView>
  </sheetViews>
  <sheetFormatPr defaultRowHeight="15" x14ac:dyDescent="0.25"/>
  <cols>
    <col min="1" max="1" width="16" bestFit="1" customWidth="1"/>
    <col min="2" max="7" width="9.140625" bestFit="1" customWidth="1"/>
  </cols>
  <sheetData>
    <row r="1" spans="1:7" x14ac:dyDescent="0.25">
      <c r="A1" t="s">
        <v>0</v>
      </c>
      <c r="B1" t="s">
        <v>64</v>
      </c>
      <c r="C1" t="s">
        <v>63</v>
      </c>
      <c r="D1" t="s">
        <v>62</v>
      </c>
      <c r="E1" t="s">
        <v>61</v>
      </c>
      <c r="F1" t="s">
        <v>60</v>
      </c>
      <c r="G1" t="s">
        <v>59</v>
      </c>
    </row>
    <row r="2" spans="1:7" x14ac:dyDescent="0.25">
      <c r="B2" t="s">
        <v>58</v>
      </c>
      <c r="C2" t="s">
        <v>57</v>
      </c>
      <c r="D2" t="s">
        <v>56</v>
      </c>
      <c r="E2" t="s">
        <v>55</v>
      </c>
      <c r="F2" t="s">
        <v>54</v>
      </c>
      <c r="G2" t="s">
        <v>53</v>
      </c>
    </row>
    <row r="3" spans="1:7" x14ac:dyDescent="0.25">
      <c r="A3" s="1">
        <v>44790</v>
      </c>
      <c r="B3">
        <f>1766.92</f>
        <v>1766.92</v>
      </c>
      <c r="C3">
        <f>23498.5</f>
        <v>23498.5</v>
      </c>
      <c r="D3">
        <f>19.921</f>
        <v>19.920999999999999</v>
      </c>
      <c r="E3" t="e">
        <f>NA()</f>
        <v>#N/A</v>
      </c>
      <c r="F3" t="e">
        <f>NA()</f>
        <v>#N/A</v>
      </c>
      <c r="G3" t="e">
        <f>NA()</f>
        <v>#N/A</v>
      </c>
    </row>
    <row r="4" spans="1:7" x14ac:dyDescent="0.25">
      <c r="A4" s="1">
        <v>44789</v>
      </c>
      <c r="B4">
        <f>1775.69</f>
        <v>1775.69</v>
      </c>
      <c r="C4">
        <f>23984.02</f>
        <v>23984.02</v>
      </c>
      <c r="D4">
        <f>20.1482</f>
        <v>20.148199999999999</v>
      </c>
      <c r="E4">
        <f>410</f>
        <v>410</v>
      </c>
      <c r="F4">
        <f>544.7</f>
        <v>544.70000000000005</v>
      </c>
      <c r="G4">
        <f>304.8271</f>
        <v>304.82709999999997</v>
      </c>
    </row>
    <row r="5" spans="1:7" x14ac:dyDescent="0.25">
      <c r="A5" s="1">
        <v>44788</v>
      </c>
      <c r="B5">
        <f>1779.71</f>
        <v>1779.71</v>
      </c>
      <c r="C5">
        <f>24074.01</f>
        <v>24074.01</v>
      </c>
      <c r="D5">
        <f>20.2727</f>
        <v>20.2727</v>
      </c>
      <c r="E5" t="e">
        <f>NA()</f>
        <v>#N/A</v>
      </c>
      <c r="F5">
        <f>554.88</f>
        <v>554.88</v>
      </c>
      <c r="G5">
        <f>311.8997</f>
        <v>311.8997</v>
      </c>
    </row>
    <row r="6" spans="1:7" x14ac:dyDescent="0.25">
      <c r="A6" s="1">
        <v>44787</v>
      </c>
      <c r="B6" t="e">
        <f>NA()</f>
        <v>#N/A</v>
      </c>
      <c r="C6">
        <f>24322.8</f>
        <v>24322.799999999999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</row>
    <row r="7" spans="1:7" x14ac:dyDescent="0.25">
      <c r="A7" s="1">
        <v>44786</v>
      </c>
      <c r="B7" t="e">
        <f>NA()</f>
        <v>#N/A</v>
      </c>
      <c r="C7">
        <f>24494.84</f>
        <v>24494.84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</row>
    <row r="8" spans="1:7" x14ac:dyDescent="0.25">
      <c r="A8" s="1">
        <v>44785</v>
      </c>
      <c r="B8">
        <f>1802.4</f>
        <v>1802.4</v>
      </c>
      <c r="C8">
        <f>24240.76</f>
        <v>24240.76</v>
      </c>
      <c r="D8">
        <f>20.824</f>
        <v>20.824000000000002</v>
      </c>
      <c r="E8">
        <f>410</f>
        <v>410</v>
      </c>
      <c r="F8">
        <f>558.1</f>
        <v>558.1</v>
      </c>
      <c r="G8">
        <f>318.2182</f>
        <v>318.21820000000002</v>
      </c>
    </row>
    <row r="9" spans="1:7" x14ac:dyDescent="0.25">
      <c r="A9" s="1">
        <v>44784</v>
      </c>
      <c r="B9">
        <f>1789.72</f>
        <v>1789.72</v>
      </c>
      <c r="C9">
        <f>24216.28</f>
        <v>24216.28</v>
      </c>
      <c r="D9">
        <f>20.3115</f>
        <v>20.311499999999999</v>
      </c>
      <c r="E9">
        <f>410</f>
        <v>410</v>
      </c>
      <c r="F9">
        <f>560.64</f>
        <v>560.64</v>
      </c>
      <c r="G9">
        <f>315.3264</f>
        <v>315.32639999999998</v>
      </c>
    </row>
    <row r="10" spans="1:7" x14ac:dyDescent="0.25">
      <c r="A10" s="1">
        <v>44783</v>
      </c>
      <c r="B10">
        <f>1792.38</f>
        <v>1792.38</v>
      </c>
      <c r="C10">
        <f>23904.94</f>
        <v>23904.94</v>
      </c>
      <c r="D10">
        <f>20.5886</f>
        <v>20.5886</v>
      </c>
      <c r="E10">
        <f>410</f>
        <v>410</v>
      </c>
      <c r="F10">
        <f>551.62</f>
        <v>551.62</v>
      </c>
      <c r="G10">
        <f>310.6399</f>
        <v>310.63990000000001</v>
      </c>
    </row>
    <row r="11" spans="1:7" x14ac:dyDescent="0.25">
      <c r="A11" s="1">
        <v>44782</v>
      </c>
      <c r="B11">
        <f>1794.29</f>
        <v>1794.29</v>
      </c>
      <c r="C11">
        <f>23144.84</f>
        <v>23144.84</v>
      </c>
      <c r="D11">
        <f>20.5257</f>
        <v>20.525700000000001</v>
      </c>
      <c r="E11">
        <f>410</f>
        <v>410</v>
      </c>
      <c r="F11">
        <f>537.51</f>
        <v>537.51</v>
      </c>
      <c r="G11">
        <f>307.5726</f>
        <v>307.57260000000002</v>
      </c>
    </row>
    <row r="12" spans="1:7" x14ac:dyDescent="0.25">
      <c r="A12" s="1">
        <v>44781</v>
      </c>
      <c r="B12">
        <f>1788.96</f>
        <v>1788.96</v>
      </c>
      <c r="C12">
        <f>24072.39</f>
        <v>24072.39</v>
      </c>
      <c r="D12">
        <f>20.668</f>
        <v>20.667999999999999</v>
      </c>
      <c r="E12">
        <f>410</f>
        <v>410</v>
      </c>
      <c r="F12">
        <f>534.38</f>
        <v>534.38</v>
      </c>
      <c r="G12">
        <f>303.6319</f>
        <v>303.63189999999997</v>
      </c>
    </row>
    <row r="13" spans="1:7" x14ac:dyDescent="0.25">
      <c r="A13" s="1">
        <v>44780</v>
      </c>
      <c r="B13" t="e">
        <f>NA()</f>
        <v>#N/A</v>
      </c>
      <c r="C13">
        <f>23266.22</f>
        <v>23266.22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</row>
    <row r="14" spans="1:7" x14ac:dyDescent="0.25">
      <c r="A14" s="1">
        <v>44779</v>
      </c>
      <c r="B14" t="e">
        <f>NA()</f>
        <v>#N/A</v>
      </c>
      <c r="C14">
        <f>23174.48</f>
        <v>23174.48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</row>
    <row r="15" spans="1:7" x14ac:dyDescent="0.25">
      <c r="A15" s="1">
        <v>44778</v>
      </c>
      <c r="B15">
        <f>1775.5</f>
        <v>1775.5</v>
      </c>
      <c r="C15">
        <f>22985.34</f>
        <v>22985.34</v>
      </c>
      <c r="D15">
        <f>19.8953</f>
        <v>19.895299999999999</v>
      </c>
      <c r="E15">
        <f>410</f>
        <v>410</v>
      </c>
      <c r="F15">
        <f>529.02</f>
        <v>529.02</v>
      </c>
      <c r="G15">
        <f>304.0571</f>
        <v>304.05709999999999</v>
      </c>
    </row>
    <row r="16" spans="1:7" x14ac:dyDescent="0.25">
      <c r="A16" s="1">
        <v>44777</v>
      </c>
      <c r="B16">
        <f>1791.28</f>
        <v>1791.28</v>
      </c>
      <c r="C16">
        <f>22513.58</f>
        <v>22513.58</v>
      </c>
      <c r="D16">
        <f>20.1785</f>
        <v>20.1785</v>
      </c>
      <c r="E16">
        <f>410</f>
        <v>410</v>
      </c>
      <c r="F16">
        <f>530.96</f>
        <v>530.96</v>
      </c>
      <c r="G16">
        <f>304.3406</f>
        <v>304.34059999999999</v>
      </c>
    </row>
    <row r="17" spans="1:7" x14ac:dyDescent="0.25">
      <c r="A17" s="1">
        <v>44776</v>
      </c>
      <c r="B17">
        <f>1765.29</f>
        <v>1765.29</v>
      </c>
      <c r="C17">
        <f>23327.08</f>
        <v>23327.08</v>
      </c>
      <c r="D17">
        <f>20.063</f>
        <v>20.062999999999999</v>
      </c>
      <c r="E17">
        <f>410</f>
        <v>410</v>
      </c>
      <c r="F17">
        <f>518.24</f>
        <v>518.24</v>
      </c>
      <c r="G17">
        <f>296.4257</f>
        <v>296.42570000000001</v>
      </c>
    </row>
    <row r="18" spans="1:7" x14ac:dyDescent="0.25">
      <c r="A18" s="1">
        <v>44775</v>
      </c>
      <c r="B18">
        <f>1760.39</f>
        <v>1760.39</v>
      </c>
      <c r="C18">
        <f>23029.66</f>
        <v>23029.66</v>
      </c>
      <c r="D18">
        <f>19.978</f>
        <v>19.978000000000002</v>
      </c>
      <c r="E18">
        <f>410</f>
        <v>410</v>
      </c>
      <c r="F18">
        <f>525.7</f>
        <v>525.70000000000005</v>
      </c>
      <c r="G18">
        <f>298.7383</f>
        <v>298.73829999999998</v>
      </c>
    </row>
    <row r="19" spans="1:7" x14ac:dyDescent="0.25">
      <c r="A19" s="1">
        <v>44774</v>
      </c>
      <c r="B19">
        <f>1772.17</f>
        <v>1772.17</v>
      </c>
      <c r="C19">
        <f>23129.11</f>
        <v>23129.11</v>
      </c>
      <c r="D19">
        <f>20.3635</f>
        <v>20.363499999999998</v>
      </c>
      <c r="E19">
        <f>410</f>
        <v>410</v>
      </c>
      <c r="F19">
        <f>543</f>
        <v>543</v>
      </c>
      <c r="G19">
        <f>305.7599</f>
        <v>305.75990000000002</v>
      </c>
    </row>
    <row r="20" spans="1:7" x14ac:dyDescent="0.25">
      <c r="A20" s="1">
        <v>44773</v>
      </c>
      <c r="B20" t="e">
        <f>NA()</f>
        <v>#N/A</v>
      </c>
      <c r="C20">
        <f>23807.28</f>
        <v>23807.279999999999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</row>
    <row r="21" spans="1:7" x14ac:dyDescent="0.25">
      <c r="A21" s="1">
        <v>44772</v>
      </c>
      <c r="B21" t="e">
        <f>NA()</f>
        <v>#N/A</v>
      </c>
      <c r="C21">
        <f>23972.77</f>
        <v>23972.77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</row>
    <row r="22" spans="1:7" x14ac:dyDescent="0.25">
      <c r="A22" s="1">
        <v>44771</v>
      </c>
      <c r="B22">
        <f>1765.94</f>
        <v>1765.94</v>
      </c>
      <c r="C22">
        <f>23951.94</f>
        <v>23951.94</v>
      </c>
      <c r="D22">
        <f>20.3584</f>
        <v>20.3584</v>
      </c>
      <c r="E22">
        <f>410</f>
        <v>410</v>
      </c>
      <c r="F22">
        <f>548.09</f>
        <v>548.09</v>
      </c>
      <c r="G22">
        <f>313.0682</f>
        <v>313.06819999999999</v>
      </c>
    </row>
    <row r="23" spans="1:7" x14ac:dyDescent="0.25">
      <c r="A23" s="1">
        <v>44770</v>
      </c>
      <c r="B23">
        <f>1755.84</f>
        <v>1755.84</v>
      </c>
      <c r="C23">
        <f>24033.74</f>
        <v>24033.74</v>
      </c>
      <c r="D23">
        <f>20.0122</f>
        <v>20.0122</v>
      </c>
      <c r="E23">
        <f>410</f>
        <v>410</v>
      </c>
      <c r="F23">
        <f>554.37</f>
        <v>554.37</v>
      </c>
      <c r="G23">
        <f>311.9486</f>
        <v>311.9486</v>
      </c>
    </row>
    <row r="24" spans="1:7" x14ac:dyDescent="0.25">
      <c r="A24" s="1">
        <v>44769</v>
      </c>
      <c r="B24">
        <f>1734.19</f>
        <v>1734.19</v>
      </c>
      <c r="C24">
        <f>22784.97</f>
        <v>22784.97</v>
      </c>
      <c r="D24">
        <f>19.0876</f>
        <v>19.087599999999998</v>
      </c>
      <c r="E24">
        <f>410</f>
        <v>410</v>
      </c>
      <c r="F24">
        <f>536.22</f>
        <v>536.22</v>
      </c>
      <c r="G24">
        <f>304.0046</f>
        <v>304.00459999999998</v>
      </c>
    </row>
    <row r="25" spans="1:7" x14ac:dyDescent="0.25">
      <c r="A25" s="1">
        <v>44768</v>
      </c>
      <c r="B25">
        <f>1717.32</f>
        <v>1717.32</v>
      </c>
      <c r="C25">
        <f>20985.62</f>
        <v>20985.62</v>
      </c>
      <c r="D25">
        <f>18.6261</f>
        <v>18.626100000000001</v>
      </c>
      <c r="E25">
        <f>410</f>
        <v>410</v>
      </c>
      <c r="F25">
        <f>545.38</f>
        <v>545.38</v>
      </c>
      <c r="G25">
        <f>302.9782</f>
        <v>302.97820000000002</v>
      </c>
    </row>
    <row r="26" spans="1:7" x14ac:dyDescent="0.25">
      <c r="A26" s="1">
        <v>44767</v>
      </c>
      <c r="B26">
        <f>1719.78</f>
        <v>1719.78</v>
      </c>
      <c r="C26">
        <f>22171.68</f>
        <v>22171.68</v>
      </c>
      <c r="D26">
        <f>18.4389</f>
        <v>18.4389</v>
      </c>
      <c r="E26">
        <f>410</f>
        <v>410</v>
      </c>
      <c r="F26">
        <f>522.48</f>
        <v>522.48</v>
      </c>
      <c r="G26">
        <f>293.2122</f>
        <v>293.2122</v>
      </c>
    </row>
    <row r="27" spans="1:7" x14ac:dyDescent="0.25">
      <c r="A27" s="1">
        <v>44766</v>
      </c>
      <c r="B27" t="e">
        <f>NA()</f>
        <v>#N/A</v>
      </c>
      <c r="C27">
        <f>22723.53</f>
        <v>22723.53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</row>
    <row r="28" spans="1:7" x14ac:dyDescent="0.25">
      <c r="A28" s="1">
        <v>44765</v>
      </c>
      <c r="B28" t="e">
        <f>NA()</f>
        <v>#N/A</v>
      </c>
      <c r="C28">
        <f>22330.07</f>
        <v>22330.07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</row>
    <row r="29" spans="1:7" x14ac:dyDescent="0.25">
      <c r="A29" s="1">
        <v>44764</v>
      </c>
      <c r="B29">
        <f>1727.64</f>
        <v>1727.64</v>
      </c>
      <c r="C29">
        <f>22605.38</f>
        <v>22605.38</v>
      </c>
      <c r="D29">
        <f>18.5999</f>
        <v>18.599900000000002</v>
      </c>
      <c r="E29">
        <f>412</f>
        <v>412</v>
      </c>
      <c r="F29">
        <f>515.01</f>
        <v>515.01</v>
      </c>
      <c r="G29">
        <f>286.5771</f>
        <v>286.57709999999997</v>
      </c>
    </row>
    <row r="30" spans="1:7" x14ac:dyDescent="0.25">
      <c r="A30" s="1">
        <v>44763</v>
      </c>
      <c r="B30">
        <f>1718.81</f>
        <v>1718.81</v>
      </c>
      <c r="C30">
        <f>23123.88</f>
        <v>23123.88</v>
      </c>
      <c r="D30">
        <f>18.8587</f>
        <v>18.858699999999999</v>
      </c>
      <c r="E30">
        <f>420</f>
        <v>420</v>
      </c>
      <c r="F30">
        <f>547.07</f>
        <v>547.07000000000005</v>
      </c>
      <c r="G30">
        <f>292.4637</f>
        <v>292.46370000000002</v>
      </c>
    </row>
    <row r="31" spans="1:7" x14ac:dyDescent="0.25">
      <c r="A31" s="1">
        <v>44762</v>
      </c>
      <c r="B31">
        <f>1696.58</f>
        <v>1696.58</v>
      </c>
      <c r="C31">
        <f>23258.12</f>
        <v>23258.12</v>
      </c>
      <c r="D31">
        <f>18.6789</f>
        <v>18.678899999999999</v>
      </c>
      <c r="E31">
        <f>423</f>
        <v>423</v>
      </c>
      <c r="F31">
        <f>556.06</f>
        <v>556.05999999999995</v>
      </c>
      <c r="G31">
        <f>299.0136</f>
        <v>299.0136</v>
      </c>
    </row>
    <row r="32" spans="1:7" x14ac:dyDescent="0.25">
      <c r="A32" s="1">
        <v>44761</v>
      </c>
      <c r="B32">
        <f>1711.67</f>
        <v>1711.67</v>
      </c>
      <c r="C32">
        <f>23304.71</f>
        <v>23304.71</v>
      </c>
      <c r="D32">
        <f>18.7609</f>
        <v>18.760899999999999</v>
      </c>
      <c r="E32">
        <f>423</f>
        <v>423</v>
      </c>
      <c r="F32">
        <f>551.14</f>
        <v>551.14</v>
      </c>
      <c r="G32">
        <f>301.2447</f>
        <v>301.24470000000002</v>
      </c>
    </row>
    <row r="33" spans="1:7" x14ac:dyDescent="0.25">
      <c r="A33" s="1">
        <v>44760</v>
      </c>
      <c r="B33">
        <f>1709.22</f>
        <v>1709.22</v>
      </c>
      <c r="C33">
        <f>21487.97</f>
        <v>21487.97</v>
      </c>
      <c r="D33">
        <f>18.6985</f>
        <v>18.698499999999999</v>
      </c>
      <c r="E33">
        <f>423</f>
        <v>423</v>
      </c>
      <c r="F33">
        <f>551.48</f>
        <v>551.48</v>
      </c>
      <c r="G33">
        <f>305.8546</f>
        <v>305.8546</v>
      </c>
    </row>
    <row r="34" spans="1:7" x14ac:dyDescent="0.25">
      <c r="A34" s="1">
        <v>44759</v>
      </c>
      <c r="B34" t="e">
        <f>NA()</f>
        <v>#N/A</v>
      </c>
      <c r="C34">
        <f>20930.58</f>
        <v>20930.580000000002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</row>
    <row r="35" spans="1:7" x14ac:dyDescent="0.25">
      <c r="A35" s="1">
        <v>44758</v>
      </c>
      <c r="B35" t="e">
        <f>NA()</f>
        <v>#N/A</v>
      </c>
      <c r="C35">
        <f>21204.61</f>
        <v>21204.61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</row>
    <row r="36" spans="1:7" x14ac:dyDescent="0.25">
      <c r="A36" s="1">
        <v>44757</v>
      </c>
      <c r="B36">
        <f>1708.17</f>
        <v>1708.17</v>
      </c>
      <c r="C36">
        <f>20926.53</f>
        <v>20926.53</v>
      </c>
      <c r="D36">
        <f>18.7131</f>
        <v>18.713100000000001</v>
      </c>
      <c r="E36">
        <f>423</f>
        <v>423</v>
      </c>
      <c r="F36">
        <f>527.06</f>
        <v>527.05999999999995</v>
      </c>
      <c r="G36">
        <f>297.4915</f>
        <v>297.49149999999997</v>
      </c>
    </row>
    <row r="37" spans="1:7" x14ac:dyDescent="0.25">
      <c r="A37" s="1">
        <v>44756</v>
      </c>
      <c r="B37">
        <f>1709.94</f>
        <v>1709.94</v>
      </c>
      <c r="C37">
        <f>20667.93</f>
        <v>20667.93</v>
      </c>
      <c r="D37">
        <f>18.4248</f>
        <v>18.424800000000001</v>
      </c>
      <c r="E37">
        <f>428</f>
        <v>428</v>
      </c>
      <c r="F37">
        <f>539.44</f>
        <v>539.44000000000005</v>
      </c>
      <c r="G37">
        <f>299.2743</f>
        <v>299.27429999999998</v>
      </c>
    </row>
    <row r="38" spans="1:7" x14ac:dyDescent="0.25">
      <c r="A38" s="1">
        <v>44755</v>
      </c>
      <c r="B38">
        <f>1735.51</f>
        <v>1735.51</v>
      </c>
      <c r="C38">
        <f>19657.01</f>
        <v>19657.009999999998</v>
      </c>
      <c r="D38">
        <f>19.2155</f>
        <v>19.215499999999999</v>
      </c>
      <c r="E38">
        <f>430</f>
        <v>430</v>
      </c>
      <c r="F38">
        <f>550.13</f>
        <v>550.13</v>
      </c>
      <c r="G38">
        <f>300.7363</f>
        <v>300.73630000000003</v>
      </c>
    </row>
    <row r="39" spans="1:7" x14ac:dyDescent="0.25">
      <c r="A39" s="1">
        <v>44754</v>
      </c>
      <c r="B39">
        <f>1726</f>
        <v>1726</v>
      </c>
      <c r="C39">
        <f>19443.28</f>
        <v>19443.28</v>
      </c>
      <c r="D39">
        <f>18.9375</f>
        <v>18.9375</v>
      </c>
      <c r="E39">
        <f>430</f>
        <v>430</v>
      </c>
      <c r="F39">
        <f>552.5</f>
        <v>552.5</v>
      </c>
      <c r="G39">
        <f>299.6669</f>
        <v>299.6669</v>
      </c>
    </row>
    <row r="40" spans="1:7" x14ac:dyDescent="0.25">
      <c r="A40" s="1">
        <v>44753</v>
      </c>
      <c r="B40">
        <f>1733.96</f>
        <v>1733.96</v>
      </c>
      <c r="C40">
        <f>20409.54</f>
        <v>20409.54</v>
      </c>
      <c r="D40">
        <f>19.122</f>
        <v>19.122</v>
      </c>
      <c r="E40">
        <f>430</f>
        <v>430</v>
      </c>
      <c r="F40">
        <f>581.17</f>
        <v>581.16999999999996</v>
      </c>
      <c r="G40">
        <f>316.8186</f>
        <v>316.8186</v>
      </c>
    </row>
    <row r="41" spans="1:7" x14ac:dyDescent="0.25">
      <c r="A41" s="1">
        <v>44752</v>
      </c>
      <c r="B41" t="e">
        <f>NA()</f>
        <v>#N/A</v>
      </c>
      <c r="C41">
        <f>20972.87</f>
        <v>20972.87</v>
      </c>
      <c r="D41" t="e">
        <f>NA()</f>
        <v>#N/A</v>
      </c>
      <c r="E41" t="e">
        <f>NA()</f>
        <v>#N/A</v>
      </c>
      <c r="F41" t="e">
        <f>NA()</f>
        <v>#N/A</v>
      </c>
      <c r="G41" t="e">
        <f>NA()</f>
        <v>#N/A</v>
      </c>
    </row>
    <row r="42" spans="1:7" x14ac:dyDescent="0.25">
      <c r="A42" s="1">
        <v>44751</v>
      </c>
      <c r="B42" t="e">
        <f>NA()</f>
        <v>#N/A</v>
      </c>
      <c r="C42">
        <f>21672.98</f>
        <v>21672.98</v>
      </c>
      <c r="D42" t="e">
        <f>NA()</f>
        <v>#N/A</v>
      </c>
      <c r="E42" t="e">
        <f>NA()</f>
        <v>#N/A</v>
      </c>
      <c r="F42" t="e">
        <f>NA()</f>
        <v>#N/A</v>
      </c>
      <c r="G42" t="e">
        <f>NA()</f>
        <v>#N/A</v>
      </c>
    </row>
    <row r="43" spans="1:7" x14ac:dyDescent="0.25">
      <c r="A43" s="1">
        <v>44750</v>
      </c>
      <c r="B43">
        <f>1742.48</f>
        <v>1742.48</v>
      </c>
      <c r="C43">
        <f>21846.53</f>
        <v>21846.53</v>
      </c>
      <c r="D43">
        <f>19.315</f>
        <v>19.315000000000001</v>
      </c>
      <c r="E43">
        <f>440</f>
        <v>440</v>
      </c>
      <c r="F43">
        <f>604.92</f>
        <v>604.91999999999996</v>
      </c>
      <c r="G43">
        <f>319.2283</f>
        <v>319.22829999999999</v>
      </c>
    </row>
    <row r="44" spans="1:7" x14ac:dyDescent="0.25">
      <c r="A44" s="1">
        <v>44749</v>
      </c>
      <c r="B44">
        <f>1740.16</f>
        <v>1740.16</v>
      </c>
      <c r="C44">
        <f>21610.58</f>
        <v>21610.58</v>
      </c>
      <c r="D44">
        <f>19.22</f>
        <v>19.22</v>
      </c>
      <c r="E44">
        <f>433</f>
        <v>433</v>
      </c>
      <c r="F44">
        <f>567.6</f>
        <v>567.6</v>
      </c>
      <c r="G44">
        <f>306.4504</f>
        <v>306.4504</v>
      </c>
    </row>
    <row r="45" spans="1:7" x14ac:dyDescent="0.25">
      <c r="A45" s="1">
        <v>44748</v>
      </c>
      <c r="B45">
        <f>1738.86</f>
        <v>1738.86</v>
      </c>
      <c r="C45">
        <f>20380</f>
        <v>20380</v>
      </c>
      <c r="D45">
        <f>19.208</f>
        <v>19.207999999999998</v>
      </c>
      <c r="E45">
        <f>433</f>
        <v>433</v>
      </c>
      <c r="F45">
        <f>545.89</f>
        <v>545.89</v>
      </c>
      <c r="G45">
        <f>297.7365</f>
        <v>297.73649999999998</v>
      </c>
    </row>
    <row r="46" spans="1:7" x14ac:dyDescent="0.25">
      <c r="A46" s="1">
        <v>44747</v>
      </c>
      <c r="B46">
        <f>1764.76</f>
        <v>1764.76</v>
      </c>
      <c r="C46">
        <f>20441.63</f>
        <v>20441.63</v>
      </c>
      <c r="D46">
        <f>19.2145</f>
        <v>19.214500000000001</v>
      </c>
      <c r="E46">
        <f>435</f>
        <v>435</v>
      </c>
      <c r="F46">
        <f>547.58</f>
        <v>547.58000000000004</v>
      </c>
      <c r="G46">
        <f>296.5195</f>
        <v>296.51949999999999</v>
      </c>
    </row>
    <row r="47" spans="1:7" x14ac:dyDescent="0.25">
      <c r="A47" s="1">
        <v>44746</v>
      </c>
      <c r="B47">
        <f>1808.15</f>
        <v>1808.15</v>
      </c>
      <c r="C47">
        <f>19755.85</f>
        <v>19755.849999999999</v>
      </c>
      <c r="D47">
        <f>19.9861</f>
        <v>19.9861</v>
      </c>
      <c r="E47">
        <f>450</f>
        <v>450</v>
      </c>
      <c r="F47" t="e">
        <f>NA()</f>
        <v>#N/A</v>
      </c>
      <c r="G47" t="e">
        <f>NA()</f>
        <v>#N/A</v>
      </c>
    </row>
    <row r="48" spans="1:7" x14ac:dyDescent="0.25">
      <c r="A48" s="1">
        <v>44745</v>
      </c>
      <c r="B48" t="e">
        <f>NA()</f>
        <v>#N/A</v>
      </c>
      <c r="C48">
        <f>19420.48</f>
        <v>19420.48</v>
      </c>
      <c r="D48" t="e">
        <f>NA()</f>
        <v>#N/A</v>
      </c>
      <c r="E48" t="e">
        <f>NA()</f>
        <v>#N/A</v>
      </c>
      <c r="F48" t="e">
        <f>NA()</f>
        <v>#N/A</v>
      </c>
      <c r="G48" t="e">
        <f>NA()</f>
        <v>#N/A</v>
      </c>
    </row>
    <row r="49" spans="1:7" x14ac:dyDescent="0.25">
      <c r="A49" s="1">
        <v>44744</v>
      </c>
      <c r="B49" t="e">
        <f>NA()</f>
        <v>#N/A</v>
      </c>
      <c r="C49">
        <f>19238.99</f>
        <v>19238.990000000002</v>
      </c>
      <c r="D49" t="e">
        <f>NA()</f>
        <v>#N/A</v>
      </c>
      <c r="E49" t="e">
        <f>NA()</f>
        <v>#N/A</v>
      </c>
      <c r="F49" t="e">
        <f>NA()</f>
        <v>#N/A</v>
      </c>
      <c r="G49" t="e">
        <f>NA()</f>
        <v>#N/A</v>
      </c>
    </row>
    <row r="50" spans="1:7" x14ac:dyDescent="0.25">
      <c r="A50" s="1">
        <v>44743</v>
      </c>
      <c r="B50">
        <f>1811.43</f>
        <v>1811.43</v>
      </c>
      <c r="C50">
        <f>19406.69</f>
        <v>19406.689999999999</v>
      </c>
      <c r="D50">
        <f>19.8765</f>
        <v>19.8765</v>
      </c>
      <c r="E50">
        <f>450</f>
        <v>450</v>
      </c>
      <c r="F50">
        <f>574.05</f>
        <v>574.04999999999995</v>
      </c>
      <c r="G50">
        <f>312.2693</f>
        <v>312.26929999999999</v>
      </c>
    </row>
    <row r="51" spans="1:7" x14ac:dyDescent="0.25">
      <c r="A51" s="1">
        <v>44742</v>
      </c>
      <c r="B51">
        <f>1807.27</f>
        <v>1807.27</v>
      </c>
      <c r="C51">
        <f>18731.3</f>
        <v>18731.3</v>
      </c>
      <c r="D51">
        <f>20.279</f>
        <v>20.279</v>
      </c>
      <c r="E51">
        <f>460</f>
        <v>460</v>
      </c>
      <c r="F51">
        <f>599.83</f>
        <v>599.83000000000004</v>
      </c>
      <c r="G51">
        <f>322.9412</f>
        <v>322.94119999999998</v>
      </c>
    </row>
    <row r="52" spans="1:7" x14ac:dyDescent="0.25">
      <c r="A52" s="1">
        <v>44741</v>
      </c>
      <c r="B52">
        <f>1817.73</f>
        <v>1817.73</v>
      </c>
      <c r="C52">
        <f>20197.75</f>
        <v>20197.75</v>
      </c>
      <c r="D52">
        <f>20.744</f>
        <v>20.744</v>
      </c>
      <c r="E52">
        <f>470</f>
        <v>470</v>
      </c>
      <c r="F52">
        <f>631.04</f>
        <v>631.04</v>
      </c>
      <c r="G52">
        <f>335.4554</f>
        <v>335.4554</v>
      </c>
    </row>
    <row r="53" spans="1:7" x14ac:dyDescent="0.25">
      <c r="A53" s="1">
        <v>44740</v>
      </c>
      <c r="B53">
        <f>1820.01</f>
        <v>1820.01</v>
      </c>
      <c r="C53">
        <f>20247.7</f>
        <v>20247.7</v>
      </c>
      <c r="D53">
        <f>20.84</f>
        <v>20.84</v>
      </c>
      <c r="E53">
        <f>470</f>
        <v>470</v>
      </c>
      <c r="F53">
        <f>635.11</f>
        <v>635.11</v>
      </c>
      <c r="G53">
        <f>335.609</f>
        <v>335.60899999999998</v>
      </c>
    </row>
    <row r="54" spans="1:7" x14ac:dyDescent="0.25">
      <c r="A54" s="1">
        <v>44739</v>
      </c>
      <c r="B54">
        <f>1822.85</f>
        <v>1822.85</v>
      </c>
      <c r="C54">
        <f>20898.65</f>
        <v>20898.650000000001</v>
      </c>
      <c r="D54">
        <f>21.161</f>
        <v>21.161000000000001</v>
      </c>
      <c r="E54">
        <f>470</f>
        <v>470</v>
      </c>
      <c r="F54">
        <f>622.56</f>
        <v>622.55999999999995</v>
      </c>
      <c r="G54">
        <f>330.0525</f>
        <v>330.05250000000001</v>
      </c>
    </row>
    <row r="55" spans="1:7" x14ac:dyDescent="0.25">
      <c r="A55" s="1">
        <v>44738</v>
      </c>
      <c r="B55" t="e">
        <f>NA()</f>
        <v>#N/A</v>
      </c>
      <c r="C55">
        <f>21392.35</f>
        <v>21392.35</v>
      </c>
      <c r="D55" t="e">
        <f>NA()</f>
        <v>#N/A</v>
      </c>
      <c r="E55" t="e">
        <f>NA()</f>
        <v>#N/A</v>
      </c>
      <c r="F55" t="e">
        <f>NA()</f>
        <v>#N/A</v>
      </c>
      <c r="G55" t="e">
        <f>NA()</f>
        <v>#N/A</v>
      </c>
    </row>
    <row r="56" spans="1:7" x14ac:dyDescent="0.25">
      <c r="A56" s="1">
        <v>44737</v>
      </c>
      <c r="B56" t="e">
        <f>NA()</f>
        <v>#N/A</v>
      </c>
      <c r="C56">
        <f>21214.51</f>
        <v>21214.51</v>
      </c>
      <c r="D56" t="e">
        <f>NA()</f>
        <v>#N/A</v>
      </c>
      <c r="E56" t="e">
        <f>NA()</f>
        <v>#N/A</v>
      </c>
      <c r="F56" t="e">
        <f>NA()</f>
        <v>#N/A</v>
      </c>
      <c r="G56" t="e">
        <f>NA()</f>
        <v>#N/A</v>
      </c>
    </row>
    <row r="57" spans="1:7" x14ac:dyDescent="0.25">
      <c r="A57" s="1">
        <v>44736</v>
      </c>
      <c r="B57">
        <f>1826.88</f>
        <v>1826.88</v>
      </c>
      <c r="C57">
        <f>21183.82</f>
        <v>21183.82</v>
      </c>
      <c r="D57">
        <f>21.1645</f>
        <v>21.1645</v>
      </c>
      <c r="E57">
        <f>475</f>
        <v>475</v>
      </c>
      <c r="F57">
        <f>635.45</f>
        <v>635.45000000000005</v>
      </c>
      <c r="G57">
        <f>335.236</f>
        <v>335.23599999999999</v>
      </c>
    </row>
    <row r="58" spans="1:7" x14ac:dyDescent="0.25">
      <c r="A58" s="1">
        <v>44735</v>
      </c>
      <c r="B58">
        <f>1822.77</f>
        <v>1822.77</v>
      </c>
      <c r="C58">
        <f>20795.38</f>
        <v>20795.38</v>
      </c>
      <c r="D58">
        <f>20.954</f>
        <v>20.954000000000001</v>
      </c>
      <c r="E58">
        <f>470</f>
        <v>470</v>
      </c>
      <c r="F58">
        <f>644.1</f>
        <v>644.1</v>
      </c>
      <c r="G58">
        <f>333.2069</f>
        <v>333.20690000000002</v>
      </c>
    </row>
    <row r="59" spans="1:7" x14ac:dyDescent="0.25">
      <c r="A59" s="1">
        <v>44734</v>
      </c>
      <c r="B59">
        <f>1837.72</f>
        <v>1837.72</v>
      </c>
      <c r="C59">
        <f>19857.05</f>
        <v>19857.05</v>
      </c>
      <c r="D59">
        <f>21.4187</f>
        <v>21.418700000000001</v>
      </c>
      <c r="E59">
        <f>480</f>
        <v>480</v>
      </c>
      <c r="F59">
        <f>670.91</f>
        <v>670.91</v>
      </c>
      <c r="G59">
        <f>348.2449</f>
        <v>348.24489999999997</v>
      </c>
    </row>
    <row r="60" spans="1:7" x14ac:dyDescent="0.25">
      <c r="A60" s="1">
        <v>44733</v>
      </c>
      <c r="B60">
        <f>1832.98</f>
        <v>1832.98</v>
      </c>
      <c r="C60">
        <f>20838.45</f>
        <v>20838.45</v>
      </c>
      <c r="D60">
        <f>21.687</f>
        <v>21.687000000000001</v>
      </c>
      <c r="E60">
        <f>476</f>
        <v>476</v>
      </c>
      <c r="F60">
        <f>669.89</f>
        <v>669.89</v>
      </c>
      <c r="G60">
        <f>352.1319</f>
        <v>352.13189999999997</v>
      </c>
    </row>
    <row r="61" spans="1:7" x14ac:dyDescent="0.25">
      <c r="A61" s="1">
        <v>44732</v>
      </c>
      <c r="B61">
        <f>1838.74</f>
        <v>1838.74</v>
      </c>
      <c r="C61">
        <f>20427.23</f>
        <v>20427.23</v>
      </c>
      <c r="D61">
        <f>21.7475</f>
        <v>21.747499999999999</v>
      </c>
      <c r="E61" t="e">
        <f>NA()</f>
        <v>#N/A</v>
      </c>
      <c r="F61" t="e">
        <f>NA()</f>
        <v>#N/A</v>
      </c>
      <c r="G61" t="e">
        <f>NA()</f>
        <v>#N/A</v>
      </c>
    </row>
    <row r="62" spans="1:7" x14ac:dyDescent="0.25">
      <c r="A62" s="1">
        <v>44731</v>
      </c>
      <c r="B62" t="e">
        <f>NA()</f>
        <v>#N/A</v>
      </c>
      <c r="C62">
        <f>20607.54</f>
        <v>20607.54</v>
      </c>
      <c r="D62" t="e">
        <f>NA()</f>
        <v>#N/A</v>
      </c>
      <c r="E62" t="e">
        <f>NA()</f>
        <v>#N/A</v>
      </c>
      <c r="F62" t="e">
        <f>NA()</f>
        <v>#N/A</v>
      </c>
      <c r="G62" t="e">
        <f>NA()</f>
        <v>#N/A</v>
      </c>
    </row>
    <row r="63" spans="1:7" x14ac:dyDescent="0.25">
      <c r="A63" s="1">
        <v>44730</v>
      </c>
      <c r="B63" t="e">
        <f>NA()</f>
        <v>#N/A</v>
      </c>
      <c r="C63">
        <f>17785.09</f>
        <v>17785.09</v>
      </c>
      <c r="D63" t="e">
        <f>NA()</f>
        <v>#N/A</v>
      </c>
      <c r="E63" t="e">
        <f>NA()</f>
        <v>#N/A</v>
      </c>
      <c r="F63" t="e">
        <f>NA()</f>
        <v>#N/A</v>
      </c>
      <c r="G63" t="e">
        <f>NA()</f>
        <v>#N/A</v>
      </c>
    </row>
    <row r="64" spans="1:7" x14ac:dyDescent="0.25">
      <c r="A64" s="1">
        <v>44729</v>
      </c>
      <c r="B64">
        <f>1839.39</f>
        <v>1839.39</v>
      </c>
      <c r="C64">
        <f>20630.54</f>
        <v>20630.54</v>
      </c>
      <c r="D64">
        <f>21.6735</f>
        <v>21.673500000000001</v>
      </c>
      <c r="E64" t="e">
        <f>NA()</f>
        <v>#N/A</v>
      </c>
      <c r="F64">
        <f>710.26</f>
        <v>710.26</v>
      </c>
      <c r="G64">
        <f>365.944</f>
        <v>365.94400000000002</v>
      </c>
    </row>
    <row r="65" spans="1:7" x14ac:dyDescent="0.25">
      <c r="A65" s="1">
        <v>44728</v>
      </c>
      <c r="B65">
        <f>1857.33</f>
        <v>1857.33</v>
      </c>
      <c r="C65">
        <f>20677.24</f>
        <v>20677.240000000002</v>
      </c>
      <c r="D65">
        <f>21.9558</f>
        <v>21.9558</v>
      </c>
      <c r="E65">
        <f>491</f>
        <v>491</v>
      </c>
      <c r="F65">
        <f>739.95</f>
        <v>739.95</v>
      </c>
      <c r="G65">
        <f>371.9538</f>
        <v>371.9538</v>
      </c>
    </row>
    <row r="66" spans="1:7" x14ac:dyDescent="0.25">
      <c r="A66" s="1">
        <v>44727</v>
      </c>
      <c r="B66">
        <f>1833.82</f>
        <v>1833.82</v>
      </c>
      <c r="C66">
        <f>21640.29</f>
        <v>21640.29</v>
      </c>
      <c r="D66">
        <f>21.688</f>
        <v>21.687999999999999</v>
      </c>
      <c r="E66">
        <f>491</f>
        <v>491</v>
      </c>
      <c r="F66">
        <f>721.63</f>
        <v>721.63</v>
      </c>
      <c r="G66">
        <f>365.6764</f>
        <v>365.6764</v>
      </c>
    </row>
    <row r="67" spans="1:7" x14ac:dyDescent="0.25">
      <c r="A67" s="1">
        <v>44726</v>
      </c>
      <c r="B67">
        <f>1808.49</f>
        <v>1808.49</v>
      </c>
      <c r="C67">
        <f>21966.38</f>
        <v>21966.38</v>
      </c>
      <c r="D67">
        <f>21.0485</f>
        <v>21.048500000000001</v>
      </c>
      <c r="E67">
        <f>492</f>
        <v>492</v>
      </c>
      <c r="F67">
        <f>722.82</f>
        <v>722.82</v>
      </c>
      <c r="G67">
        <f>366.3858</f>
        <v>366.38580000000002</v>
      </c>
    </row>
    <row r="68" spans="1:7" x14ac:dyDescent="0.25">
      <c r="A68" s="1">
        <v>44725</v>
      </c>
      <c r="B68">
        <f>1819.26</f>
        <v>1819.26</v>
      </c>
      <c r="C68">
        <f>23209.61</f>
        <v>23209.61</v>
      </c>
      <c r="D68">
        <f>21.0782</f>
        <v>21.078199999999999</v>
      </c>
      <c r="E68">
        <f>492</f>
        <v>492</v>
      </c>
      <c r="F68">
        <f>736.9</f>
        <v>736.9</v>
      </c>
      <c r="G68">
        <f>373.2819</f>
        <v>373.28190000000001</v>
      </c>
    </row>
    <row r="69" spans="1:7" x14ac:dyDescent="0.25">
      <c r="A69" s="1">
        <v>44724</v>
      </c>
      <c r="B69" t="e">
        <f>NA()</f>
        <v>#N/A</v>
      </c>
      <c r="C69">
        <f>27345.79</f>
        <v>27345.79</v>
      </c>
      <c r="D69" t="e">
        <f>NA()</f>
        <v>#N/A</v>
      </c>
      <c r="E69" t="e">
        <f>NA()</f>
        <v>#N/A</v>
      </c>
      <c r="F69" t="e">
        <f>NA()</f>
        <v>#N/A</v>
      </c>
      <c r="G69" t="e">
        <f>NA()</f>
        <v>#N/A</v>
      </c>
    </row>
    <row r="70" spans="1:7" x14ac:dyDescent="0.25">
      <c r="A70" s="1">
        <v>44723</v>
      </c>
      <c r="B70" t="e">
        <f>NA()</f>
        <v>#N/A</v>
      </c>
      <c r="C70">
        <f>28380.38</f>
        <v>28380.38</v>
      </c>
      <c r="D70" t="e">
        <f>NA()</f>
        <v>#N/A</v>
      </c>
      <c r="E70" t="e">
        <f>NA()</f>
        <v>#N/A</v>
      </c>
      <c r="F70" t="e">
        <f>NA()</f>
        <v>#N/A</v>
      </c>
      <c r="G70" t="e">
        <f>NA()</f>
        <v>#N/A</v>
      </c>
    </row>
    <row r="71" spans="1:7" x14ac:dyDescent="0.25">
      <c r="A71" s="1">
        <v>44722</v>
      </c>
      <c r="B71">
        <f>1871.6</f>
        <v>1871.6</v>
      </c>
      <c r="C71">
        <f>29177.39</f>
        <v>29177.39</v>
      </c>
      <c r="D71">
        <f>21.8895</f>
        <v>21.889500000000002</v>
      </c>
      <c r="E71">
        <f>496</f>
        <v>496</v>
      </c>
      <c r="F71">
        <f>734.15</f>
        <v>734.15</v>
      </c>
      <c r="G71">
        <f>380.2778</f>
        <v>380.27780000000001</v>
      </c>
    </row>
    <row r="72" spans="1:7" x14ac:dyDescent="0.25">
      <c r="A72" s="1">
        <v>44721</v>
      </c>
      <c r="B72">
        <f>1847.95</f>
        <v>1847.95</v>
      </c>
      <c r="C72">
        <f>30161.34</f>
        <v>30161.34</v>
      </c>
      <c r="D72">
        <f>21.6917</f>
        <v>21.691700000000001</v>
      </c>
      <c r="E72">
        <f>496</f>
        <v>496</v>
      </c>
      <c r="F72">
        <f>732.38</f>
        <v>732.38</v>
      </c>
      <c r="G72">
        <f>385.1128</f>
        <v>385.11279999999999</v>
      </c>
    </row>
    <row r="73" spans="1:7" x14ac:dyDescent="0.25">
      <c r="A73" s="1">
        <v>44720</v>
      </c>
      <c r="B73">
        <f>1853.36</f>
        <v>1853.36</v>
      </c>
      <c r="C73">
        <f>30179.77</f>
        <v>30179.77</v>
      </c>
      <c r="D73">
        <f>22.0521</f>
        <v>22.052099999999999</v>
      </c>
      <c r="E73">
        <f>494</f>
        <v>494</v>
      </c>
      <c r="F73">
        <f>732.93</f>
        <v>732.93</v>
      </c>
      <c r="G73">
        <f>386.3284</f>
        <v>386.32839999999999</v>
      </c>
    </row>
    <row r="74" spans="1:7" x14ac:dyDescent="0.25">
      <c r="A74" s="1">
        <v>44719</v>
      </c>
      <c r="B74">
        <f>1852.37</f>
        <v>1852.37</v>
      </c>
      <c r="C74">
        <f>31330.81</f>
        <v>31330.81</v>
      </c>
      <c r="D74">
        <f>22.235</f>
        <v>22.234999999999999</v>
      </c>
      <c r="E74">
        <f>491</f>
        <v>491</v>
      </c>
      <c r="F74">
        <f>728.96</f>
        <v>728.96</v>
      </c>
      <c r="G74">
        <f>387.3676</f>
        <v>387.36759999999998</v>
      </c>
    </row>
    <row r="75" spans="1:7" x14ac:dyDescent="0.25">
      <c r="A75" s="1">
        <v>44718</v>
      </c>
      <c r="B75">
        <f>1841.43</f>
        <v>1841.43</v>
      </c>
      <c r="C75">
        <f>31438.72</f>
        <v>31438.720000000001</v>
      </c>
      <c r="D75">
        <f>22.0725</f>
        <v>22.072500000000002</v>
      </c>
      <c r="E75">
        <f>490</f>
        <v>490</v>
      </c>
      <c r="F75">
        <f>741.65</f>
        <v>741.65</v>
      </c>
      <c r="G75">
        <f>384.96</f>
        <v>384.96</v>
      </c>
    </row>
    <row r="76" spans="1:7" x14ac:dyDescent="0.25">
      <c r="A76" s="1">
        <v>44717</v>
      </c>
      <c r="B76" t="e">
        <f>NA()</f>
        <v>#N/A</v>
      </c>
      <c r="C76">
        <f>29925.66</f>
        <v>29925.66</v>
      </c>
      <c r="D76" t="e">
        <f>NA()</f>
        <v>#N/A</v>
      </c>
      <c r="E76" t="e">
        <f>NA()</f>
        <v>#N/A</v>
      </c>
      <c r="F76" t="e">
        <f>NA()</f>
        <v>#N/A</v>
      </c>
      <c r="G76" t="e">
        <f>NA()</f>
        <v>#N/A</v>
      </c>
    </row>
    <row r="77" spans="1:7" x14ac:dyDescent="0.25">
      <c r="A77" s="1">
        <v>44716</v>
      </c>
      <c r="B77" t="e">
        <f>NA()</f>
        <v>#N/A</v>
      </c>
      <c r="C77">
        <f>29733.76</f>
        <v>29733.759999999998</v>
      </c>
      <c r="D77" t="e">
        <f>NA()</f>
        <v>#N/A</v>
      </c>
      <c r="E77" t="e">
        <f>NA()</f>
        <v>#N/A</v>
      </c>
      <c r="F77" t="e">
        <f>NA()</f>
        <v>#N/A</v>
      </c>
      <c r="G77" t="e">
        <f>NA()</f>
        <v>#N/A</v>
      </c>
    </row>
    <row r="78" spans="1:7" x14ac:dyDescent="0.25">
      <c r="A78" s="1">
        <v>44715</v>
      </c>
      <c r="B78">
        <f>1851.19</f>
        <v>1851.19</v>
      </c>
      <c r="C78">
        <f>29640.5</f>
        <v>29640.5</v>
      </c>
      <c r="D78">
        <f>21.9255</f>
        <v>21.9255</v>
      </c>
      <c r="E78">
        <f>490</f>
        <v>490</v>
      </c>
      <c r="F78">
        <f>705.68</f>
        <v>705.68</v>
      </c>
      <c r="G78">
        <f>376.4283</f>
        <v>376.42829999999998</v>
      </c>
    </row>
    <row r="79" spans="1:7" x14ac:dyDescent="0.25">
      <c r="A79" s="1">
        <v>44714</v>
      </c>
      <c r="B79">
        <f>1868.58</f>
        <v>1868.58</v>
      </c>
      <c r="C79">
        <f>30225.18</f>
        <v>30225.18</v>
      </c>
      <c r="D79">
        <f>22.3068</f>
        <v>22.306799999999999</v>
      </c>
      <c r="E79">
        <f>493</f>
        <v>493</v>
      </c>
      <c r="F79">
        <f>718.07</f>
        <v>718.07</v>
      </c>
      <c r="G79">
        <f>381.6412</f>
        <v>381.64120000000003</v>
      </c>
    </row>
    <row r="80" spans="1:7" x14ac:dyDescent="0.25">
      <c r="A80" s="1">
        <v>44713</v>
      </c>
      <c r="B80">
        <f>1846.6</f>
        <v>1846.6</v>
      </c>
      <c r="C80">
        <f>29621.61</f>
        <v>29621.61</v>
      </c>
      <c r="D80">
        <f>21.8323</f>
        <v>21.8323</v>
      </c>
      <c r="E80">
        <f>493</f>
        <v>493</v>
      </c>
      <c r="F80">
        <f>706.53</f>
        <v>706.53</v>
      </c>
      <c r="G80">
        <f>376.9595</f>
        <v>376.95949999999999</v>
      </c>
    </row>
    <row r="81" spans="1:7" x14ac:dyDescent="0.25">
      <c r="A81" s="1">
        <v>44712</v>
      </c>
      <c r="B81">
        <f>1837.35</f>
        <v>1837.35</v>
      </c>
      <c r="C81">
        <f>31788.28</f>
        <v>31788.28</v>
      </c>
      <c r="D81">
        <f>21.55</f>
        <v>21.55</v>
      </c>
      <c r="E81">
        <f>495</f>
        <v>495</v>
      </c>
      <c r="F81">
        <f>737.91</f>
        <v>737.91</v>
      </c>
      <c r="G81">
        <f>385.041</f>
        <v>385.041</v>
      </c>
    </row>
    <row r="82" spans="1:7" x14ac:dyDescent="0.25">
      <c r="A82" s="1">
        <v>44711</v>
      </c>
      <c r="B82">
        <f>1855.23</f>
        <v>1855.23</v>
      </c>
      <c r="C82">
        <f>31257.74</f>
        <v>31257.74</v>
      </c>
      <c r="D82">
        <f>21.974</f>
        <v>21.974</v>
      </c>
      <c r="E82">
        <f>491</f>
        <v>491</v>
      </c>
      <c r="F82" t="e">
        <f>NA()</f>
        <v>#N/A</v>
      </c>
      <c r="G82" t="e">
        <f>NA()</f>
        <v>#N/A</v>
      </c>
    </row>
    <row r="83" spans="1:7" x14ac:dyDescent="0.25">
      <c r="A83" s="1">
        <v>44710</v>
      </c>
      <c r="B83" t="e">
        <f>NA()</f>
        <v>#N/A</v>
      </c>
      <c r="C83">
        <f>29160.07</f>
        <v>29160.07</v>
      </c>
      <c r="D83" t="e">
        <f>NA()</f>
        <v>#N/A</v>
      </c>
      <c r="E83" t="e">
        <f>NA()</f>
        <v>#N/A</v>
      </c>
      <c r="F83" t="e">
        <f>NA()</f>
        <v>#N/A</v>
      </c>
      <c r="G83" t="e">
        <f>NA()</f>
        <v>#N/A</v>
      </c>
    </row>
    <row r="84" spans="1:7" x14ac:dyDescent="0.25">
      <c r="A84" s="1">
        <v>44709</v>
      </c>
      <c r="B84" t="e">
        <f>NA()</f>
        <v>#N/A</v>
      </c>
      <c r="C84">
        <f>28999.04</f>
        <v>28999.040000000001</v>
      </c>
      <c r="D84" t="e">
        <f>NA()</f>
        <v>#N/A</v>
      </c>
      <c r="E84" t="e">
        <f>NA()</f>
        <v>#N/A</v>
      </c>
      <c r="F84" t="e">
        <f>NA()</f>
        <v>#N/A</v>
      </c>
      <c r="G84" t="e">
        <f>NA()</f>
        <v>#N/A</v>
      </c>
    </row>
    <row r="85" spans="1:7" x14ac:dyDescent="0.25">
      <c r="A85" s="1">
        <v>44708</v>
      </c>
      <c r="B85">
        <f>1853.72</f>
        <v>1853.72</v>
      </c>
      <c r="C85">
        <f>28728.9</f>
        <v>28728.9</v>
      </c>
      <c r="D85">
        <f>22.1133</f>
        <v>22.113299999999999</v>
      </c>
      <c r="E85">
        <f>491</f>
        <v>491</v>
      </c>
      <c r="F85">
        <f>785.41</f>
        <v>785.41</v>
      </c>
      <c r="G85">
        <f>400.732</f>
        <v>400.73200000000003</v>
      </c>
    </row>
    <row r="86" spans="1:7" x14ac:dyDescent="0.25">
      <c r="A86" s="1">
        <v>44707</v>
      </c>
      <c r="B86">
        <f>1850.63</f>
        <v>1850.63</v>
      </c>
      <c r="C86">
        <f>29437.55</f>
        <v>29437.55</v>
      </c>
      <c r="D86">
        <f>22.0142</f>
        <v>22.014199999999999</v>
      </c>
      <c r="E86">
        <f>491</f>
        <v>491</v>
      </c>
      <c r="F86">
        <f>775.74</f>
        <v>775.74</v>
      </c>
      <c r="G86">
        <f>396.8877</f>
        <v>396.8877</v>
      </c>
    </row>
    <row r="87" spans="1:7" x14ac:dyDescent="0.25">
      <c r="A87" s="1">
        <v>44706</v>
      </c>
      <c r="B87">
        <f>1853.46</f>
        <v>1853.46</v>
      </c>
      <c r="C87">
        <f>29764.46</f>
        <v>29764.46</v>
      </c>
      <c r="D87">
        <f>21.989</f>
        <v>21.989000000000001</v>
      </c>
      <c r="E87" t="e">
        <f>NA()</f>
        <v>#N/A</v>
      </c>
      <c r="F87">
        <f>779.13</f>
        <v>779.13</v>
      </c>
      <c r="G87">
        <f>395.1485</f>
        <v>395.14850000000001</v>
      </c>
    </row>
    <row r="88" spans="1:7" x14ac:dyDescent="0.25">
      <c r="A88" s="1">
        <v>44705</v>
      </c>
      <c r="B88">
        <f>1866.45</f>
        <v>1866.45</v>
      </c>
      <c r="C88">
        <f>29438.3</f>
        <v>29438.3</v>
      </c>
      <c r="D88">
        <f>22.1167</f>
        <v>22.116700000000002</v>
      </c>
      <c r="E88">
        <f>475</f>
        <v>475</v>
      </c>
      <c r="F88">
        <f>783.54</f>
        <v>783.54</v>
      </c>
      <c r="G88">
        <f>396.6383</f>
        <v>396.63830000000002</v>
      </c>
    </row>
    <row r="89" spans="1:7" x14ac:dyDescent="0.25">
      <c r="A89" s="1">
        <v>44704</v>
      </c>
      <c r="B89">
        <f>1853.59</f>
        <v>1853.59</v>
      </c>
      <c r="C89">
        <f>29314.55</f>
        <v>29314.55</v>
      </c>
      <c r="D89">
        <f>21.7945</f>
        <v>21.794499999999999</v>
      </c>
      <c r="E89">
        <f>475</f>
        <v>475</v>
      </c>
      <c r="F89">
        <f>807.46</f>
        <v>807.46</v>
      </c>
      <c r="G89">
        <f>402.7399</f>
        <v>402.73989999999998</v>
      </c>
    </row>
    <row r="90" spans="1:7" x14ac:dyDescent="0.25">
      <c r="A90" s="1">
        <v>44703</v>
      </c>
      <c r="B90" t="e">
        <f>NA()</f>
        <v>#N/A</v>
      </c>
      <c r="C90">
        <f>29907.98</f>
        <v>29907.98</v>
      </c>
      <c r="D90" t="e">
        <f>NA()</f>
        <v>#N/A</v>
      </c>
      <c r="E90" t="e">
        <f>NA()</f>
        <v>#N/A</v>
      </c>
      <c r="F90" t="e">
        <f>NA()</f>
        <v>#N/A</v>
      </c>
      <c r="G90" t="e">
        <f>NA()</f>
        <v>#N/A</v>
      </c>
    </row>
    <row r="91" spans="1:7" x14ac:dyDescent="0.25">
      <c r="A91" s="1">
        <v>44702</v>
      </c>
      <c r="B91" t="e">
        <f>NA()</f>
        <v>#N/A</v>
      </c>
      <c r="C91">
        <f>29391.93</f>
        <v>29391.93</v>
      </c>
      <c r="D91" t="e">
        <f>NA()</f>
        <v>#N/A</v>
      </c>
      <c r="E91" t="e">
        <f>NA()</f>
        <v>#N/A</v>
      </c>
      <c r="F91" t="e">
        <f>NA()</f>
        <v>#N/A</v>
      </c>
      <c r="G91" t="e">
        <f>NA()</f>
        <v>#N/A</v>
      </c>
    </row>
    <row r="92" spans="1:7" x14ac:dyDescent="0.25">
      <c r="A92" s="1">
        <v>44701</v>
      </c>
      <c r="B92">
        <f>1846.5</f>
        <v>1846.5</v>
      </c>
      <c r="C92">
        <f>29117.13</f>
        <v>29117.13</v>
      </c>
      <c r="D92">
        <f>21.775</f>
        <v>21.774999999999999</v>
      </c>
      <c r="E92">
        <f>475</f>
        <v>475</v>
      </c>
      <c r="F92">
        <f>793.04</f>
        <v>793.04</v>
      </c>
      <c r="G92">
        <f>400.3972</f>
        <v>400.3972</v>
      </c>
    </row>
    <row r="93" spans="1:7" x14ac:dyDescent="0.25">
      <c r="A93" s="1">
        <v>44700</v>
      </c>
      <c r="B93">
        <f>1841.85</f>
        <v>1841.85</v>
      </c>
      <c r="C93">
        <f>30231.08</f>
        <v>30231.08</v>
      </c>
      <c r="D93">
        <f>21.9275</f>
        <v>21.927499999999998</v>
      </c>
      <c r="E93">
        <f>481</f>
        <v>481</v>
      </c>
      <c r="F93">
        <f>814.59</f>
        <v>814.59</v>
      </c>
      <c r="G93">
        <f>403.9968</f>
        <v>403.99680000000001</v>
      </c>
    </row>
    <row r="94" spans="1:7" x14ac:dyDescent="0.25">
      <c r="A94" s="1">
        <v>44699</v>
      </c>
      <c r="B94">
        <f>1816.6</f>
        <v>1816.6</v>
      </c>
      <c r="C94">
        <f>29205.89</f>
        <v>29205.89</v>
      </c>
      <c r="D94">
        <f>21.423</f>
        <v>21.422999999999998</v>
      </c>
      <c r="E94" t="e">
        <f>NA()</f>
        <v>#N/A</v>
      </c>
      <c r="F94">
        <f>835.11</f>
        <v>835.11</v>
      </c>
      <c r="G94">
        <f>404.8673</f>
        <v>404.8673</v>
      </c>
    </row>
    <row r="95" spans="1:7" x14ac:dyDescent="0.25">
      <c r="A95" s="1">
        <v>44698</v>
      </c>
      <c r="B95">
        <f>1815.16</f>
        <v>1815.16</v>
      </c>
      <c r="C95">
        <f>30077.8</f>
        <v>30077.8</v>
      </c>
      <c r="D95">
        <f>21.6343</f>
        <v>21.6343</v>
      </c>
      <c r="E95">
        <f>481</f>
        <v>481</v>
      </c>
      <c r="F95">
        <f>866.84</f>
        <v>866.84</v>
      </c>
      <c r="G95">
        <f>414.4383</f>
        <v>414.43830000000003</v>
      </c>
    </row>
    <row r="96" spans="1:7" x14ac:dyDescent="0.25">
      <c r="A96" s="1">
        <v>44697</v>
      </c>
      <c r="B96">
        <f>1824.14</f>
        <v>1824.14</v>
      </c>
      <c r="C96">
        <f>29908.75</f>
        <v>29908.75</v>
      </c>
      <c r="D96">
        <f>21.6205</f>
        <v>21.6205</v>
      </c>
      <c r="E96">
        <f>464</f>
        <v>464</v>
      </c>
      <c r="F96">
        <f>846.48</f>
        <v>846.48</v>
      </c>
      <c r="G96">
        <f>411.5092</f>
        <v>411.50920000000002</v>
      </c>
    </row>
    <row r="97" spans="1:7" x14ac:dyDescent="0.25">
      <c r="A97" s="1">
        <v>44696</v>
      </c>
      <c r="B97" t="e">
        <f>NA()</f>
        <v>#N/A</v>
      </c>
      <c r="C97">
        <f>31019.19</f>
        <v>31019.19</v>
      </c>
      <c r="D97" t="e">
        <f>NA()</f>
        <v>#N/A</v>
      </c>
      <c r="E97" t="e">
        <f>NA()</f>
        <v>#N/A</v>
      </c>
      <c r="F97" t="e">
        <f>NA()</f>
        <v>#N/A</v>
      </c>
      <c r="G97" t="e">
        <f>NA()</f>
        <v>#N/A</v>
      </c>
    </row>
    <row r="98" spans="1:7" x14ac:dyDescent="0.25">
      <c r="A98" s="1">
        <v>44695</v>
      </c>
      <c r="B98" t="e">
        <f>NA()</f>
        <v>#N/A</v>
      </c>
      <c r="C98">
        <f>29341.75</f>
        <v>29341.75</v>
      </c>
      <c r="D98" t="e">
        <f>NA()</f>
        <v>#N/A</v>
      </c>
      <c r="E98" t="e">
        <f>NA()</f>
        <v>#N/A</v>
      </c>
      <c r="F98" t="e">
        <f>NA()</f>
        <v>#N/A</v>
      </c>
      <c r="G98" t="e">
        <f>NA()</f>
        <v>#N/A</v>
      </c>
    </row>
    <row r="99" spans="1:7" x14ac:dyDescent="0.25">
      <c r="A99" s="1">
        <v>44694</v>
      </c>
      <c r="B99">
        <f>1811.79</f>
        <v>1811.79</v>
      </c>
      <c r="C99">
        <f>29760.13</f>
        <v>29760.13</v>
      </c>
      <c r="D99">
        <f>21.1144</f>
        <v>21.1144</v>
      </c>
      <c r="E99">
        <f>461</f>
        <v>461</v>
      </c>
      <c r="F99">
        <f>798.98</f>
        <v>798.98</v>
      </c>
      <c r="G99">
        <f>398.0634</f>
        <v>398.0634</v>
      </c>
    </row>
    <row r="100" spans="1:7" x14ac:dyDescent="0.25">
      <c r="A100" s="1">
        <v>44693</v>
      </c>
      <c r="B100">
        <f>1821.82</f>
        <v>1821.82</v>
      </c>
      <c r="C100">
        <f>28546.25</f>
        <v>28546.25</v>
      </c>
      <c r="D100">
        <f>20.6791</f>
        <v>20.679099999999998</v>
      </c>
      <c r="E100">
        <f>460</f>
        <v>460</v>
      </c>
      <c r="F100">
        <f>799.83</f>
        <v>799.83</v>
      </c>
      <c r="G100">
        <f>396.8905</f>
        <v>396.89049999999997</v>
      </c>
    </row>
    <row r="101" spans="1:7" x14ac:dyDescent="0.25">
      <c r="A101" s="1">
        <v>44692</v>
      </c>
      <c r="B101">
        <f>1852.4</f>
        <v>1852.4</v>
      </c>
      <c r="C101">
        <f>28402.78</f>
        <v>28402.78</v>
      </c>
      <c r="D101">
        <f>21.5727</f>
        <v>21.572700000000001</v>
      </c>
      <c r="E101">
        <f>456</f>
        <v>456</v>
      </c>
      <c r="F101">
        <f>755.22</f>
        <v>755.22</v>
      </c>
      <c r="G101">
        <f>388.3543</f>
        <v>388.35430000000002</v>
      </c>
    </row>
    <row r="102" spans="1:7" x14ac:dyDescent="0.25">
      <c r="A102" s="1">
        <v>44691</v>
      </c>
      <c r="B102">
        <f>1838.27</f>
        <v>1838.27</v>
      </c>
      <c r="C102">
        <f>31000.83</f>
        <v>31000.83</v>
      </c>
      <c r="D102">
        <f>21.2645</f>
        <v>21.264500000000002</v>
      </c>
      <c r="E102">
        <f>456</f>
        <v>456</v>
      </c>
      <c r="F102">
        <f>741.48</f>
        <v>741.48</v>
      </c>
      <c r="G102">
        <f>382.4752</f>
        <v>382.47519999999997</v>
      </c>
    </row>
    <row r="103" spans="1:7" x14ac:dyDescent="0.25">
      <c r="A103" s="1">
        <v>44690</v>
      </c>
      <c r="B103">
        <f>1854.17</f>
        <v>1854.17</v>
      </c>
      <c r="C103">
        <f>30959.3</f>
        <v>30959.3</v>
      </c>
      <c r="D103">
        <f>21.798</f>
        <v>21.797999999999998</v>
      </c>
      <c r="E103">
        <f>456</f>
        <v>456</v>
      </c>
      <c r="F103">
        <f>741.48</f>
        <v>741.48</v>
      </c>
      <c r="G103">
        <f>380.9372</f>
        <v>380.93720000000002</v>
      </c>
    </row>
    <row r="104" spans="1:7" x14ac:dyDescent="0.25">
      <c r="A104" s="1">
        <v>44689</v>
      </c>
      <c r="B104" t="e">
        <f>NA()</f>
        <v>#N/A</v>
      </c>
      <c r="C104">
        <f>34225.04</f>
        <v>34225.040000000001</v>
      </c>
      <c r="D104" t="e">
        <f>NA()</f>
        <v>#N/A</v>
      </c>
      <c r="E104" t="e">
        <f>NA()</f>
        <v>#N/A</v>
      </c>
      <c r="F104" t="e">
        <f>NA()</f>
        <v>#N/A</v>
      </c>
      <c r="G104" t="e">
        <f>NA()</f>
        <v>#N/A</v>
      </c>
    </row>
    <row r="105" spans="1:7" x14ac:dyDescent="0.25">
      <c r="A105" s="1">
        <v>44688</v>
      </c>
      <c r="B105" t="e">
        <f>NA()</f>
        <v>#N/A</v>
      </c>
      <c r="C105">
        <f>35768.23</f>
        <v>35768.230000000003</v>
      </c>
      <c r="D105" t="e">
        <f>NA()</f>
        <v>#N/A</v>
      </c>
      <c r="E105" t="e">
        <f>NA()</f>
        <v>#N/A</v>
      </c>
      <c r="F105" t="e">
        <f>NA()</f>
        <v>#N/A</v>
      </c>
      <c r="G105" t="e">
        <f>NA()</f>
        <v>#N/A</v>
      </c>
    </row>
    <row r="106" spans="1:7" x14ac:dyDescent="0.25">
      <c r="A106" s="1">
        <v>44687</v>
      </c>
      <c r="B106">
        <f>1883.81</f>
        <v>1883.81</v>
      </c>
      <c r="C106">
        <f>36077.29</f>
        <v>36077.29</v>
      </c>
      <c r="D106">
        <f>22.3596</f>
        <v>22.3596</v>
      </c>
      <c r="E106">
        <f>456</f>
        <v>456</v>
      </c>
      <c r="F106">
        <f>752.16</f>
        <v>752.16</v>
      </c>
      <c r="G106">
        <f>387.3635</f>
        <v>387.36349999999999</v>
      </c>
    </row>
    <row r="107" spans="1:7" x14ac:dyDescent="0.25">
      <c r="A107" s="1">
        <v>44686</v>
      </c>
      <c r="B107">
        <f>1877.18</f>
        <v>1877.18</v>
      </c>
      <c r="C107">
        <f>36456.02</f>
        <v>36456.019999999997</v>
      </c>
      <c r="D107">
        <f>22.51</f>
        <v>22.51</v>
      </c>
      <c r="E107">
        <f>457</f>
        <v>457</v>
      </c>
      <c r="F107">
        <f>750.81</f>
        <v>750.81</v>
      </c>
      <c r="G107">
        <f>391.6252</f>
        <v>391.62520000000001</v>
      </c>
    </row>
    <row r="108" spans="1:7" x14ac:dyDescent="0.25">
      <c r="A108" s="1">
        <v>44685</v>
      </c>
      <c r="B108">
        <f>1881.22</f>
        <v>1881.22</v>
      </c>
      <c r="C108">
        <f>39800.33</f>
        <v>39800.33</v>
      </c>
      <c r="D108">
        <f>22.9803</f>
        <v>22.9803</v>
      </c>
      <c r="E108">
        <f>456</f>
        <v>456</v>
      </c>
      <c r="F108">
        <f>730.45</f>
        <v>730.45</v>
      </c>
      <c r="G108">
        <f>386.2604</f>
        <v>386.2604</v>
      </c>
    </row>
    <row r="109" spans="1:7" x14ac:dyDescent="0.25">
      <c r="A109" s="1">
        <v>44684</v>
      </c>
      <c r="B109">
        <f>1868.12</f>
        <v>1868.12</v>
      </c>
      <c r="C109">
        <f>37784.82</f>
        <v>37784.82</v>
      </c>
      <c r="D109">
        <f>22.5715</f>
        <v>22.5715</v>
      </c>
      <c r="E109">
        <f>449</f>
        <v>449</v>
      </c>
      <c r="F109">
        <f>709.41</f>
        <v>709.41</v>
      </c>
      <c r="G109">
        <f>381.8348</f>
        <v>381.83479999999997</v>
      </c>
    </row>
    <row r="110" spans="1:7" x14ac:dyDescent="0.25">
      <c r="A110" s="1">
        <v>44683</v>
      </c>
      <c r="B110">
        <f>1863.02</f>
        <v>1863.02</v>
      </c>
      <c r="C110">
        <f>38312.41</f>
        <v>38312.410000000003</v>
      </c>
      <c r="D110">
        <f>22.6405</f>
        <v>22.640499999999999</v>
      </c>
      <c r="E110">
        <f>449</f>
        <v>449</v>
      </c>
      <c r="F110">
        <f>716.2</f>
        <v>716.2</v>
      </c>
      <c r="G110">
        <f>385.7142</f>
        <v>385.71420000000001</v>
      </c>
    </row>
    <row r="111" spans="1:7" x14ac:dyDescent="0.25">
      <c r="A111" s="1">
        <v>44682</v>
      </c>
      <c r="B111" t="e">
        <f>NA()</f>
        <v>#N/A</v>
      </c>
      <c r="C111">
        <f>38320.24</f>
        <v>38320.239999999998</v>
      </c>
      <c r="D111" t="e">
        <f>NA()</f>
        <v>#N/A</v>
      </c>
      <c r="E111" t="e">
        <f>NA()</f>
        <v>#N/A</v>
      </c>
      <c r="F111" t="e">
        <f>NA()</f>
        <v>#N/A</v>
      </c>
      <c r="G111" t="e">
        <f>NA()</f>
        <v>#N/A</v>
      </c>
    </row>
    <row r="112" spans="1:7" x14ac:dyDescent="0.25">
      <c r="A112" s="1">
        <v>44681</v>
      </c>
      <c r="B112" t="e">
        <f>NA()</f>
        <v>#N/A</v>
      </c>
      <c r="C112">
        <f>38334.7</f>
        <v>38334.699999999997</v>
      </c>
      <c r="D112" t="e">
        <f>NA()</f>
        <v>#N/A</v>
      </c>
      <c r="E112" t="e">
        <f>NA()</f>
        <v>#N/A</v>
      </c>
      <c r="F112" t="e">
        <f>NA()</f>
        <v>#N/A</v>
      </c>
      <c r="G112" t="e">
        <f>NA()</f>
        <v>#N/A</v>
      </c>
    </row>
    <row r="113" spans="1:7" x14ac:dyDescent="0.25">
      <c r="A113" s="1">
        <v>44680</v>
      </c>
      <c r="B113">
        <f>1896.93</f>
        <v>1896.93</v>
      </c>
      <c r="C113">
        <f>38560.04</f>
        <v>38560.04</v>
      </c>
      <c r="D113">
        <f>22.7768</f>
        <v>22.776800000000001</v>
      </c>
      <c r="E113">
        <f>452</f>
        <v>452</v>
      </c>
      <c r="F113">
        <f>716.37</f>
        <v>716.37</v>
      </c>
      <c r="G113">
        <f>390.8389</f>
        <v>390.83890000000002</v>
      </c>
    </row>
    <row r="114" spans="1:7" x14ac:dyDescent="0.25">
      <c r="A114" s="1">
        <v>44679</v>
      </c>
      <c r="B114">
        <f>1894.45</f>
        <v>1894.45</v>
      </c>
      <c r="C114">
        <f>39889.27</f>
        <v>39889.269999999997</v>
      </c>
      <c r="D114">
        <f>23.1545</f>
        <v>23.154499999999999</v>
      </c>
      <c r="E114">
        <f>450</f>
        <v>450</v>
      </c>
      <c r="F114">
        <f>736.73</f>
        <v>736.73</v>
      </c>
      <c r="G114">
        <f>394.4023</f>
        <v>394.40230000000003</v>
      </c>
    </row>
    <row r="115" spans="1:7" x14ac:dyDescent="0.25">
      <c r="A115" s="1">
        <v>44678</v>
      </c>
      <c r="B115">
        <f>1886.1</f>
        <v>1886.1</v>
      </c>
      <c r="C115">
        <f>39106.93</f>
        <v>39106.93</v>
      </c>
      <c r="D115">
        <f>23.3025</f>
        <v>23.302499999999998</v>
      </c>
      <c r="E115">
        <f>444</f>
        <v>444</v>
      </c>
      <c r="F115">
        <f>740.46</f>
        <v>740.46</v>
      </c>
      <c r="G115">
        <f>395.7134</f>
        <v>395.71339999999998</v>
      </c>
    </row>
    <row r="116" spans="1:7" x14ac:dyDescent="0.25">
      <c r="A116" s="1">
        <v>44677</v>
      </c>
      <c r="B116">
        <f>1905.51</f>
        <v>1905.51</v>
      </c>
      <c r="C116">
        <f>38123.52</f>
        <v>38123.519999999997</v>
      </c>
      <c r="D116">
        <f>23.483</f>
        <v>23.483000000000001</v>
      </c>
      <c r="E116">
        <f>447</f>
        <v>447</v>
      </c>
      <c r="F116">
        <f>743</f>
        <v>743</v>
      </c>
      <c r="G116">
        <f>392.9173</f>
        <v>392.91730000000001</v>
      </c>
    </row>
    <row r="117" spans="1:7" x14ac:dyDescent="0.25">
      <c r="A117" s="1">
        <v>44676</v>
      </c>
      <c r="B117">
        <f>1897.83</f>
        <v>1897.83</v>
      </c>
      <c r="C117">
        <f>40186.18</f>
        <v>40186.18</v>
      </c>
      <c r="D117">
        <f>23.6215</f>
        <v>23.621500000000001</v>
      </c>
      <c r="E117">
        <f>444</f>
        <v>444</v>
      </c>
      <c r="F117">
        <f>727.73</f>
        <v>727.73</v>
      </c>
      <c r="G117">
        <f>390.5231</f>
        <v>390.5231</v>
      </c>
    </row>
    <row r="118" spans="1:7" x14ac:dyDescent="0.25">
      <c r="A118" s="1">
        <v>44675</v>
      </c>
      <c r="B118" t="e">
        <f>NA()</f>
        <v>#N/A</v>
      </c>
      <c r="C118">
        <f>39515.9</f>
        <v>39515.9</v>
      </c>
      <c r="D118" t="e">
        <f>NA()</f>
        <v>#N/A</v>
      </c>
      <c r="E118" t="e">
        <f>NA()</f>
        <v>#N/A</v>
      </c>
      <c r="F118" t="e">
        <f>NA()</f>
        <v>#N/A</v>
      </c>
      <c r="G118" t="e">
        <f>NA()</f>
        <v>#N/A</v>
      </c>
    </row>
    <row r="119" spans="1:7" x14ac:dyDescent="0.25">
      <c r="A119" s="1">
        <v>44674</v>
      </c>
      <c r="B119" t="e">
        <f>NA()</f>
        <v>#N/A</v>
      </c>
      <c r="C119">
        <f>39808.74</f>
        <v>39808.74</v>
      </c>
      <c r="D119" t="e">
        <f>NA()</f>
        <v>#N/A</v>
      </c>
      <c r="E119" t="e">
        <f>NA()</f>
        <v>#N/A</v>
      </c>
      <c r="F119" t="e">
        <f>NA()</f>
        <v>#N/A</v>
      </c>
      <c r="G119" t="e">
        <f>NA()</f>
        <v>#N/A</v>
      </c>
    </row>
    <row r="120" spans="1:7" x14ac:dyDescent="0.25">
      <c r="A120" s="1">
        <v>44673</v>
      </c>
      <c r="B120">
        <f>1931.6</f>
        <v>1931.6</v>
      </c>
      <c r="C120">
        <f>39621.31</f>
        <v>39621.31</v>
      </c>
      <c r="D120">
        <f>24.1425</f>
        <v>24.142499999999998</v>
      </c>
      <c r="E120">
        <f>444</f>
        <v>444</v>
      </c>
      <c r="F120">
        <f>729.6</f>
        <v>729.6</v>
      </c>
      <c r="G120">
        <f>390.0164</f>
        <v>390.01639999999998</v>
      </c>
    </row>
    <row r="121" spans="1:7" x14ac:dyDescent="0.25">
      <c r="A121" s="1">
        <v>44672</v>
      </c>
      <c r="B121">
        <f>1951.62</f>
        <v>1951.62</v>
      </c>
      <c r="C121">
        <f>40615.45</f>
        <v>40615.449999999997</v>
      </c>
      <c r="D121">
        <f>24.6615</f>
        <v>24.6615</v>
      </c>
      <c r="E121">
        <f>439</f>
        <v>439</v>
      </c>
      <c r="F121">
        <f>730.45</f>
        <v>730.45</v>
      </c>
      <c r="G121">
        <f>393.3893</f>
        <v>393.38929999999999</v>
      </c>
    </row>
    <row r="122" spans="1:7" x14ac:dyDescent="0.25">
      <c r="A122" s="1">
        <v>44671</v>
      </c>
      <c r="B122">
        <f>1957.77</f>
        <v>1957.77</v>
      </c>
      <c r="C122">
        <f>41430.79</f>
        <v>41430.79</v>
      </c>
      <c r="D122">
        <f>25.2045</f>
        <v>25.204499999999999</v>
      </c>
      <c r="E122">
        <f>436</f>
        <v>436</v>
      </c>
      <c r="F122">
        <f>744.7</f>
        <v>744.7</v>
      </c>
      <c r="G122">
        <f>398.2793</f>
        <v>398.27929999999998</v>
      </c>
    </row>
    <row r="123" spans="1:7" x14ac:dyDescent="0.25">
      <c r="A123" s="1">
        <v>44670</v>
      </c>
      <c r="B123">
        <f>1950.09</f>
        <v>1950.09</v>
      </c>
      <c r="C123">
        <f>41297.9</f>
        <v>41297.9</v>
      </c>
      <c r="D123">
        <f>25.181</f>
        <v>25.181000000000001</v>
      </c>
      <c r="E123">
        <f>427</f>
        <v>427</v>
      </c>
      <c r="F123">
        <f>752.5</f>
        <v>752.5</v>
      </c>
      <c r="G123">
        <f>395.6387</f>
        <v>395.63869999999997</v>
      </c>
    </row>
    <row r="124" spans="1:7" x14ac:dyDescent="0.25">
      <c r="A124" s="1">
        <v>44669</v>
      </c>
      <c r="B124">
        <f>1978.91</f>
        <v>1978.91</v>
      </c>
      <c r="C124">
        <f>40673.67</f>
        <v>40673.67</v>
      </c>
      <c r="D124">
        <f>25.865</f>
        <v>25.864999999999998</v>
      </c>
      <c r="E124">
        <f>422</f>
        <v>422</v>
      </c>
      <c r="F124">
        <f>765.9</f>
        <v>765.9</v>
      </c>
      <c r="G124">
        <f>398.9231</f>
        <v>398.92309999999998</v>
      </c>
    </row>
    <row r="125" spans="1:7" x14ac:dyDescent="0.25">
      <c r="A125" s="1">
        <v>44668</v>
      </c>
      <c r="B125" t="e">
        <f>NA()</f>
        <v>#N/A</v>
      </c>
      <c r="C125">
        <f>40273.09</f>
        <v>40273.089999999997</v>
      </c>
      <c r="D125" t="e">
        <f>NA()</f>
        <v>#N/A</v>
      </c>
      <c r="E125" t="e">
        <f>NA()</f>
        <v>#N/A</v>
      </c>
      <c r="F125" t="e">
        <f>NA()</f>
        <v>#N/A</v>
      </c>
      <c r="G125" t="e">
        <f>NA()</f>
        <v>#N/A</v>
      </c>
    </row>
    <row r="126" spans="1:7" x14ac:dyDescent="0.25">
      <c r="A126" s="1">
        <v>44667</v>
      </c>
      <c r="B126" t="e">
        <f>NA()</f>
        <v>#N/A</v>
      </c>
      <c r="C126">
        <f>40294.88</f>
        <v>40294.879999999997</v>
      </c>
      <c r="D126" t="e">
        <f>NA()</f>
        <v>#N/A</v>
      </c>
      <c r="E126" t="e">
        <f>NA()</f>
        <v>#N/A</v>
      </c>
      <c r="F126" t="e">
        <f>NA()</f>
        <v>#N/A</v>
      </c>
      <c r="G126" t="e">
        <f>NA()</f>
        <v>#N/A</v>
      </c>
    </row>
    <row r="127" spans="1:7" x14ac:dyDescent="0.25">
      <c r="A127" s="1">
        <v>44666</v>
      </c>
      <c r="B127">
        <f>1978.24</f>
        <v>1978.24</v>
      </c>
      <c r="C127">
        <f>40404.52</f>
        <v>40404.519999999997</v>
      </c>
      <c r="D127">
        <f>25.5475</f>
        <v>25.547499999999999</v>
      </c>
      <c r="E127" t="e">
        <f>NA()</f>
        <v>#N/A</v>
      </c>
      <c r="F127" t="e">
        <f>NA()</f>
        <v>#N/A</v>
      </c>
      <c r="G127" t="e">
        <f>NA()</f>
        <v>#N/A</v>
      </c>
    </row>
    <row r="128" spans="1:7" x14ac:dyDescent="0.25">
      <c r="A128" s="1">
        <v>44665</v>
      </c>
      <c r="B128">
        <f>1973.71</f>
        <v>1973.71</v>
      </c>
      <c r="C128">
        <f>39915.93</f>
        <v>39915.93</v>
      </c>
      <c r="D128">
        <f>25.67</f>
        <v>25.67</v>
      </c>
      <c r="E128" t="e">
        <f>NA()</f>
        <v>#N/A</v>
      </c>
      <c r="F128">
        <f>749.45</f>
        <v>749.45</v>
      </c>
      <c r="G128">
        <f>389.734</f>
        <v>389.73399999999998</v>
      </c>
    </row>
    <row r="129" spans="1:7" x14ac:dyDescent="0.25">
      <c r="A129" s="1">
        <v>44664</v>
      </c>
      <c r="B129">
        <f>1977.8</f>
        <v>1977.8</v>
      </c>
      <c r="C129">
        <f>41254.52</f>
        <v>41254.519999999997</v>
      </c>
      <c r="D129">
        <f>25.7325</f>
        <v>25.732500000000002</v>
      </c>
      <c r="E129">
        <f>413</f>
        <v>413</v>
      </c>
      <c r="F129">
        <f>760.81</f>
        <v>760.81</v>
      </c>
      <c r="G129">
        <f>390.9683</f>
        <v>390.9683</v>
      </c>
    </row>
    <row r="130" spans="1:7" x14ac:dyDescent="0.25">
      <c r="A130" s="1">
        <v>44663</v>
      </c>
      <c r="B130">
        <f>1966.76</f>
        <v>1966.76</v>
      </c>
      <c r="C130">
        <f>39534.08</f>
        <v>39534.080000000002</v>
      </c>
      <c r="D130">
        <f>25.372</f>
        <v>25.372</v>
      </c>
      <c r="E130">
        <f>410</f>
        <v>410</v>
      </c>
      <c r="F130">
        <f>753.69</f>
        <v>753.69</v>
      </c>
      <c r="G130">
        <f>388.6169</f>
        <v>388.61689999999999</v>
      </c>
    </row>
    <row r="131" spans="1:7" x14ac:dyDescent="0.25">
      <c r="A131" s="1">
        <v>44662</v>
      </c>
      <c r="B131">
        <f>1953.52</f>
        <v>1953.52</v>
      </c>
      <c r="C131">
        <f>39846.47</f>
        <v>39846.47</v>
      </c>
      <c r="D131">
        <f>25.098</f>
        <v>25.097999999999999</v>
      </c>
      <c r="E131">
        <f>405</f>
        <v>405</v>
      </c>
      <c r="F131">
        <f>736.83</f>
        <v>736.83</v>
      </c>
      <c r="G131">
        <f>382.7873</f>
        <v>382.78730000000002</v>
      </c>
    </row>
    <row r="132" spans="1:7" x14ac:dyDescent="0.25">
      <c r="A132" s="1">
        <v>44661</v>
      </c>
      <c r="B132" t="e">
        <f>NA()</f>
        <v>#N/A</v>
      </c>
      <c r="C132">
        <f>43125.15</f>
        <v>43125.15</v>
      </c>
      <c r="D132" t="e">
        <f>NA()</f>
        <v>#N/A</v>
      </c>
      <c r="E132" t="e">
        <f>NA()</f>
        <v>#N/A</v>
      </c>
      <c r="F132" t="e">
        <f>NA()</f>
        <v>#N/A</v>
      </c>
      <c r="G132" t="e">
        <f>NA()</f>
        <v>#N/A</v>
      </c>
    </row>
    <row r="133" spans="1:7" x14ac:dyDescent="0.25">
      <c r="A133" s="1">
        <v>44660</v>
      </c>
      <c r="B133" t="e">
        <f>NA()</f>
        <v>#N/A</v>
      </c>
      <c r="C133">
        <f>42447.77</f>
        <v>42447.77</v>
      </c>
      <c r="D133" t="e">
        <f>NA()</f>
        <v>#N/A</v>
      </c>
      <c r="E133" t="e">
        <f>NA()</f>
        <v>#N/A</v>
      </c>
      <c r="F133" t="e">
        <f>NA()</f>
        <v>#N/A</v>
      </c>
      <c r="G133" t="e">
        <f>NA()</f>
        <v>#N/A</v>
      </c>
    </row>
    <row r="134" spans="1:7" x14ac:dyDescent="0.25">
      <c r="A134" s="1">
        <v>44659</v>
      </c>
      <c r="B134">
        <f>1947.54</f>
        <v>1947.54</v>
      </c>
      <c r="C134">
        <f>42815.77</f>
        <v>42815.77</v>
      </c>
      <c r="D134">
        <f>24.7735</f>
        <v>24.773499999999999</v>
      </c>
      <c r="E134">
        <f>401</f>
        <v>401</v>
      </c>
      <c r="F134">
        <f>715.32</f>
        <v>715.32</v>
      </c>
      <c r="G134">
        <f>382.7104</f>
        <v>382.71039999999999</v>
      </c>
    </row>
    <row r="135" spans="1:7" x14ac:dyDescent="0.25">
      <c r="A135" s="1">
        <v>44658</v>
      </c>
      <c r="B135">
        <f>1931.86</f>
        <v>1931.86</v>
      </c>
      <c r="C135">
        <f>43577.22</f>
        <v>43577.22</v>
      </c>
      <c r="D135">
        <f>24.5993</f>
        <v>24.599299999999999</v>
      </c>
      <c r="E135">
        <f>396</f>
        <v>396</v>
      </c>
      <c r="F135">
        <f>692.82</f>
        <v>692.82</v>
      </c>
      <c r="G135">
        <f>374.2227</f>
        <v>374.22269999999997</v>
      </c>
    </row>
    <row r="136" spans="1:7" x14ac:dyDescent="0.25">
      <c r="A136" s="1">
        <v>44657</v>
      </c>
      <c r="B136">
        <f>1925.35</f>
        <v>1925.35</v>
      </c>
      <c r="C136">
        <f>43885.38</f>
        <v>43885.38</v>
      </c>
      <c r="D136">
        <f>24.46</f>
        <v>24.46</v>
      </c>
      <c r="E136">
        <f>396</f>
        <v>396</v>
      </c>
      <c r="F136">
        <f>704.49</f>
        <v>704.49</v>
      </c>
      <c r="G136">
        <f>373.8578</f>
        <v>373.8578</v>
      </c>
    </row>
    <row r="137" spans="1:7" x14ac:dyDescent="0.25">
      <c r="A137" s="1">
        <v>44656</v>
      </c>
      <c r="B137">
        <f>1923.6</f>
        <v>1923.6</v>
      </c>
      <c r="C137">
        <f>45868.99</f>
        <v>45868.99</v>
      </c>
      <c r="D137">
        <f>24.3218</f>
        <v>24.3218</v>
      </c>
      <c r="E137">
        <f>396</f>
        <v>396</v>
      </c>
      <c r="F137">
        <f>709.24</f>
        <v>709.24</v>
      </c>
      <c r="G137">
        <f>375.7188</f>
        <v>375.71879999999999</v>
      </c>
    </row>
    <row r="138" spans="1:7" x14ac:dyDescent="0.25">
      <c r="A138" s="1">
        <v>44655</v>
      </c>
      <c r="B138">
        <f>1932.73</f>
        <v>1932.73</v>
      </c>
      <c r="C138">
        <f>46311.76</f>
        <v>46311.76</v>
      </c>
      <c r="D138">
        <f>24.538</f>
        <v>24.538</v>
      </c>
      <c r="E138">
        <f>396</f>
        <v>396</v>
      </c>
      <c r="F138">
        <f>685.5</f>
        <v>685.5</v>
      </c>
      <c r="G138">
        <f>367.5875</f>
        <v>367.58749999999998</v>
      </c>
    </row>
    <row r="139" spans="1:7" x14ac:dyDescent="0.25">
      <c r="A139" s="1">
        <v>44654</v>
      </c>
      <c r="B139" t="e">
        <f>NA()</f>
        <v>#N/A</v>
      </c>
      <c r="C139">
        <f>46387.63</f>
        <v>46387.63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</row>
    <row r="140" spans="1:7" x14ac:dyDescent="0.25">
      <c r="A140" s="1">
        <v>44653</v>
      </c>
      <c r="B140" t="e">
        <f>NA()</f>
        <v>#N/A</v>
      </c>
      <c r="C140">
        <f>46196.63</f>
        <v>46196.63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</row>
    <row r="141" spans="1:7" x14ac:dyDescent="0.25">
      <c r="A141" s="1">
        <v>44652</v>
      </c>
      <c r="B141">
        <f>1925.68</f>
        <v>1925.68</v>
      </c>
      <c r="C141">
        <f>46168.58</f>
        <v>46168.58</v>
      </c>
      <c r="D141">
        <f>24.63</f>
        <v>24.63</v>
      </c>
      <c r="E141">
        <f>396</f>
        <v>396</v>
      </c>
      <c r="F141">
        <f>668.02</f>
        <v>668.02</v>
      </c>
      <c r="G141">
        <f>360.5711</f>
        <v>360.5711</v>
      </c>
    </row>
    <row r="142" spans="1:7" x14ac:dyDescent="0.25">
      <c r="A142" s="1">
        <v>44651</v>
      </c>
      <c r="B142">
        <f>1937.44</f>
        <v>1937.44</v>
      </c>
      <c r="C142">
        <f>45767.58</f>
        <v>45767.58</v>
      </c>
      <c r="D142">
        <f>24.793</f>
        <v>24.792999999999999</v>
      </c>
      <c r="E142">
        <f>396</f>
        <v>396</v>
      </c>
      <c r="F142">
        <f>682.61</f>
        <v>682.61</v>
      </c>
      <c r="G142">
        <f>367.9047</f>
        <v>367.90469999999999</v>
      </c>
    </row>
    <row r="143" spans="1:7" x14ac:dyDescent="0.25">
      <c r="A143" s="1">
        <v>44650</v>
      </c>
      <c r="B143">
        <f>1932.87</f>
        <v>1932.87</v>
      </c>
      <c r="C143">
        <f>47277.24</f>
        <v>47277.24</v>
      </c>
      <c r="D143">
        <f>24.873</f>
        <v>24.873000000000001</v>
      </c>
      <c r="E143">
        <f>396</f>
        <v>396</v>
      </c>
      <c r="F143">
        <f>697.03</f>
        <v>697.03</v>
      </c>
      <c r="G143">
        <f>371.7115</f>
        <v>371.7115</v>
      </c>
    </row>
    <row r="144" spans="1:7" x14ac:dyDescent="0.25">
      <c r="A144" s="1">
        <v>44649</v>
      </c>
      <c r="B144">
        <f>1919.43</f>
        <v>1919.43</v>
      </c>
      <c r="C144">
        <f>47486.26</f>
        <v>47486.26</v>
      </c>
      <c r="D144">
        <f>24.7718</f>
        <v>24.771799999999999</v>
      </c>
      <c r="E144">
        <f>396</f>
        <v>396</v>
      </c>
      <c r="F144">
        <f>688.21</f>
        <v>688.21</v>
      </c>
      <c r="G144">
        <f>366.3228</f>
        <v>366.32279999999997</v>
      </c>
    </row>
    <row r="145" spans="1:7" x14ac:dyDescent="0.25">
      <c r="A145" s="1">
        <v>44648</v>
      </c>
      <c r="B145">
        <f>1922.8</f>
        <v>1922.8</v>
      </c>
      <c r="C145">
        <f>47967.56</f>
        <v>47967.56</v>
      </c>
      <c r="D145">
        <f>24.877</f>
        <v>24.876999999999999</v>
      </c>
      <c r="E145">
        <f>401</f>
        <v>401</v>
      </c>
      <c r="F145">
        <f>717.22</f>
        <v>717.22</v>
      </c>
      <c r="G145">
        <f>376.7041</f>
        <v>376.70409999999998</v>
      </c>
    </row>
    <row r="146" spans="1:7" x14ac:dyDescent="0.25">
      <c r="A146" s="1">
        <v>44647</v>
      </c>
      <c r="B146" t="e">
        <f>NA()</f>
        <v>#N/A</v>
      </c>
      <c r="C146">
        <f>46111.06</f>
        <v>46111.06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</row>
    <row r="147" spans="1:7" x14ac:dyDescent="0.25">
      <c r="A147" s="1">
        <v>44646</v>
      </c>
      <c r="B147" t="e">
        <f>NA()</f>
        <v>#N/A</v>
      </c>
      <c r="C147">
        <f>44590.9</f>
        <v>44590.9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</row>
    <row r="148" spans="1:7" x14ac:dyDescent="0.25">
      <c r="A148" s="1">
        <v>44645</v>
      </c>
      <c r="B148">
        <f>1958.29</f>
        <v>1958.29</v>
      </c>
      <c r="C148">
        <f>44577.76</f>
        <v>44577.760000000002</v>
      </c>
      <c r="D148">
        <f>25.5262</f>
        <v>25.526199999999999</v>
      </c>
      <c r="E148">
        <f>401</f>
        <v>401</v>
      </c>
      <c r="F148">
        <f>747.92</f>
        <v>747.92</v>
      </c>
      <c r="G148">
        <f>386.0664</f>
        <v>386.06639999999999</v>
      </c>
    </row>
    <row r="149" spans="1:7" x14ac:dyDescent="0.25">
      <c r="A149" s="1">
        <v>44644</v>
      </c>
      <c r="B149">
        <f>1957.69</f>
        <v>1957.69</v>
      </c>
      <c r="C149">
        <f>43895.65</f>
        <v>43895.65</v>
      </c>
      <c r="D149">
        <f>25.5336</f>
        <v>25.5336</v>
      </c>
      <c r="E149" t="e">
        <f>NA()</f>
        <v>#N/A</v>
      </c>
      <c r="F149">
        <f>736.73</f>
        <v>736.73</v>
      </c>
      <c r="G149">
        <f>382.5289</f>
        <v>382.52890000000002</v>
      </c>
    </row>
    <row r="150" spans="1:7" x14ac:dyDescent="0.25">
      <c r="A150" s="1">
        <v>44643</v>
      </c>
      <c r="B150">
        <f>1943.86</f>
        <v>1943.86</v>
      </c>
      <c r="C150">
        <f>42368.58</f>
        <v>42368.58</v>
      </c>
      <c r="D150">
        <f>25.111</f>
        <v>25.111000000000001</v>
      </c>
      <c r="E150">
        <f>401</f>
        <v>401</v>
      </c>
      <c r="F150">
        <f>750.3</f>
        <v>750.3</v>
      </c>
      <c r="G150">
        <f>387.6527</f>
        <v>387.65269999999998</v>
      </c>
    </row>
    <row r="151" spans="1:7" x14ac:dyDescent="0.25">
      <c r="A151" s="1">
        <v>44642</v>
      </c>
      <c r="B151">
        <f>1921.69</f>
        <v>1921.69</v>
      </c>
      <c r="C151">
        <f>42606.24</f>
        <v>42606.239999999998</v>
      </c>
      <c r="D151">
        <f>24.7795</f>
        <v>24.779499999999999</v>
      </c>
      <c r="E151">
        <f>401</f>
        <v>401</v>
      </c>
      <c r="F151">
        <f>758.78</f>
        <v>758.78</v>
      </c>
      <c r="G151">
        <f>386.1942</f>
        <v>386.19420000000002</v>
      </c>
    </row>
    <row r="152" spans="1:7" x14ac:dyDescent="0.25">
      <c r="A152" s="1">
        <v>44641</v>
      </c>
      <c r="B152">
        <f>1935.91</f>
        <v>1935.91</v>
      </c>
      <c r="C152">
        <f>41136.88</f>
        <v>41136.879999999997</v>
      </c>
      <c r="D152">
        <f>25.2072</f>
        <v>25.2072</v>
      </c>
      <c r="E152">
        <f>401</f>
        <v>401</v>
      </c>
      <c r="F152">
        <f>759.46</f>
        <v>759.46</v>
      </c>
      <c r="G152">
        <f>386.2672</f>
        <v>386.2672</v>
      </c>
    </row>
    <row r="153" spans="1:7" x14ac:dyDescent="0.25">
      <c r="A153" s="1">
        <v>44640</v>
      </c>
      <c r="B153" t="e">
        <f>NA()</f>
        <v>#N/A</v>
      </c>
      <c r="C153">
        <f>41308.02</f>
        <v>41308.019999999997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</row>
    <row r="154" spans="1:7" x14ac:dyDescent="0.25">
      <c r="A154" s="1">
        <v>44639</v>
      </c>
      <c r="B154" t="e">
        <f>NA()</f>
        <v>#N/A</v>
      </c>
      <c r="C154">
        <f>42219.42</f>
        <v>42219.42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</row>
    <row r="155" spans="1:7" x14ac:dyDescent="0.25">
      <c r="A155" s="1">
        <v>44638</v>
      </c>
      <c r="B155">
        <f>1921.62</f>
        <v>1921.62</v>
      </c>
      <c r="C155">
        <f>41755.9</f>
        <v>41755.9</v>
      </c>
      <c r="D155">
        <f>24.9642</f>
        <v>24.964200000000002</v>
      </c>
      <c r="E155">
        <f>401</f>
        <v>401</v>
      </c>
      <c r="F155">
        <f>721.8</f>
        <v>721.8</v>
      </c>
      <c r="G155">
        <f>376.3113</f>
        <v>376.31130000000002</v>
      </c>
    </row>
    <row r="156" spans="1:7" x14ac:dyDescent="0.25">
      <c r="A156" s="1">
        <v>44637</v>
      </c>
      <c r="B156">
        <f>1942.89</f>
        <v>1942.89</v>
      </c>
      <c r="C156">
        <f>40724.56</f>
        <v>40724.559999999998</v>
      </c>
      <c r="D156">
        <f>25.379</f>
        <v>25.379000000000001</v>
      </c>
      <c r="E156">
        <f>401</f>
        <v>401</v>
      </c>
      <c r="F156">
        <f>745.04</f>
        <v>745.04</v>
      </c>
      <c r="G156">
        <f>381.8598</f>
        <v>381.85980000000001</v>
      </c>
    </row>
    <row r="157" spans="1:7" x14ac:dyDescent="0.25">
      <c r="A157" s="1">
        <v>44636</v>
      </c>
      <c r="B157">
        <f>1927.29</f>
        <v>1927.29</v>
      </c>
      <c r="C157">
        <f>41258.79</f>
        <v>41258.79</v>
      </c>
      <c r="D157">
        <f>25.0898</f>
        <v>25.0898</v>
      </c>
      <c r="E157">
        <f>411</f>
        <v>411</v>
      </c>
      <c r="F157">
        <f>725.53</f>
        <v>725.53</v>
      </c>
      <c r="G157">
        <f>373.2993</f>
        <v>373.29930000000002</v>
      </c>
    </row>
    <row r="158" spans="1:7" x14ac:dyDescent="0.25">
      <c r="A158" s="1">
        <v>44635</v>
      </c>
      <c r="B158">
        <f>1917.94</f>
        <v>1917.94</v>
      </c>
      <c r="C158">
        <f>39441.9</f>
        <v>39441.9</v>
      </c>
      <c r="D158">
        <f>24.8932</f>
        <v>24.8932</v>
      </c>
      <c r="E158">
        <f>416</f>
        <v>416</v>
      </c>
      <c r="F158">
        <f>783.21</f>
        <v>783.21</v>
      </c>
      <c r="G158">
        <f>388.3339</f>
        <v>388.33390000000003</v>
      </c>
    </row>
    <row r="159" spans="1:7" x14ac:dyDescent="0.25">
      <c r="A159" s="1">
        <v>44634</v>
      </c>
      <c r="B159">
        <f>1950.88</f>
        <v>1950.88</v>
      </c>
      <c r="C159">
        <f>38725.24</f>
        <v>38725.24</v>
      </c>
      <c r="D159">
        <f>25.0462</f>
        <v>25.046199999999999</v>
      </c>
      <c r="E159">
        <f>419</f>
        <v>419</v>
      </c>
      <c r="F159">
        <f>743.85</f>
        <v>743.85</v>
      </c>
      <c r="G159">
        <f>381.1256</f>
        <v>381.12560000000002</v>
      </c>
    </row>
    <row r="160" spans="1:7" x14ac:dyDescent="0.25">
      <c r="A160" s="1">
        <v>44633</v>
      </c>
      <c r="B160" t="e">
        <f>NA()</f>
        <v>#N/A</v>
      </c>
      <c r="C160">
        <f>38687.43</f>
        <v>38687.43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</row>
    <row r="161" spans="1:7" x14ac:dyDescent="0.25">
      <c r="A161" s="1">
        <v>44632</v>
      </c>
      <c r="B161" t="e">
        <f>NA()</f>
        <v>#N/A</v>
      </c>
      <c r="C161">
        <f>39102.38</f>
        <v>39102.379999999997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</row>
    <row r="162" spans="1:7" x14ac:dyDescent="0.25">
      <c r="A162" s="1">
        <v>44631</v>
      </c>
      <c r="B162">
        <f>1988.46</f>
        <v>1988.46</v>
      </c>
      <c r="C162">
        <f>38860.7</f>
        <v>38860.699999999997</v>
      </c>
      <c r="D162">
        <f>25.8708</f>
        <v>25.870799999999999</v>
      </c>
      <c r="E162">
        <f>419</f>
        <v>419</v>
      </c>
      <c r="F162">
        <f>750.81</f>
        <v>750.81</v>
      </c>
      <c r="G162">
        <f>384.3054</f>
        <v>384.30540000000002</v>
      </c>
    </row>
    <row r="163" spans="1:7" x14ac:dyDescent="0.25">
      <c r="A163" s="1">
        <v>44630</v>
      </c>
      <c r="B163">
        <f>1996.98</f>
        <v>1996.98</v>
      </c>
      <c r="C163">
        <f>39329.95</f>
        <v>39329.949999999997</v>
      </c>
      <c r="D163">
        <f>25.9125</f>
        <v>25.912500000000001</v>
      </c>
      <c r="E163">
        <f>421</f>
        <v>421</v>
      </c>
      <c r="F163">
        <f>737.57</f>
        <v>737.57</v>
      </c>
      <c r="G163">
        <f>381.6047</f>
        <v>381.60469999999998</v>
      </c>
    </row>
    <row r="164" spans="1:7" x14ac:dyDescent="0.25">
      <c r="A164" s="1">
        <v>44629</v>
      </c>
      <c r="B164">
        <f>1991.83</f>
        <v>1991.83</v>
      </c>
      <c r="C164">
        <f>41893.74</f>
        <v>41893.74</v>
      </c>
      <c r="D164">
        <f>25.775</f>
        <v>25.774999999999999</v>
      </c>
      <c r="E164">
        <f>421</f>
        <v>421</v>
      </c>
      <c r="F164">
        <f>815.27</f>
        <v>815.27</v>
      </c>
      <c r="G164">
        <f>386.6572</f>
        <v>386.65719999999999</v>
      </c>
    </row>
    <row r="165" spans="1:7" x14ac:dyDescent="0.25">
      <c r="A165" s="1">
        <v>44628</v>
      </c>
      <c r="B165">
        <f>2050.76</f>
        <v>2050.7600000000002</v>
      </c>
      <c r="C165">
        <f>38506.43</f>
        <v>38506.43</v>
      </c>
      <c r="D165">
        <f>26.4059</f>
        <v>26.405899999999999</v>
      </c>
      <c r="E165">
        <f>425</f>
        <v>425</v>
      </c>
      <c r="F165">
        <f>872.94</f>
        <v>872.94</v>
      </c>
      <c r="G165">
        <f>400.9729</f>
        <v>400.97289999999998</v>
      </c>
    </row>
    <row r="166" spans="1:7" x14ac:dyDescent="0.25">
      <c r="A166" s="1">
        <v>44627</v>
      </c>
      <c r="B166">
        <f>1998.11</f>
        <v>1998.11</v>
      </c>
      <c r="C166">
        <f>37839.36</f>
        <v>37839.360000000001</v>
      </c>
      <c r="D166">
        <f>25.662</f>
        <v>25.661999999999999</v>
      </c>
      <c r="E166">
        <f>425</f>
        <v>425</v>
      </c>
      <c r="F166">
        <f>878.03</f>
        <v>878.03</v>
      </c>
      <c r="G166">
        <f>400.8635</f>
        <v>400.86349999999999</v>
      </c>
    </row>
    <row r="167" spans="1:7" x14ac:dyDescent="0.25">
      <c r="A167" s="1">
        <v>44626</v>
      </c>
      <c r="B167" t="e">
        <f>NA()</f>
        <v>#N/A</v>
      </c>
      <c r="C167">
        <f>39030.04</f>
        <v>39030.04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</row>
    <row r="168" spans="1:7" x14ac:dyDescent="0.25">
      <c r="A168" s="1">
        <v>44625</v>
      </c>
      <c r="B168" t="e">
        <f>NA()</f>
        <v>#N/A</v>
      </c>
      <c r="C168">
        <f>39380.38</f>
        <v>39380.379999999997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</row>
    <row r="169" spans="1:7" x14ac:dyDescent="0.25">
      <c r="A169" s="1">
        <v>44624</v>
      </c>
      <c r="B169">
        <f>1970.7</f>
        <v>1970.7</v>
      </c>
      <c r="C169">
        <f>39393.7</f>
        <v>39393.699999999997</v>
      </c>
      <c r="D169">
        <f>25.7005</f>
        <v>25.700500000000002</v>
      </c>
      <c r="E169">
        <f>425</f>
        <v>425</v>
      </c>
      <c r="F169">
        <f>820.36</f>
        <v>820.36</v>
      </c>
      <c r="G169">
        <f>394.0123</f>
        <v>394.01229999999998</v>
      </c>
    </row>
    <row r="170" spans="1:7" x14ac:dyDescent="0.25">
      <c r="A170" s="1">
        <v>44623</v>
      </c>
      <c r="B170">
        <f>1935.95</f>
        <v>1935.95</v>
      </c>
      <c r="C170">
        <f>42096.97</f>
        <v>42096.97</v>
      </c>
      <c r="D170">
        <f>25.1748</f>
        <v>25.174800000000001</v>
      </c>
      <c r="E170">
        <f>418</f>
        <v>418</v>
      </c>
      <c r="F170">
        <f>769.47</f>
        <v>769.47</v>
      </c>
      <c r="G170">
        <f>385.5344</f>
        <v>385.53440000000001</v>
      </c>
    </row>
    <row r="171" spans="1:7" x14ac:dyDescent="0.25">
      <c r="A171" s="1">
        <v>44622</v>
      </c>
      <c r="B171">
        <f>1928.72</f>
        <v>1928.72</v>
      </c>
      <c r="C171">
        <f>44090.72</f>
        <v>44090.720000000001</v>
      </c>
      <c r="D171">
        <f>25.2965</f>
        <v>25.296500000000002</v>
      </c>
      <c r="E171">
        <f>407</f>
        <v>407</v>
      </c>
      <c r="F171">
        <f>718.57</f>
        <v>718.57</v>
      </c>
      <c r="G171">
        <f>372.8882</f>
        <v>372.88819999999998</v>
      </c>
    </row>
    <row r="172" spans="1:7" x14ac:dyDescent="0.25">
      <c r="A172" s="1">
        <v>44621</v>
      </c>
      <c r="B172">
        <f>1945.28</f>
        <v>1945.28</v>
      </c>
      <c r="C172">
        <f>43900.24</f>
        <v>43900.24</v>
      </c>
      <c r="D172">
        <f>25.3769</f>
        <v>25.376899999999999</v>
      </c>
      <c r="E172">
        <f>420</f>
        <v>420</v>
      </c>
      <c r="F172">
        <f>667.68</f>
        <v>667.68</v>
      </c>
      <c r="G172">
        <f>366.8729</f>
        <v>366.87290000000002</v>
      </c>
    </row>
    <row r="173" spans="1:7" x14ac:dyDescent="0.25">
      <c r="A173" s="1">
        <v>44620</v>
      </c>
      <c r="B173">
        <f>1908.99</f>
        <v>1908.99</v>
      </c>
      <c r="C173">
        <f>41654.97</f>
        <v>41654.97</v>
      </c>
      <c r="D173">
        <f>24.45</f>
        <v>24.45</v>
      </c>
      <c r="E173" t="e">
        <f>NA()</f>
        <v>#N/A</v>
      </c>
      <c r="F173">
        <f>633.76</f>
        <v>633.76</v>
      </c>
      <c r="G173">
        <f>351.1293</f>
        <v>351.1293</v>
      </c>
    </row>
    <row r="174" spans="1:7" x14ac:dyDescent="0.25">
      <c r="A174" s="1">
        <v>44619</v>
      </c>
      <c r="B174" t="e">
        <f>NA()</f>
        <v>#N/A</v>
      </c>
      <c r="C174">
        <f>37435.48</f>
        <v>37435.480000000003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</row>
    <row r="175" spans="1:7" x14ac:dyDescent="0.25">
      <c r="A175" s="1">
        <v>44618</v>
      </c>
      <c r="B175" t="e">
        <f>NA()</f>
        <v>#N/A</v>
      </c>
      <c r="C175">
        <f>39480.74</f>
        <v>39480.74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</row>
    <row r="176" spans="1:7" x14ac:dyDescent="0.25">
      <c r="A176" s="1">
        <v>44617</v>
      </c>
      <c r="B176">
        <f>1889.34</f>
        <v>1889.34</v>
      </c>
      <c r="C176">
        <f>38994.5</f>
        <v>38994.5</v>
      </c>
      <c r="D176">
        <f>24.2739</f>
        <v>24.273900000000001</v>
      </c>
      <c r="E176">
        <f>360</f>
        <v>360</v>
      </c>
      <c r="F176">
        <f>583.38</f>
        <v>583.38</v>
      </c>
      <c r="G176">
        <f>333.2562</f>
        <v>333.25619999999998</v>
      </c>
    </row>
    <row r="177" spans="1:7" x14ac:dyDescent="0.25">
      <c r="A177" s="1">
        <v>44616</v>
      </c>
      <c r="B177">
        <f>1903.89</f>
        <v>1903.89</v>
      </c>
      <c r="C177">
        <f>38414.95</f>
        <v>38414.949999999997</v>
      </c>
      <c r="D177">
        <f>24.2175</f>
        <v>24.217500000000001</v>
      </c>
      <c r="E177" t="e">
        <f>NA()</f>
        <v>#N/A</v>
      </c>
      <c r="F177">
        <f>634.27</f>
        <v>634.27</v>
      </c>
      <c r="G177">
        <f>352.9613</f>
        <v>352.96129999999999</v>
      </c>
    </row>
    <row r="178" spans="1:7" x14ac:dyDescent="0.25">
      <c r="A178" s="1">
        <v>44615</v>
      </c>
      <c r="B178">
        <f>1909.01</f>
        <v>1909.01</v>
      </c>
      <c r="C178">
        <f>37543.5</f>
        <v>37543.5</v>
      </c>
      <c r="D178">
        <f>24.552</f>
        <v>24.552</v>
      </c>
      <c r="E178">
        <f>333</f>
        <v>333</v>
      </c>
      <c r="F178">
        <f>600.34</f>
        <v>600.34</v>
      </c>
      <c r="G178">
        <f>347.2419</f>
        <v>347.24189999999999</v>
      </c>
    </row>
    <row r="179" spans="1:7" x14ac:dyDescent="0.25">
      <c r="A179" s="1">
        <v>44614</v>
      </c>
      <c r="B179">
        <f>1898.64</f>
        <v>1898.64</v>
      </c>
      <c r="C179">
        <f>37893.47</f>
        <v>37893.47</v>
      </c>
      <c r="D179">
        <f>24.1139</f>
        <v>24.113900000000001</v>
      </c>
      <c r="E179" t="e">
        <f>NA()</f>
        <v>#N/A</v>
      </c>
      <c r="F179">
        <f>578.46</f>
        <v>578.46</v>
      </c>
      <c r="G179">
        <f>339.3932</f>
        <v>339.39319999999998</v>
      </c>
    </row>
    <row r="180" spans="1:7" x14ac:dyDescent="0.25">
      <c r="A180" s="1">
        <v>44613</v>
      </c>
      <c r="B180">
        <f>1906.29</f>
        <v>1906.29</v>
      </c>
      <c r="C180">
        <f>37076.09</f>
        <v>37076.089999999997</v>
      </c>
      <c r="D180">
        <f>23.8993</f>
        <v>23.8993</v>
      </c>
      <c r="E180">
        <f>313</f>
        <v>313</v>
      </c>
      <c r="F180" t="e">
        <f>NA()</f>
        <v>#N/A</v>
      </c>
      <c r="G180" t="e">
        <f>NA()</f>
        <v>#N/A</v>
      </c>
    </row>
    <row r="181" spans="1:7" x14ac:dyDescent="0.25">
      <c r="A181" s="1">
        <v>44612</v>
      </c>
      <c r="B181" t="e">
        <f>NA()</f>
        <v>#N/A</v>
      </c>
      <c r="C181">
        <f>38252.4</f>
        <v>38252.400000000001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</row>
    <row r="182" spans="1:7" x14ac:dyDescent="0.25">
      <c r="A182" s="1">
        <v>44611</v>
      </c>
      <c r="B182" t="e">
        <f>NA()</f>
        <v>#N/A</v>
      </c>
      <c r="C182">
        <f>39942.63</f>
        <v>39942.629999999997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</row>
    <row r="183" spans="1:7" x14ac:dyDescent="0.25">
      <c r="A183" s="1">
        <v>44610</v>
      </c>
      <c r="B183">
        <f>1898.43</f>
        <v>1898.43</v>
      </c>
      <c r="C183">
        <f>39991.9</f>
        <v>39991.9</v>
      </c>
      <c r="D183">
        <f>23.922</f>
        <v>23.922000000000001</v>
      </c>
      <c r="E183" t="e">
        <f>NA()</f>
        <v>#N/A</v>
      </c>
      <c r="F183">
        <f>545.55</f>
        <v>545.54999999999995</v>
      </c>
      <c r="G183">
        <f>328.1974</f>
        <v>328.19740000000002</v>
      </c>
    </row>
    <row r="184" spans="1:7" x14ac:dyDescent="0.25">
      <c r="A184" s="1">
        <v>44609</v>
      </c>
      <c r="B184">
        <f>1898.43</f>
        <v>1898.43</v>
      </c>
      <c r="C184">
        <f>40699.63</f>
        <v>40699.629999999997</v>
      </c>
      <c r="D184">
        <f>23.8348</f>
        <v>23.834800000000001</v>
      </c>
      <c r="E184">
        <f>310</f>
        <v>310</v>
      </c>
      <c r="F184">
        <f>546.06</f>
        <v>546.05999999999995</v>
      </c>
      <c r="G184">
        <f>326.5703</f>
        <v>326.57029999999997</v>
      </c>
    </row>
    <row r="185" spans="1:7" x14ac:dyDescent="0.25">
      <c r="A185" s="1">
        <v>44608</v>
      </c>
      <c r="B185">
        <f>1869.8</f>
        <v>1869.8</v>
      </c>
      <c r="C185">
        <f>44092.86</f>
        <v>44092.86</v>
      </c>
      <c r="D185">
        <f>23.5975</f>
        <v>23.5975</v>
      </c>
      <c r="E185">
        <f>310</f>
        <v>310</v>
      </c>
      <c r="F185">
        <f>533.5</f>
        <v>533.5</v>
      </c>
      <c r="G185">
        <f>323.6478</f>
        <v>323.64780000000002</v>
      </c>
    </row>
    <row r="186" spans="1:7" x14ac:dyDescent="0.25">
      <c r="A186" s="1">
        <v>44607</v>
      </c>
      <c r="B186">
        <f>1853.61</f>
        <v>1853.61</v>
      </c>
      <c r="C186">
        <f>43999.15</f>
        <v>43999.15</v>
      </c>
      <c r="D186">
        <f>23.3645</f>
        <v>23.3645</v>
      </c>
      <c r="E186">
        <f>310</f>
        <v>310</v>
      </c>
      <c r="F186">
        <f>533.16</f>
        <v>533.16</v>
      </c>
      <c r="G186">
        <f>319.3397</f>
        <v>319.33969999999999</v>
      </c>
    </row>
    <row r="187" spans="1:7" x14ac:dyDescent="0.25">
      <c r="A187" s="1">
        <v>44606</v>
      </c>
      <c r="B187">
        <f>1871.18</f>
        <v>1871.18</v>
      </c>
      <c r="C187">
        <f>42249.01</f>
        <v>42249.01</v>
      </c>
      <c r="D187">
        <f>23.842</f>
        <v>23.841999999999999</v>
      </c>
      <c r="E187">
        <f>313</f>
        <v>313</v>
      </c>
      <c r="F187">
        <f>546.56</f>
        <v>546.55999999999995</v>
      </c>
      <c r="G187">
        <f>326.0794</f>
        <v>326.07940000000002</v>
      </c>
    </row>
    <row r="188" spans="1:7" x14ac:dyDescent="0.25">
      <c r="A188" s="1">
        <v>44605</v>
      </c>
      <c r="B188" t="e">
        <f>NA()</f>
        <v>#N/A</v>
      </c>
      <c r="C188">
        <f>42228.76</f>
        <v>42228.76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</row>
    <row r="189" spans="1:7" x14ac:dyDescent="0.25">
      <c r="A189" s="1">
        <v>44604</v>
      </c>
      <c r="B189" t="e">
        <f>NA()</f>
        <v>#N/A</v>
      </c>
      <c r="C189">
        <f>41899.77</f>
        <v>41899.769999999997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</row>
    <row r="190" spans="1:7" x14ac:dyDescent="0.25">
      <c r="A190" s="1">
        <v>44603</v>
      </c>
      <c r="B190">
        <f>1858.76</f>
        <v>1858.76</v>
      </c>
      <c r="C190">
        <f>42563.24</f>
        <v>42563.24</v>
      </c>
      <c r="D190">
        <f>23.5852</f>
        <v>23.5852</v>
      </c>
      <c r="E190">
        <f>313</f>
        <v>313</v>
      </c>
      <c r="F190">
        <f>545.55</f>
        <v>545.54999999999995</v>
      </c>
      <c r="G190">
        <f>325.8002</f>
        <v>325.80020000000002</v>
      </c>
    </row>
    <row r="191" spans="1:7" x14ac:dyDescent="0.25">
      <c r="A191" s="1">
        <v>44602</v>
      </c>
      <c r="B191">
        <f>1826.85</f>
        <v>1826.85</v>
      </c>
      <c r="C191">
        <f>43776.42</f>
        <v>43776.42</v>
      </c>
      <c r="D191">
        <f>23.2001</f>
        <v>23.200099999999999</v>
      </c>
      <c r="E191">
        <f>308</f>
        <v>308</v>
      </c>
      <c r="F191">
        <f>527.43</f>
        <v>527.42999999999995</v>
      </c>
      <c r="G191">
        <f>320.4962</f>
        <v>320.49619999999999</v>
      </c>
    </row>
    <row r="192" spans="1:7" x14ac:dyDescent="0.25">
      <c r="A192" s="1">
        <v>44601</v>
      </c>
      <c r="B192">
        <f>1833.36</f>
        <v>1833.36</v>
      </c>
      <c r="C192">
        <f>44497.51</f>
        <v>44497.51</v>
      </c>
      <c r="D192">
        <f>23.3135</f>
        <v>23.313500000000001</v>
      </c>
      <c r="E192">
        <f>310</f>
        <v>310</v>
      </c>
      <c r="F192">
        <f>535.1</f>
        <v>535.1</v>
      </c>
      <c r="G192">
        <f>324.2947</f>
        <v>324.29469999999998</v>
      </c>
    </row>
    <row r="193" spans="1:7" x14ac:dyDescent="0.25">
      <c r="A193" s="1">
        <v>44600</v>
      </c>
      <c r="B193">
        <f>1825.92</f>
        <v>1825.92</v>
      </c>
      <c r="C193">
        <f>44230.11</f>
        <v>44230.11</v>
      </c>
      <c r="D193">
        <f>23.1852</f>
        <v>23.185199999999998</v>
      </c>
      <c r="E193">
        <f>309</f>
        <v>309</v>
      </c>
      <c r="F193">
        <f>529.84</f>
        <v>529.84</v>
      </c>
      <c r="G193">
        <f>318.8396</f>
        <v>318.83960000000002</v>
      </c>
    </row>
    <row r="194" spans="1:7" x14ac:dyDescent="0.25">
      <c r="A194" s="1">
        <v>44599</v>
      </c>
      <c r="B194">
        <f>1820.47</f>
        <v>1820.47</v>
      </c>
      <c r="C194">
        <f>44102.99</f>
        <v>44102.99</v>
      </c>
      <c r="D194">
        <f>23.0125</f>
        <v>23.012499999999999</v>
      </c>
      <c r="E194">
        <f>309</f>
        <v>309</v>
      </c>
      <c r="F194">
        <f>522.61</f>
        <v>522.61</v>
      </c>
      <c r="G194">
        <f>319.0386</f>
        <v>319.03859999999997</v>
      </c>
    </row>
    <row r="195" spans="1:7" x14ac:dyDescent="0.25">
      <c r="A195" s="1">
        <v>44598</v>
      </c>
      <c r="B195" t="e">
        <f>NA()</f>
        <v>#N/A</v>
      </c>
      <c r="C195">
        <f>41687.25</f>
        <v>41687.25</v>
      </c>
      <c r="D195" t="e">
        <f>NA()</f>
        <v>#N/A</v>
      </c>
      <c r="E195" t="e">
        <f>NA()</f>
        <v>#N/A</v>
      </c>
      <c r="F195" t="e">
        <f>NA()</f>
        <v>#N/A</v>
      </c>
      <c r="G195" t="e">
        <f>NA()</f>
        <v>#N/A</v>
      </c>
    </row>
    <row r="196" spans="1:7" x14ac:dyDescent="0.25">
      <c r="A196" s="1">
        <v>44597</v>
      </c>
      <c r="B196" t="e">
        <f>NA()</f>
        <v>#N/A</v>
      </c>
      <c r="C196">
        <f>41673.4</f>
        <v>41673.4</v>
      </c>
      <c r="D196" t="e">
        <f>NA()</f>
        <v>#N/A</v>
      </c>
      <c r="E196" t="e">
        <f>NA()</f>
        <v>#N/A</v>
      </c>
      <c r="F196" t="e">
        <f>NA()</f>
        <v>#N/A</v>
      </c>
      <c r="G196" t="e">
        <f>NA()</f>
        <v>#N/A</v>
      </c>
    </row>
    <row r="197" spans="1:7" x14ac:dyDescent="0.25">
      <c r="A197" s="1">
        <v>44596</v>
      </c>
      <c r="B197">
        <f>1808.28</f>
        <v>1808.28</v>
      </c>
      <c r="C197">
        <f>40647.25</f>
        <v>40647.25</v>
      </c>
      <c r="D197">
        <f>22.5172</f>
        <v>22.517199999999999</v>
      </c>
      <c r="E197">
        <f>307</f>
        <v>307</v>
      </c>
      <c r="F197">
        <f>517.9</f>
        <v>517.9</v>
      </c>
      <c r="G197">
        <f>313.6666</f>
        <v>313.66660000000002</v>
      </c>
    </row>
    <row r="198" spans="1:7" x14ac:dyDescent="0.25">
      <c r="A198" s="1">
        <v>44595</v>
      </c>
      <c r="B198">
        <f>1804.85</f>
        <v>1804.85</v>
      </c>
      <c r="C198">
        <f>36964.58</f>
        <v>36964.58</v>
      </c>
      <c r="D198">
        <f>22.4241</f>
        <v>22.424099999999999</v>
      </c>
      <c r="E198">
        <f>307</f>
        <v>307</v>
      </c>
      <c r="F198">
        <f>510.09</f>
        <v>510.09</v>
      </c>
      <c r="G198">
        <f>310.8084</f>
        <v>310.80840000000001</v>
      </c>
    </row>
    <row r="199" spans="1:7" x14ac:dyDescent="0.25">
      <c r="A199" s="1">
        <v>44594</v>
      </c>
      <c r="B199">
        <f>1806.8</f>
        <v>1806.8</v>
      </c>
      <c r="C199">
        <f>36936.93</f>
        <v>36936.93</v>
      </c>
      <c r="D199">
        <f>22.6554</f>
        <v>22.6554</v>
      </c>
      <c r="E199">
        <f>307</f>
        <v>307</v>
      </c>
      <c r="F199">
        <f>512.3</f>
        <v>512.29999999999995</v>
      </c>
      <c r="G199">
        <f>312.1288</f>
        <v>312.12880000000001</v>
      </c>
    </row>
    <row r="200" spans="1:7" x14ac:dyDescent="0.25">
      <c r="A200" s="1">
        <v>44593</v>
      </c>
      <c r="B200">
        <f>1801.19</f>
        <v>1801.19</v>
      </c>
      <c r="C200">
        <f>38813.82</f>
        <v>38813.82</v>
      </c>
      <c r="D200">
        <f>22.645</f>
        <v>22.645</v>
      </c>
      <c r="E200">
        <f>306</f>
        <v>306</v>
      </c>
      <c r="F200">
        <f>521.8</f>
        <v>521.79999999999995</v>
      </c>
      <c r="G200">
        <f>314.6097</f>
        <v>314.60969999999998</v>
      </c>
    </row>
    <row r="201" spans="1:7" x14ac:dyDescent="0.25">
      <c r="A201" s="1">
        <v>44592</v>
      </c>
      <c r="B201">
        <f>1797.17</f>
        <v>1797.17</v>
      </c>
      <c r="C201">
        <f>38437.84</f>
        <v>38437.839999999997</v>
      </c>
      <c r="D201">
        <f>22.466</f>
        <v>22.466000000000001</v>
      </c>
      <c r="E201">
        <f>306</f>
        <v>306</v>
      </c>
      <c r="F201">
        <f>516.54</f>
        <v>516.54</v>
      </c>
      <c r="G201">
        <f>309.395</f>
        <v>309.39499999999998</v>
      </c>
    </row>
    <row r="202" spans="1:7" x14ac:dyDescent="0.25">
      <c r="A202" s="1">
        <v>44591</v>
      </c>
      <c r="B202" t="e">
        <f>NA()</f>
        <v>#N/A</v>
      </c>
      <c r="C202">
        <f>37754.4</f>
        <v>37754.400000000001</v>
      </c>
      <c r="D202" t="e">
        <f>NA()</f>
        <v>#N/A</v>
      </c>
      <c r="E202" t="e">
        <f>NA()</f>
        <v>#N/A</v>
      </c>
      <c r="F202" t="e">
        <f>NA()</f>
        <v>#N/A</v>
      </c>
      <c r="G202" t="e">
        <f>NA()</f>
        <v>#N/A</v>
      </c>
    </row>
    <row r="203" spans="1:7" x14ac:dyDescent="0.25">
      <c r="A203" s="1">
        <v>44590</v>
      </c>
      <c r="B203" t="e">
        <f>NA()</f>
        <v>#N/A</v>
      </c>
      <c r="C203">
        <f>38388.74</f>
        <v>38388.74</v>
      </c>
      <c r="D203" t="e">
        <f>NA()</f>
        <v>#N/A</v>
      </c>
      <c r="E203" t="e">
        <f>NA()</f>
        <v>#N/A</v>
      </c>
      <c r="F203" t="e">
        <f>NA()</f>
        <v>#N/A</v>
      </c>
      <c r="G203" t="e">
        <f>NA()</f>
        <v>#N/A</v>
      </c>
    </row>
    <row r="204" spans="1:7" x14ac:dyDescent="0.25">
      <c r="A204" s="1">
        <v>44589</v>
      </c>
      <c r="B204">
        <f>1791.53</f>
        <v>1791.53</v>
      </c>
      <c r="C204">
        <f>37807.95</f>
        <v>37807.949999999997</v>
      </c>
      <c r="D204">
        <f>22.4727</f>
        <v>22.4727</v>
      </c>
      <c r="E204">
        <f>308</f>
        <v>308</v>
      </c>
      <c r="F204">
        <f>533.5</f>
        <v>533.5</v>
      </c>
      <c r="G204">
        <f>312.1495</f>
        <v>312.14949999999999</v>
      </c>
    </row>
    <row r="205" spans="1:7" x14ac:dyDescent="0.25">
      <c r="A205" s="1">
        <v>44588</v>
      </c>
      <c r="B205">
        <f>1797.43</f>
        <v>1797.43</v>
      </c>
      <c r="C205">
        <f>36198.95</f>
        <v>36198.949999999997</v>
      </c>
      <c r="D205">
        <f>22.768</f>
        <v>22.768000000000001</v>
      </c>
      <c r="E205">
        <f>306</f>
        <v>306</v>
      </c>
      <c r="F205">
        <f>527.23</f>
        <v>527.23</v>
      </c>
      <c r="G205">
        <f>307.5951</f>
        <v>307.5951</v>
      </c>
    </row>
    <row r="206" spans="1:7" x14ac:dyDescent="0.25">
      <c r="A206" s="1">
        <v>44587</v>
      </c>
      <c r="B206">
        <f>1819.59</f>
        <v>1819.59</v>
      </c>
      <c r="C206">
        <f>36356.7</f>
        <v>36356.699999999997</v>
      </c>
      <c r="D206">
        <f>23.5305</f>
        <v>23.5305</v>
      </c>
      <c r="E206">
        <f>308</f>
        <v>308</v>
      </c>
      <c r="F206">
        <f>539.44</f>
        <v>539.44000000000005</v>
      </c>
      <c r="G206">
        <f>309.432</f>
        <v>309.43200000000002</v>
      </c>
    </row>
    <row r="207" spans="1:7" x14ac:dyDescent="0.25">
      <c r="A207" s="1">
        <v>44586</v>
      </c>
      <c r="B207">
        <f>1848.02</f>
        <v>1848.02</v>
      </c>
      <c r="C207">
        <f>36579.75</f>
        <v>36579.75</v>
      </c>
      <c r="D207">
        <f>23.8105</f>
        <v>23.810500000000001</v>
      </c>
      <c r="E207">
        <f>308</f>
        <v>308</v>
      </c>
      <c r="F207">
        <f>555.05</f>
        <v>555.04999999999995</v>
      </c>
      <c r="G207">
        <f>308.07</f>
        <v>308.07</v>
      </c>
    </row>
    <row r="208" spans="1:7" x14ac:dyDescent="0.25">
      <c r="A208" s="1">
        <v>44585</v>
      </c>
      <c r="B208">
        <f>1843.06</f>
        <v>1843.06</v>
      </c>
      <c r="C208">
        <f>36828.36</f>
        <v>36828.36</v>
      </c>
      <c r="D208">
        <f>23.9868</f>
        <v>23.986799999999999</v>
      </c>
      <c r="E208" t="e">
        <f>NA()</f>
        <v>#N/A</v>
      </c>
      <c r="F208">
        <f>543.17</f>
        <v>543.16999999999996</v>
      </c>
      <c r="G208">
        <f>306.0032</f>
        <v>306.00319999999999</v>
      </c>
    </row>
    <row r="209" spans="1:7" x14ac:dyDescent="0.25">
      <c r="A209" s="1">
        <v>44584</v>
      </c>
      <c r="B209" t="e">
        <f>NA()</f>
        <v>#N/A</v>
      </c>
      <c r="C209">
        <f>35364.47</f>
        <v>35364.47</v>
      </c>
      <c r="D209" t="e">
        <f>NA()</f>
        <v>#N/A</v>
      </c>
      <c r="E209" t="e">
        <f>NA()</f>
        <v>#N/A</v>
      </c>
      <c r="F209" t="e">
        <f>NA()</f>
        <v>#N/A</v>
      </c>
      <c r="G209" t="e">
        <f>NA()</f>
        <v>#N/A</v>
      </c>
    </row>
    <row r="210" spans="1:7" x14ac:dyDescent="0.25">
      <c r="A210" s="1">
        <v>44583</v>
      </c>
      <c r="B210" t="e">
        <f>NA()</f>
        <v>#N/A</v>
      </c>
      <c r="C210">
        <f>35402.77</f>
        <v>35402.769999999997</v>
      </c>
      <c r="D210" t="e">
        <f>NA()</f>
        <v>#N/A</v>
      </c>
      <c r="E210" t="e">
        <f>NA()</f>
        <v>#N/A</v>
      </c>
      <c r="F210" t="e">
        <f>NA()</f>
        <v>#N/A</v>
      </c>
      <c r="G210" t="e">
        <f>NA()</f>
        <v>#N/A</v>
      </c>
    </row>
    <row r="211" spans="1:7" x14ac:dyDescent="0.25">
      <c r="A211" s="1">
        <v>44582</v>
      </c>
      <c r="B211">
        <f>1835.38</f>
        <v>1835.38</v>
      </c>
      <c r="C211">
        <f>36692.38</f>
        <v>36692.379999999997</v>
      </c>
      <c r="D211">
        <f>24.2975</f>
        <v>24.297499999999999</v>
      </c>
      <c r="E211">
        <f>303</f>
        <v>303</v>
      </c>
      <c r="F211">
        <f>529.26</f>
        <v>529.26</v>
      </c>
      <c r="G211">
        <f>303.6036</f>
        <v>303.60359999999997</v>
      </c>
    </row>
    <row r="212" spans="1:7" x14ac:dyDescent="0.25">
      <c r="A212" s="1">
        <v>44581</v>
      </c>
      <c r="B212">
        <f>1839.29</f>
        <v>1839.29</v>
      </c>
      <c r="C212">
        <f>41326.77</f>
        <v>41326.769999999997</v>
      </c>
      <c r="D212">
        <f>24.4707</f>
        <v>24.470700000000001</v>
      </c>
      <c r="E212">
        <f>301</f>
        <v>301</v>
      </c>
      <c r="F212">
        <f>536.22</f>
        <v>536.22</v>
      </c>
      <c r="G212">
        <f>304.4516</f>
        <v>304.45159999999998</v>
      </c>
    </row>
    <row r="213" spans="1:7" x14ac:dyDescent="0.25">
      <c r="A213" s="1">
        <v>44580</v>
      </c>
      <c r="B213">
        <f>1840.54</f>
        <v>1840.54</v>
      </c>
      <c r="C213">
        <f>41724.22</f>
        <v>41724.22</v>
      </c>
      <c r="D213">
        <f>24.1385</f>
        <v>24.138500000000001</v>
      </c>
      <c r="E213">
        <f>301</f>
        <v>301</v>
      </c>
      <c r="F213">
        <f>540.46</f>
        <v>540.46</v>
      </c>
      <c r="G213">
        <f>302.2692</f>
        <v>302.26920000000001</v>
      </c>
    </row>
    <row r="214" spans="1:7" x14ac:dyDescent="0.25">
      <c r="A214" s="1">
        <v>44579</v>
      </c>
      <c r="B214">
        <f>1813.74</f>
        <v>1813.74</v>
      </c>
      <c r="C214">
        <f>42395.22</f>
        <v>42395.22</v>
      </c>
      <c r="D214">
        <f>23.4707</f>
        <v>23.470700000000001</v>
      </c>
      <c r="E214">
        <f>297</f>
        <v>297</v>
      </c>
      <c r="F214">
        <f>521.8</f>
        <v>521.79999999999995</v>
      </c>
      <c r="G214">
        <f>294.9876</f>
        <v>294.98759999999999</v>
      </c>
    </row>
    <row r="215" spans="1:7" x14ac:dyDescent="0.25">
      <c r="A215" s="1">
        <v>44578</v>
      </c>
      <c r="B215">
        <f>1819.23</f>
        <v>1819.23</v>
      </c>
      <c r="C215">
        <f>41743.99</f>
        <v>41743.99</v>
      </c>
      <c r="D215">
        <f>23.019</f>
        <v>23.018999999999998</v>
      </c>
      <c r="E215">
        <f>300</f>
        <v>300</v>
      </c>
      <c r="F215" t="e">
        <f>NA()</f>
        <v>#N/A</v>
      </c>
      <c r="G215" t="e">
        <f>NA()</f>
        <v>#N/A</v>
      </c>
    </row>
    <row r="216" spans="1:7" x14ac:dyDescent="0.25">
      <c r="A216" s="1">
        <v>44577</v>
      </c>
      <c r="B216" t="e">
        <f>NA()</f>
        <v>#N/A</v>
      </c>
      <c r="C216">
        <f>42982.4</f>
        <v>42982.400000000001</v>
      </c>
      <c r="D216" t="e">
        <f>NA()</f>
        <v>#N/A</v>
      </c>
      <c r="E216" t="e">
        <f>NA()</f>
        <v>#N/A</v>
      </c>
      <c r="F216" t="e">
        <f>NA()</f>
        <v>#N/A</v>
      </c>
      <c r="G216" t="e">
        <f>NA()</f>
        <v>#N/A</v>
      </c>
    </row>
    <row r="217" spans="1:7" x14ac:dyDescent="0.25">
      <c r="A217" s="1">
        <v>44576</v>
      </c>
      <c r="B217" t="e">
        <f>NA()</f>
        <v>#N/A</v>
      </c>
      <c r="C217">
        <f>43333.72</f>
        <v>43333.72</v>
      </c>
      <c r="D217" t="e">
        <f>NA()</f>
        <v>#N/A</v>
      </c>
      <c r="E217" t="e">
        <f>NA()</f>
        <v>#N/A</v>
      </c>
      <c r="F217" t="e">
        <f>NA()</f>
        <v>#N/A</v>
      </c>
      <c r="G217" t="e">
        <f>NA()</f>
        <v>#N/A</v>
      </c>
    </row>
    <row r="218" spans="1:7" x14ac:dyDescent="0.25">
      <c r="A218" s="1">
        <v>44575</v>
      </c>
      <c r="B218">
        <f>1817.94</f>
        <v>1817.94</v>
      </c>
      <c r="C218">
        <f>43321.7</f>
        <v>43321.7</v>
      </c>
      <c r="D218">
        <f>22.963</f>
        <v>22.963000000000001</v>
      </c>
      <c r="E218">
        <f>300</f>
        <v>300</v>
      </c>
      <c r="F218">
        <f>503.14</f>
        <v>503.14</v>
      </c>
      <c r="G218">
        <f>292.0146</f>
        <v>292.01459999999997</v>
      </c>
    </row>
    <row r="219" spans="1:7" x14ac:dyDescent="0.25">
      <c r="A219" s="1">
        <v>44574</v>
      </c>
      <c r="B219">
        <f>1822.54</f>
        <v>1822.54</v>
      </c>
      <c r="C219">
        <f>42828.59</f>
        <v>42828.59</v>
      </c>
      <c r="D219">
        <f>23.089</f>
        <v>23.088999999999999</v>
      </c>
      <c r="E219">
        <f>300</f>
        <v>300</v>
      </c>
      <c r="F219">
        <f>506.7</f>
        <v>506.7</v>
      </c>
      <c r="G219">
        <f>292.0291</f>
        <v>292.02910000000003</v>
      </c>
    </row>
    <row r="220" spans="1:7" x14ac:dyDescent="0.25">
      <c r="A220" s="1">
        <v>44573</v>
      </c>
      <c r="B220">
        <f>1826.15</f>
        <v>1826.15</v>
      </c>
      <c r="C220">
        <f>43793.81</f>
        <v>43793.81</v>
      </c>
      <c r="D220">
        <f>23.1443</f>
        <v>23.144300000000001</v>
      </c>
      <c r="E220">
        <f>300</f>
        <v>300</v>
      </c>
      <c r="F220">
        <f>514.16</f>
        <v>514.16</v>
      </c>
      <c r="G220">
        <f>297.2269</f>
        <v>297.2269</v>
      </c>
    </row>
    <row r="221" spans="1:7" x14ac:dyDescent="0.25">
      <c r="A221" s="1">
        <v>44572</v>
      </c>
      <c r="B221">
        <f>1821.6</f>
        <v>1821.6</v>
      </c>
      <c r="C221">
        <f>42687.27</f>
        <v>42687.27</v>
      </c>
      <c r="D221">
        <f>22.7822</f>
        <v>22.7822</v>
      </c>
      <c r="E221">
        <f>301</f>
        <v>301</v>
      </c>
      <c r="F221">
        <f>522.65</f>
        <v>522.65</v>
      </c>
      <c r="G221">
        <f>298.1138</f>
        <v>298.11380000000003</v>
      </c>
    </row>
    <row r="222" spans="1:7" x14ac:dyDescent="0.25">
      <c r="A222" s="1">
        <v>44571</v>
      </c>
      <c r="B222">
        <f>1801.68</f>
        <v>1801.68</v>
      </c>
      <c r="C222">
        <f>41729.31</f>
        <v>41729.31</v>
      </c>
      <c r="D222">
        <f>22.4686</f>
        <v>22.468599999999999</v>
      </c>
      <c r="E222">
        <f>303</f>
        <v>303</v>
      </c>
      <c r="F222">
        <f>517.05</f>
        <v>517.04999999999995</v>
      </c>
      <c r="G222">
        <f>296.606</f>
        <v>296.60599999999999</v>
      </c>
    </row>
    <row r="223" spans="1:7" x14ac:dyDescent="0.25">
      <c r="A223" s="1">
        <v>44570</v>
      </c>
      <c r="B223" t="e">
        <f>NA()</f>
        <v>#N/A</v>
      </c>
      <c r="C223">
        <f>42315.13</f>
        <v>42315.13</v>
      </c>
      <c r="D223" t="e">
        <f>NA()</f>
        <v>#N/A</v>
      </c>
      <c r="E223" t="e">
        <f>NA()</f>
        <v>#N/A</v>
      </c>
      <c r="F223" t="e">
        <f>NA()</f>
        <v>#N/A</v>
      </c>
      <c r="G223" t="e">
        <f>NA()</f>
        <v>#N/A</v>
      </c>
    </row>
    <row r="224" spans="1:7" x14ac:dyDescent="0.25">
      <c r="A224" s="1">
        <v>44569</v>
      </c>
      <c r="B224" t="e">
        <f>NA()</f>
        <v>#N/A</v>
      </c>
      <c r="C224">
        <f>41788.38</f>
        <v>41788.379999999997</v>
      </c>
      <c r="D224" t="e">
        <f>NA()</f>
        <v>#N/A</v>
      </c>
      <c r="E224" t="e">
        <f>NA()</f>
        <v>#N/A</v>
      </c>
      <c r="F224" t="e">
        <f>NA()</f>
        <v>#N/A</v>
      </c>
      <c r="G224" t="e">
        <f>NA()</f>
        <v>#N/A</v>
      </c>
    </row>
    <row r="225" spans="1:7" x14ac:dyDescent="0.25">
      <c r="A225" s="1">
        <v>44568</v>
      </c>
      <c r="B225">
        <f>1796.55</f>
        <v>1796.55</v>
      </c>
      <c r="C225">
        <f>41881.75</f>
        <v>41881.75</v>
      </c>
      <c r="D225">
        <f>22.3682</f>
        <v>22.368200000000002</v>
      </c>
      <c r="E225">
        <f>306</f>
        <v>306</v>
      </c>
      <c r="F225">
        <f>514.67</f>
        <v>514.66999999999996</v>
      </c>
      <c r="G225">
        <f>299.2919</f>
        <v>299.2919</v>
      </c>
    </row>
    <row r="226" spans="1:7" x14ac:dyDescent="0.25">
      <c r="A226" s="1">
        <v>44567</v>
      </c>
      <c r="B226">
        <f>1791.16</f>
        <v>1791.16</v>
      </c>
      <c r="C226">
        <f>43120.88</f>
        <v>43120.88</v>
      </c>
      <c r="D226">
        <f>22.1987</f>
        <v>22.198699999999999</v>
      </c>
      <c r="E226">
        <f>308</f>
        <v>308</v>
      </c>
      <c r="F226">
        <f>506.19</f>
        <v>506.19</v>
      </c>
      <c r="G226">
        <f>295.9354</f>
        <v>295.93540000000002</v>
      </c>
    </row>
    <row r="227" spans="1:7" x14ac:dyDescent="0.25">
      <c r="A227" s="1">
        <v>44566</v>
      </c>
      <c r="B227">
        <f>1810.44</f>
        <v>1810.44</v>
      </c>
      <c r="C227">
        <f>43603.88</f>
        <v>43603.88</v>
      </c>
      <c r="D227">
        <f>22.8053</f>
        <v>22.805299999999999</v>
      </c>
      <c r="E227">
        <f>309</f>
        <v>309</v>
      </c>
      <c r="F227">
        <f>516.2</f>
        <v>516.20000000000005</v>
      </c>
      <c r="G227">
        <f>298.0559</f>
        <v>298.05590000000001</v>
      </c>
    </row>
    <row r="228" spans="1:7" x14ac:dyDescent="0.25">
      <c r="A228" s="1">
        <v>44565</v>
      </c>
      <c r="B228">
        <f>1814.6</f>
        <v>1814.6</v>
      </c>
      <c r="C228">
        <f>46220.42</f>
        <v>46220.42</v>
      </c>
      <c r="D228">
        <f>23.053</f>
        <v>23.053000000000001</v>
      </c>
      <c r="E228">
        <f>309</f>
        <v>309</v>
      </c>
      <c r="F228">
        <f>522.48</f>
        <v>522.48</v>
      </c>
      <c r="G228">
        <f>300.4479</f>
        <v>300.4479</v>
      </c>
    </row>
    <row r="229" spans="1:7" x14ac:dyDescent="0.25">
      <c r="A229" s="1">
        <v>44564</v>
      </c>
      <c r="B229">
        <f>1801.45</f>
        <v>1801.45</v>
      </c>
      <c r="C229">
        <f>45997.26</f>
        <v>45997.26</v>
      </c>
      <c r="D229">
        <f>22.8997</f>
        <v>22.899699999999999</v>
      </c>
      <c r="E229">
        <f>309</f>
        <v>309</v>
      </c>
      <c r="F229">
        <f>514.33</f>
        <v>514.33000000000004</v>
      </c>
      <c r="G229">
        <f>292.9033</f>
        <v>292.9033</v>
      </c>
    </row>
    <row r="230" spans="1:7" x14ac:dyDescent="0.25">
      <c r="A230" s="1">
        <v>44563</v>
      </c>
      <c r="B230" t="e">
        <f>NA()</f>
        <v>#N/A</v>
      </c>
      <c r="C230">
        <f>47028.52</f>
        <v>47028.52</v>
      </c>
      <c r="D230" t="e">
        <f>NA()</f>
        <v>#N/A</v>
      </c>
      <c r="E230" t="e">
        <f>NA()</f>
        <v>#N/A</v>
      </c>
      <c r="F230" t="e">
        <f>NA()</f>
        <v>#N/A</v>
      </c>
      <c r="G230" t="e">
        <f>NA()</f>
        <v>#N/A</v>
      </c>
    </row>
    <row r="231" spans="1:7" x14ac:dyDescent="0.25">
      <c r="A231" s="1">
        <v>44562</v>
      </c>
      <c r="B231" t="e">
        <f>NA()</f>
        <v>#N/A</v>
      </c>
      <c r="C231">
        <f>47333.2</f>
        <v>47333.2</v>
      </c>
      <c r="D231" t="e">
        <f>NA()</f>
        <v>#N/A</v>
      </c>
      <c r="E231" t="e">
        <f>NA()</f>
        <v>#N/A</v>
      </c>
      <c r="F231" t="e">
        <f>NA()</f>
        <v>#N/A</v>
      </c>
      <c r="G231" t="e">
        <f>NA()</f>
        <v>#N/A</v>
      </c>
    </row>
    <row r="232" spans="1:7" x14ac:dyDescent="0.25">
      <c r="A232" s="1">
        <v>44561</v>
      </c>
      <c r="B232">
        <f>1829.2</f>
        <v>1829.2</v>
      </c>
      <c r="C232">
        <f>46333.65</f>
        <v>46333.65</v>
      </c>
      <c r="D232">
        <f>23.3083</f>
        <v>23.308299999999999</v>
      </c>
      <c r="E232" t="e">
        <f>NA()</f>
        <v>#N/A</v>
      </c>
      <c r="F232">
        <f>522.99</f>
        <v>522.99</v>
      </c>
      <c r="G232">
        <f>293.8654</f>
        <v>293.86540000000002</v>
      </c>
    </row>
    <row r="233" spans="1:7" x14ac:dyDescent="0.25">
      <c r="A233" s="1">
        <v>44560</v>
      </c>
      <c r="B233">
        <f>1814.67</f>
        <v>1814.67</v>
      </c>
      <c r="C233">
        <f>47298.35</f>
        <v>47298.35</v>
      </c>
      <c r="D233">
        <f>23.0426</f>
        <v>23.0426</v>
      </c>
      <c r="E233">
        <f>310</f>
        <v>310</v>
      </c>
      <c r="F233">
        <f>529.09</f>
        <v>529.09</v>
      </c>
      <c r="G233">
        <f>295.4607</f>
        <v>295.46069999999997</v>
      </c>
    </row>
    <row r="234" spans="1:7" x14ac:dyDescent="0.25">
      <c r="A234" s="1">
        <v>44559</v>
      </c>
      <c r="B234">
        <f>1804.71</f>
        <v>1804.71</v>
      </c>
      <c r="C234">
        <f>47232.15</f>
        <v>47232.15</v>
      </c>
      <c r="D234">
        <f>22.8331</f>
        <v>22.833100000000002</v>
      </c>
      <c r="E234">
        <f>311</f>
        <v>311</v>
      </c>
      <c r="F234">
        <f>534.52</f>
        <v>534.52</v>
      </c>
      <c r="G234">
        <f>300.4182</f>
        <v>300.41820000000001</v>
      </c>
    </row>
    <row r="235" spans="1:7" x14ac:dyDescent="0.25">
      <c r="A235" s="1">
        <v>44558</v>
      </c>
      <c r="B235">
        <f>1806.18</f>
        <v>1806.18</v>
      </c>
      <c r="C235">
        <f>47561.31</f>
        <v>47561.31</v>
      </c>
      <c r="D235">
        <f>23.02</f>
        <v>23.02</v>
      </c>
      <c r="E235">
        <f>314</f>
        <v>314</v>
      </c>
      <c r="F235">
        <f>531.64</f>
        <v>531.64</v>
      </c>
      <c r="G235">
        <f>299.7984</f>
        <v>299.79840000000002</v>
      </c>
    </row>
    <row r="236" spans="1:7" x14ac:dyDescent="0.25">
      <c r="A236" s="1">
        <v>44557</v>
      </c>
      <c r="B236">
        <f>1812.13</f>
        <v>1812.13</v>
      </c>
      <c r="C236">
        <f>50989.1</f>
        <v>50989.1</v>
      </c>
      <c r="D236">
        <f>23.0676</f>
        <v>23.067599999999999</v>
      </c>
      <c r="E236">
        <f>317</f>
        <v>317</v>
      </c>
      <c r="F236">
        <f>545.55</f>
        <v>545.54999999999995</v>
      </c>
      <c r="G236">
        <f>304.4694</f>
        <v>304.46940000000001</v>
      </c>
    </row>
    <row r="237" spans="1:7" x14ac:dyDescent="0.25">
      <c r="A237" s="1">
        <v>44556</v>
      </c>
      <c r="B237" t="e">
        <f>NA()</f>
        <v>#N/A</v>
      </c>
      <c r="C237">
        <f>50808.21</f>
        <v>50808.21</v>
      </c>
      <c r="D237" t="e">
        <f>NA()</f>
        <v>#N/A</v>
      </c>
      <c r="E237" t="e">
        <f>NA()</f>
        <v>#N/A</v>
      </c>
      <c r="F237" t="e">
        <f>NA()</f>
        <v>#N/A</v>
      </c>
      <c r="G237" t="e">
        <f>NA()</f>
        <v>#N/A</v>
      </c>
    </row>
    <row r="238" spans="1:7" x14ac:dyDescent="0.25">
      <c r="A238" s="1">
        <v>44555</v>
      </c>
      <c r="B238" t="e">
        <f>NA()</f>
        <v>#N/A</v>
      </c>
      <c r="C238">
        <f>50986.51</f>
        <v>50986.51</v>
      </c>
      <c r="D238" t="e">
        <f>NA()</f>
        <v>#N/A</v>
      </c>
      <c r="E238" t="e">
        <f>NA()</f>
        <v>#N/A</v>
      </c>
      <c r="F238" t="e">
        <f>NA()</f>
        <v>#N/A</v>
      </c>
      <c r="G238" t="e">
        <f>NA()</f>
        <v>#N/A</v>
      </c>
    </row>
    <row r="239" spans="1:7" x14ac:dyDescent="0.25">
      <c r="A239" s="1">
        <v>44554</v>
      </c>
      <c r="B239">
        <f>1810.26</f>
        <v>1810.26</v>
      </c>
      <c r="C239">
        <f>50908.79</f>
        <v>50908.79</v>
      </c>
      <c r="D239">
        <f>23.0205</f>
        <v>23.020499999999998</v>
      </c>
      <c r="E239" t="e">
        <f>NA()</f>
        <v>#N/A</v>
      </c>
      <c r="F239" t="e">
        <f>NA()</f>
        <v>#N/A</v>
      </c>
      <c r="G239" t="e">
        <f>NA()</f>
        <v>#N/A</v>
      </c>
    </row>
    <row r="240" spans="1:7" x14ac:dyDescent="0.25">
      <c r="A240" s="1">
        <v>44553</v>
      </c>
      <c r="B240">
        <f>1808.81</f>
        <v>1808.81</v>
      </c>
      <c r="C240">
        <f>50849.2</f>
        <v>50849.2</v>
      </c>
      <c r="D240">
        <f>22.8818</f>
        <v>22.881799999999998</v>
      </c>
      <c r="E240">
        <f>317</f>
        <v>317</v>
      </c>
      <c r="F240">
        <f>552.84</f>
        <v>552.84</v>
      </c>
      <c r="G240">
        <f>302.0659</f>
        <v>302.0659</v>
      </c>
    </row>
    <row r="241" spans="1:7" x14ac:dyDescent="0.25">
      <c r="A241" s="1">
        <v>44552</v>
      </c>
      <c r="B241">
        <f>1803.67</f>
        <v>1803.67</v>
      </c>
      <c r="C241">
        <f>49073.95</f>
        <v>49073.95</v>
      </c>
      <c r="D241">
        <f>22.811</f>
        <v>22.811</v>
      </c>
      <c r="E241">
        <f>318</f>
        <v>318</v>
      </c>
      <c r="F241">
        <f>552.33</f>
        <v>552.33000000000004</v>
      </c>
      <c r="G241">
        <f>300.6776</f>
        <v>300.67759999999998</v>
      </c>
    </row>
    <row r="242" spans="1:7" x14ac:dyDescent="0.25">
      <c r="A242" s="1">
        <v>44551</v>
      </c>
      <c r="B242">
        <f>1789.27</f>
        <v>1789.27</v>
      </c>
      <c r="C242">
        <f>49106.42</f>
        <v>49106.42</v>
      </c>
      <c r="D242">
        <f>22.5183</f>
        <v>22.5183</v>
      </c>
      <c r="E242">
        <f>319</f>
        <v>319</v>
      </c>
      <c r="F242">
        <f>542.15</f>
        <v>542.15</v>
      </c>
      <c r="G242">
        <f>296.7139</f>
        <v>296.71390000000002</v>
      </c>
    </row>
    <row r="243" spans="1:7" x14ac:dyDescent="0.25">
      <c r="A243" s="1">
        <v>44550</v>
      </c>
      <c r="B243">
        <f>1790.93</f>
        <v>1790.93</v>
      </c>
      <c r="C243">
        <f>46987.56</f>
        <v>46987.56</v>
      </c>
      <c r="D243">
        <f>22.271</f>
        <v>22.271000000000001</v>
      </c>
      <c r="E243">
        <f>320</f>
        <v>320</v>
      </c>
      <c r="F243">
        <f>527.74</f>
        <v>527.74</v>
      </c>
      <c r="G243">
        <f>291.3519</f>
        <v>291.3519</v>
      </c>
    </row>
    <row r="244" spans="1:7" x14ac:dyDescent="0.25">
      <c r="A244" s="1">
        <v>44549</v>
      </c>
      <c r="B244" t="e">
        <f>NA()</f>
        <v>#N/A</v>
      </c>
      <c r="C244">
        <f>46741.79</f>
        <v>46741.79</v>
      </c>
      <c r="D244" t="e">
        <f>NA()</f>
        <v>#N/A</v>
      </c>
      <c r="E244" t="e">
        <f>NA()</f>
        <v>#N/A</v>
      </c>
      <c r="F244" t="e">
        <f>NA()</f>
        <v>#N/A</v>
      </c>
      <c r="G244" t="e">
        <f>NA()</f>
        <v>#N/A</v>
      </c>
    </row>
    <row r="245" spans="1:7" x14ac:dyDescent="0.25">
      <c r="A245" s="1">
        <v>44548</v>
      </c>
      <c r="B245" t="e">
        <f>NA()</f>
        <v>#N/A</v>
      </c>
      <c r="C245">
        <f>46971.17</f>
        <v>46971.17</v>
      </c>
      <c r="D245" t="e">
        <f>NA()</f>
        <v>#N/A</v>
      </c>
      <c r="E245" t="e">
        <f>NA()</f>
        <v>#N/A</v>
      </c>
      <c r="F245" t="e">
        <f>NA()</f>
        <v>#N/A</v>
      </c>
      <c r="G245" t="e">
        <f>NA()</f>
        <v>#N/A</v>
      </c>
    </row>
    <row r="246" spans="1:7" x14ac:dyDescent="0.25">
      <c r="A246" s="1">
        <v>44547</v>
      </c>
      <c r="B246">
        <f>1798.11</f>
        <v>1798.11</v>
      </c>
      <c r="C246">
        <f>46873.03</f>
        <v>46873.03</v>
      </c>
      <c r="D246">
        <f>22.3695</f>
        <v>22.369499999999999</v>
      </c>
      <c r="E246">
        <f>320</f>
        <v>320</v>
      </c>
      <c r="F246">
        <f>525.87</f>
        <v>525.87</v>
      </c>
      <c r="G246">
        <f>290.9889</f>
        <v>290.9889</v>
      </c>
    </row>
    <row r="247" spans="1:7" x14ac:dyDescent="0.25">
      <c r="A247" s="1">
        <v>44546</v>
      </c>
      <c r="B247">
        <f>1799.35</f>
        <v>1799.35</v>
      </c>
      <c r="C247">
        <f>48111.68</f>
        <v>48111.68</v>
      </c>
      <c r="D247">
        <f>22.4915</f>
        <v>22.491499999999998</v>
      </c>
      <c r="E247">
        <f>318</f>
        <v>318</v>
      </c>
      <c r="F247">
        <f>522.82</f>
        <v>522.82000000000005</v>
      </c>
      <c r="G247">
        <f>289.3057</f>
        <v>289.3057</v>
      </c>
    </row>
    <row r="248" spans="1:7" x14ac:dyDescent="0.25">
      <c r="A248" s="1">
        <v>44545</v>
      </c>
      <c r="B248">
        <f>1776.92</f>
        <v>1776.92</v>
      </c>
      <c r="C248">
        <f>49192.58</f>
        <v>49192.58</v>
      </c>
      <c r="D248">
        <f>22.0728</f>
        <v>22.072800000000001</v>
      </c>
      <c r="E248">
        <f>315</f>
        <v>315</v>
      </c>
      <c r="F248">
        <f>512.98</f>
        <v>512.98</v>
      </c>
      <c r="G248">
        <f>285.5386</f>
        <v>285.53859999999997</v>
      </c>
    </row>
    <row r="249" spans="1:7" x14ac:dyDescent="0.25">
      <c r="A249" s="1">
        <v>44544</v>
      </c>
      <c r="B249">
        <f>1770.85</f>
        <v>1770.85</v>
      </c>
      <c r="C249">
        <f>48310.62</f>
        <v>48310.62</v>
      </c>
      <c r="D249">
        <f>21.9464</f>
        <v>21.946400000000001</v>
      </c>
      <c r="E249">
        <f>318</f>
        <v>318</v>
      </c>
      <c r="F249">
        <f>534.01</f>
        <v>534.01</v>
      </c>
      <c r="G249">
        <f>289.7099</f>
        <v>289.7099</v>
      </c>
    </row>
    <row r="250" spans="1:7" x14ac:dyDescent="0.25">
      <c r="A250" s="1">
        <v>44543</v>
      </c>
      <c r="B250">
        <f>1786.67</f>
        <v>1786.67</v>
      </c>
      <c r="C250">
        <f>46828.95</f>
        <v>46828.95</v>
      </c>
      <c r="D250">
        <f>22.3348</f>
        <v>22.334800000000001</v>
      </c>
      <c r="E250">
        <f>317</f>
        <v>317</v>
      </c>
      <c r="F250">
        <f>535.2</f>
        <v>535.20000000000005</v>
      </c>
      <c r="G250">
        <f>287.8454</f>
        <v>287.84539999999998</v>
      </c>
    </row>
    <row r="251" spans="1:7" x14ac:dyDescent="0.25">
      <c r="A251" s="1">
        <v>44542</v>
      </c>
      <c r="B251" t="e">
        <f>NA()</f>
        <v>#N/A</v>
      </c>
      <c r="C251">
        <f>49965.29</f>
        <v>49965.29</v>
      </c>
      <c r="D251" t="e">
        <f>NA()</f>
        <v>#N/A</v>
      </c>
      <c r="E251" t="e">
        <f>NA()</f>
        <v>#N/A</v>
      </c>
      <c r="F251" t="e">
        <f>NA()</f>
        <v>#N/A</v>
      </c>
      <c r="G251" t="e">
        <f>NA()</f>
        <v>#N/A</v>
      </c>
    </row>
    <row r="252" spans="1:7" x14ac:dyDescent="0.25">
      <c r="A252" s="1">
        <v>44541</v>
      </c>
      <c r="B252" t="e">
        <f>NA()</f>
        <v>#N/A</v>
      </c>
      <c r="C252">
        <f>48813.56</f>
        <v>48813.56</v>
      </c>
      <c r="D252" t="e">
        <f>NA()</f>
        <v>#N/A</v>
      </c>
      <c r="E252" t="e">
        <f>NA()</f>
        <v>#N/A</v>
      </c>
      <c r="F252" t="e">
        <f>NA()</f>
        <v>#N/A</v>
      </c>
      <c r="G252" t="e">
        <f>NA()</f>
        <v>#N/A</v>
      </c>
    </row>
    <row r="253" spans="1:7" x14ac:dyDescent="0.25">
      <c r="A253" s="1">
        <v>44540</v>
      </c>
      <c r="B253">
        <f>1782.84</f>
        <v>1782.84</v>
      </c>
      <c r="C253">
        <f>47952.18</f>
        <v>47952.18</v>
      </c>
      <c r="D253">
        <f>22.1958</f>
        <v>22.195799999999998</v>
      </c>
      <c r="E253">
        <f>318</f>
        <v>318</v>
      </c>
      <c r="F253">
        <f>532.82</f>
        <v>532.82000000000005</v>
      </c>
      <c r="G253">
        <f>289.7685</f>
        <v>289.76850000000002</v>
      </c>
    </row>
    <row r="254" spans="1:7" x14ac:dyDescent="0.25">
      <c r="A254" s="1">
        <v>44539</v>
      </c>
      <c r="B254">
        <f>1775.33</f>
        <v>1775.33</v>
      </c>
      <c r="C254">
        <f>47997.76</f>
        <v>47997.760000000002</v>
      </c>
      <c r="D254">
        <f>21.9624</f>
        <v>21.962399999999999</v>
      </c>
      <c r="E254">
        <f>318</f>
        <v>318</v>
      </c>
      <c r="F254">
        <f>527.06</f>
        <v>527.05999999999995</v>
      </c>
      <c r="G254">
        <f>288.7999</f>
        <v>288.79989999999998</v>
      </c>
    </row>
    <row r="255" spans="1:7" x14ac:dyDescent="0.25">
      <c r="A255" s="1">
        <v>44538</v>
      </c>
      <c r="B255">
        <f>1782.99</f>
        <v>1782.99</v>
      </c>
      <c r="C255">
        <f>50635.11</f>
        <v>50635.11</v>
      </c>
      <c r="D255">
        <f>22.4344</f>
        <v>22.4344</v>
      </c>
      <c r="E255" t="e">
        <f>NA()</f>
        <v>#N/A</v>
      </c>
      <c r="F255">
        <f>539.1</f>
        <v>539.1</v>
      </c>
      <c r="G255">
        <f>289.5802</f>
        <v>289.58019999999999</v>
      </c>
    </row>
    <row r="256" spans="1:7" x14ac:dyDescent="0.25">
      <c r="A256" s="1">
        <v>44537</v>
      </c>
      <c r="B256">
        <f>1784.13</f>
        <v>1784.13</v>
      </c>
      <c r="C256">
        <f>50527.72</f>
        <v>50527.72</v>
      </c>
      <c r="D256">
        <f>22.5051</f>
        <v>22.505099999999999</v>
      </c>
      <c r="E256">
        <f>320</f>
        <v>320</v>
      </c>
      <c r="F256">
        <f>548.6</f>
        <v>548.6</v>
      </c>
      <c r="G256">
        <f>290.1778</f>
        <v>290.17779999999999</v>
      </c>
    </row>
    <row r="257" spans="1:7" x14ac:dyDescent="0.25">
      <c r="A257" s="1">
        <v>44536</v>
      </c>
      <c r="B257">
        <f>1778.67</f>
        <v>1778.67</v>
      </c>
      <c r="C257">
        <f>50120.56</f>
        <v>50120.56</v>
      </c>
      <c r="D257">
        <f>22.3865</f>
        <v>22.386500000000002</v>
      </c>
      <c r="E257">
        <f>319</f>
        <v>319</v>
      </c>
      <c r="F257">
        <f>547.07</f>
        <v>547.07000000000005</v>
      </c>
      <c r="G257">
        <f>290.1253</f>
        <v>290.12529999999998</v>
      </c>
    </row>
    <row r="258" spans="1:7" x14ac:dyDescent="0.25">
      <c r="A258" s="1">
        <v>44535</v>
      </c>
      <c r="B258" t="e">
        <f>NA()</f>
        <v>#N/A</v>
      </c>
      <c r="C258">
        <f>49229.81</f>
        <v>49229.81</v>
      </c>
      <c r="D258" t="e">
        <f>NA()</f>
        <v>#N/A</v>
      </c>
      <c r="E258" t="e">
        <f>NA()</f>
        <v>#N/A</v>
      </c>
      <c r="F258" t="e">
        <f>NA()</f>
        <v>#N/A</v>
      </c>
      <c r="G258" t="e">
        <f>NA()</f>
        <v>#N/A</v>
      </c>
    </row>
    <row r="259" spans="1:7" x14ac:dyDescent="0.25">
      <c r="A259" s="1">
        <v>44534</v>
      </c>
      <c r="B259" t="e">
        <f>NA()</f>
        <v>#N/A</v>
      </c>
      <c r="C259">
        <f>48765.22</f>
        <v>48765.22</v>
      </c>
      <c r="D259" t="e">
        <f>NA()</f>
        <v>#N/A</v>
      </c>
      <c r="E259" t="e">
        <f>NA()</f>
        <v>#N/A</v>
      </c>
      <c r="F259" t="e">
        <f>NA()</f>
        <v>#N/A</v>
      </c>
      <c r="G259" t="e">
        <f>NA()</f>
        <v>#N/A</v>
      </c>
    </row>
    <row r="260" spans="1:7" x14ac:dyDescent="0.25">
      <c r="A260" s="1">
        <v>44533</v>
      </c>
      <c r="B260">
        <f>1783.29</f>
        <v>1783.29</v>
      </c>
      <c r="C260">
        <f>53655.27</f>
        <v>53655.27</v>
      </c>
      <c r="D260">
        <f>22.5239</f>
        <v>22.523900000000001</v>
      </c>
      <c r="E260">
        <f>319</f>
        <v>319</v>
      </c>
      <c r="F260">
        <f>545.38</f>
        <v>545.38</v>
      </c>
      <c r="G260">
        <f>290.5117</f>
        <v>290.51170000000002</v>
      </c>
    </row>
    <row r="261" spans="1:7" x14ac:dyDescent="0.25">
      <c r="A261" s="1">
        <v>44532</v>
      </c>
      <c r="B261">
        <f>1768.74</f>
        <v>1768.74</v>
      </c>
      <c r="C261">
        <f>56903.45</f>
        <v>56903.45</v>
      </c>
      <c r="D261">
        <f>22.386</f>
        <v>22.385999999999999</v>
      </c>
      <c r="E261">
        <f>318</f>
        <v>318</v>
      </c>
      <c r="F261">
        <f>553.01</f>
        <v>553.01</v>
      </c>
      <c r="G261">
        <f>289.1598</f>
        <v>289.15980000000002</v>
      </c>
    </row>
    <row r="262" spans="1:7" x14ac:dyDescent="0.25">
      <c r="A262" s="1">
        <v>44531</v>
      </c>
      <c r="B262">
        <f>1781.73</f>
        <v>1781.73</v>
      </c>
      <c r="C262">
        <f>57029.49</f>
        <v>57029.49</v>
      </c>
      <c r="D262">
        <f>22.3165</f>
        <v>22.316500000000001</v>
      </c>
      <c r="E262">
        <f>316</f>
        <v>316</v>
      </c>
      <c r="F262">
        <f>536.39</f>
        <v>536.39</v>
      </c>
      <c r="G262">
        <f>284.2932</f>
        <v>284.29320000000001</v>
      </c>
    </row>
    <row r="263" spans="1:7" x14ac:dyDescent="0.25">
      <c r="A263" s="1">
        <v>44530</v>
      </c>
      <c r="B263">
        <f>1774.52</f>
        <v>1774.52</v>
      </c>
      <c r="C263">
        <f>57138.67</f>
        <v>57138.67</v>
      </c>
      <c r="D263">
        <f>22.8355</f>
        <v>22.8355</v>
      </c>
      <c r="E263">
        <f>316</f>
        <v>316</v>
      </c>
      <c r="F263">
        <f>534.18</f>
        <v>534.17999999999995</v>
      </c>
      <c r="G263">
        <f>282.6763</f>
        <v>282.67630000000003</v>
      </c>
    </row>
    <row r="264" spans="1:7" x14ac:dyDescent="0.25">
      <c r="A264" s="1">
        <v>44529</v>
      </c>
      <c r="B264">
        <f>1784.6</f>
        <v>1784.6</v>
      </c>
      <c r="C264">
        <f>58316.89</f>
        <v>58316.89</v>
      </c>
      <c r="D264">
        <f>22.9041</f>
        <v>22.9041</v>
      </c>
      <c r="E264">
        <f>319</f>
        <v>319</v>
      </c>
      <c r="F264">
        <f>557.93</f>
        <v>557.92999999999995</v>
      </c>
      <c r="G264">
        <f>291.1545</f>
        <v>291.15449999999998</v>
      </c>
    </row>
    <row r="265" spans="1:7" x14ac:dyDescent="0.25">
      <c r="A265" s="1">
        <v>44528</v>
      </c>
      <c r="B265" t="e">
        <f>NA()</f>
        <v>#N/A</v>
      </c>
      <c r="C265">
        <f>56341.89</f>
        <v>56341.89</v>
      </c>
      <c r="D265" t="e">
        <f>NA()</f>
        <v>#N/A</v>
      </c>
      <c r="E265" t="e">
        <f>NA()</f>
        <v>#N/A</v>
      </c>
      <c r="F265" t="e">
        <f>NA()</f>
        <v>#N/A</v>
      </c>
      <c r="G265" t="e">
        <f>NA()</f>
        <v>#N/A</v>
      </c>
    </row>
    <row r="266" spans="1:7" x14ac:dyDescent="0.25">
      <c r="A266" s="1">
        <v>44527</v>
      </c>
      <c r="B266" t="e">
        <f>NA()</f>
        <v>#N/A</v>
      </c>
      <c r="C266">
        <f>54625.03</f>
        <v>54625.03</v>
      </c>
      <c r="D266" t="e">
        <f>NA()</f>
        <v>#N/A</v>
      </c>
      <c r="E266" t="e">
        <f>NA()</f>
        <v>#N/A</v>
      </c>
      <c r="F266" t="e">
        <f>NA()</f>
        <v>#N/A</v>
      </c>
      <c r="G266" t="e">
        <f>NA()</f>
        <v>#N/A</v>
      </c>
    </row>
    <row r="267" spans="1:7" x14ac:dyDescent="0.25">
      <c r="A267" s="1">
        <v>44526</v>
      </c>
      <c r="B267">
        <f>1802.59</f>
        <v>1802.59</v>
      </c>
      <c r="C267">
        <f>54019.74</f>
        <v>54019.74</v>
      </c>
      <c r="D267">
        <f>23.1555</f>
        <v>23.1555</v>
      </c>
      <c r="E267">
        <f>319</f>
        <v>319</v>
      </c>
      <c r="F267">
        <f>570.14</f>
        <v>570.14</v>
      </c>
      <c r="G267">
        <f>295.5146</f>
        <v>295.51459999999997</v>
      </c>
    </row>
    <row r="268" spans="1:7" x14ac:dyDescent="0.25">
      <c r="A268" s="1">
        <v>44525</v>
      </c>
      <c r="B268">
        <f>1788.85</f>
        <v>1788.85</v>
      </c>
      <c r="C268">
        <f>58855.15</f>
        <v>58855.15</v>
      </c>
      <c r="D268">
        <f>23.5995</f>
        <v>23.599499999999999</v>
      </c>
      <c r="E268">
        <f>319</f>
        <v>319</v>
      </c>
      <c r="F268" t="e">
        <f>NA()</f>
        <v>#N/A</v>
      </c>
      <c r="G268" t="e">
        <f>NA()</f>
        <v>#N/A</v>
      </c>
    </row>
    <row r="269" spans="1:7" x14ac:dyDescent="0.25">
      <c r="A269" s="1">
        <v>44524</v>
      </c>
      <c r="B269">
        <f>1788.61</f>
        <v>1788.61</v>
      </c>
      <c r="C269">
        <f>57331.67</f>
        <v>57331.67</v>
      </c>
      <c r="D269">
        <f>23.552</f>
        <v>23.552</v>
      </c>
      <c r="E269">
        <f>316</f>
        <v>316</v>
      </c>
      <c r="F269">
        <f>576.93</f>
        <v>576.92999999999995</v>
      </c>
      <c r="G269">
        <f>296.3994</f>
        <v>296.39940000000001</v>
      </c>
    </row>
    <row r="270" spans="1:7" x14ac:dyDescent="0.25">
      <c r="A270" s="1">
        <v>44523</v>
      </c>
      <c r="B270">
        <f>1789.16</f>
        <v>1789.16</v>
      </c>
      <c r="C270">
        <f>57709.14</f>
        <v>57709.14</v>
      </c>
      <c r="D270">
        <f>23.659</f>
        <v>23.658999999999999</v>
      </c>
      <c r="E270">
        <f>314</f>
        <v>314</v>
      </c>
      <c r="F270">
        <f>588.63</f>
        <v>588.63</v>
      </c>
      <c r="G270">
        <f>298.9243</f>
        <v>298.92430000000002</v>
      </c>
    </row>
    <row r="271" spans="1:7" x14ac:dyDescent="0.25">
      <c r="A271" s="1">
        <v>44522</v>
      </c>
      <c r="B271">
        <f>1804.65</f>
        <v>1804.65</v>
      </c>
      <c r="C271">
        <f>56278.01</f>
        <v>56278.01</v>
      </c>
      <c r="D271">
        <f>24.1818</f>
        <v>24.181799999999999</v>
      </c>
      <c r="E271" t="e">
        <f>NA()</f>
        <v>#N/A</v>
      </c>
      <c r="F271">
        <f>581.85</f>
        <v>581.85</v>
      </c>
      <c r="G271">
        <f>296.7928</f>
        <v>296.7928</v>
      </c>
    </row>
    <row r="272" spans="1:7" x14ac:dyDescent="0.25">
      <c r="A272" s="1">
        <v>44521</v>
      </c>
      <c r="B272" t="e">
        <f>NA()</f>
        <v>#N/A</v>
      </c>
      <c r="C272">
        <f>59541.76</f>
        <v>59541.760000000002</v>
      </c>
      <c r="D272" t="e">
        <f>NA()</f>
        <v>#N/A</v>
      </c>
      <c r="E272" t="e">
        <f>NA()</f>
        <v>#N/A</v>
      </c>
      <c r="F272" t="e">
        <f>NA()</f>
        <v>#N/A</v>
      </c>
      <c r="G272" t="e">
        <f>NA()</f>
        <v>#N/A</v>
      </c>
    </row>
    <row r="273" spans="1:7" x14ac:dyDescent="0.25">
      <c r="A273" s="1">
        <v>44520</v>
      </c>
      <c r="B273" t="e">
        <f>NA()</f>
        <v>#N/A</v>
      </c>
      <c r="C273">
        <f>59651.08</f>
        <v>59651.08</v>
      </c>
      <c r="D273" t="e">
        <f>NA()</f>
        <v>#N/A</v>
      </c>
      <c r="E273" t="e">
        <f>NA()</f>
        <v>#N/A</v>
      </c>
      <c r="F273" t="e">
        <f>NA()</f>
        <v>#N/A</v>
      </c>
      <c r="G273" t="e">
        <f>NA()</f>
        <v>#N/A</v>
      </c>
    </row>
    <row r="274" spans="1:7" x14ac:dyDescent="0.25">
      <c r="A274" s="1">
        <v>44519</v>
      </c>
      <c r="B274">
        <f>1845.73</f>
        <v>1845.73</v>
      </c>
      <c r="C274">
        <f>57869.63</f>
        <v>57869.63</v>
      </c>
      <c r="D274">
        <f>24.6185</f>
        <v>24.618500000000001</v>
      </c>
      <c r="E274">
        <f>312</f>
        <v>312</v>
      </c>
      <c r="F274">
        <f>566.07</f>
        <v>566.07000000000005</v>
      </c>
      <c r="G274">
        <f>291.7849</f>
        <v>291.78489999999999</v>
      </c>
    </row>
    <row r="275" spans="1:7" x14ac:dyDescent="0.25">
      <c r="A275" s="1">
        <v>44518</v>
      </c>
      <c r="B275">
        <f>1858.94</f>
        <v>1858.94</v>
      </c>
      <c r="C275">
        <f>57595.39</f>
        <v>57595.39</v>
      </c>
      <c r="D275">
        <f>24.8048</f>
        <v>24.8048</v>
      </c>
      <c r="E275">
        <f>310</f>
        <v>310</v>
      </c>
      <c r="F275">
        <f>563.7</f>
        <v>563.70000000000005</v>
      </c>
      <c r="G275">
        <f>291.7409</f>
        <v>291.74090000000001</v>
      </c>
    </row>
    <row r="276" spans="1:7" x14ac:dyDescent="0.25">
      <c r="A276" s="1">
        <v>44517</v>
      </c>
      <c r="B276">
        <f>1867.48</f>
        <v>1867.48</v>
      </c>
      <c r="C276">
        <f>60117.19</f>
        <v>60117.19</v>
      </c>
      <c r="D276">
        <f>25.0858</f>
        <v>25.085799999999999</v>
      </c>
      <c r="E276">
        <f>310</f>
        <v>310</v>
      </c>
      <c r="F276">
        <f>565.22</f>
        <v>565.22</v>
      </c>
      <c r="G276">
        <f>293.3997</f>
        <v>293.3997</v>
      </c>
    </row>
    <row r="277" spans="1:7" x14ac:dyDescent="0.25">
      <c r="A277" s="1">
        <v>44516</v>
      </c>
      <c r="B277">
        <f>1850.63</f>
        <v>1850.63</v>
      </c>
      <c r="C277">
        <f>60488.5</f>
        <v>60488.5</v>
      </c>
      <c r="D277">
        <f>24.8341</f>
        <v>24.834099999999999</v>
      </c>
      <c r="E277">
        <f>308</f>
        <v>308</v>
      </c>
      <c r="F277">
        <f>556.4</f>
        <v>556.4</v>
      </c>
      <c r="G277">
        <f>289.3194</f>
        <v>289.31939999999997</v>
      </c>
    </row>
    <row r="278" spans="1:7" x14ac:dyDescent="0.25">
      <c r="A278" s="1">
        <v>44515</v>
      </c>
      <c r="B278">
        <f>1862.84</f>
        <v>1862.84</v>
      </c>
      <c r="C278">
        <f>63899.88</f>
        <v>63899.88</v>
      </c>
      <c r="D278">
        <f>25.0631</f>
        <v>25.063099999999999</v>
      </c>
      <c r="E278">
        <f>312</f>
        <v>312</v>
      </c>
      <c r="F278">
        <f>567.77</f>
        <v>567.77</v>
      </c>
      <c r="G278">
        <f>292.8387</f>
        <v>292.83870000000002</v>
      </c>
    </row>
    <row r="279" spans="1:7" x14ac:dyDescent="0.25">
      <c r="A279" s="1">
        <v>44514</v>
      </c>
      <c r="B279" t="e">
        <f>NA()</f>
        <v>#N/A</v>
      </c>
      <c r="C279">
        <f>64336.55</f>
        <v>64336.55</v>
      </c>
      <c r="D279" t="e">
        <f>NA()</f>
        <v>#N/A</v>
      </c>
      <c r="E279" t="e">
        <f>NA()</f>
        <v>#N/A</v>
      </c>
      <c r="F279" t="e">
        <f>NA()</f>
        <v>#N/A</v>
      </c>
      <c r="G279" t="e">
        <f>NA()</f>
        <v>#N/A</v>
      </c>
    </row>
    <row r="280" spans="1:7" x14ac:dyDescent="0.25">
      <c r="A280" s="1">
        <v>44513</v>
      </c>
      <c r="B280" t="e">
        <f>NA()</f>
        <v>#N/A</v>
      </c>
      <c r="C280">
        <f>64367.64</f>
        <v>64367.64</v>
      </c>
      <c r="D280" t="e">
        <f>NA()</f>
        <v>#N/A</v>
      </c>
      <c r="E280" t="e">
        <f>NA()</f>
        <v>#N/A</v>
      </c>
      <c r="F280" t="e">
        <f>NA()</f>
        <v>#N/A</v>
      </c>
      <c r="G280" t="e">
        <f>NA()</f>
        <v>#N/A</v>
      </c>
    </row>
    <row r="281" spans="1:7" x14ac:dyDescent="0.25">
      <c r="A281" s="1">
        <v>44512</v>
      </c>
      <c r="B281">
        <f>1864.9</f>
        <v>1864.9</v>
      </c>
      <c r="C281">
        <f>64100.68</f>
        <v>64100.68</v>
      </c>
      <c r="D281">
        <f>25.3176</f>
        <v>25.317599999999999</v>
      </c>
      <c r="E281">
        <f>315</f>
        <v>315</v>
      </c>
      <c r="F281">
        <f>562.17</f>
        <v>562.16999999999996</v>
      </c>
      <c r="G281">
        <f>291.3807</f>
        <v>291.38069999999999</v>
      </c>
    </row>
    <row r="282" spans="1:7" x14ac:dyDescent="0.25">
      <c r="A282" s="1">
        <v>44511</v>
      </c>
      <c r="B282">
        <f>1862.11</f>
        <v>1862.11</v>
      </c>
      <c r="C282">
        <f>65069.89</f>
        <v>65069.89</v>
      </c>
      <c r="D282">
        <f>25.2565</f>
        <v>25.256499999999999</v>
      </c>
      <c r="E282">
        <f>317</f>
        <v>317</v>
      </c>
      <c r="F282">
        <f>559.29</f>
        <v>559.29</v>
      </c>
      <c r="G282">
        <f>287.4742</f>
        <v>287.4742</v>
      </c>
    </row>
    <row r="283" spans="1:7" x14ac:dyDescent="0.25">
      <c r="A283" s="1">
        <v>44510</v>
      </c>
      <c r="B283">
        <f>1849.6</f>
        <v>1849.6</v>
      </c>
      <c r="C283">
        <f>64293.61</f>
        <v>64293.61</v>
      </c>
      <c r="D283">
        <f>24.639</f>
        <v>24.638999999999999</v>
      </c>
      <c r="E283">
        <f>317</f>
        <v>317</v>
      </c>
      <c r="F283">
        <f>551.38</f>
        <v>551.38</v>
      </c>
      <c r="G283">
        <f>285.6015</f>
        <v>285.60149999999999</v>
      </c>
    </row>
    <row r="284" spans="1:7" x14ac:dyDescent="0.25">
      <c r="A284" s="1">
        <v>44509</v>
      </c>
      <c r="B284">
        <f>1831.92</f>
        <v>1831.92</v>
      </c>
      <c r="C284">
        <f>67734.04</f>
        <v>67734.039999999994</v>
      </c>
      <c r="D284">
        <f>24.3064</f>
        <v>24.3064</v>
      </c>
      <c r="E284">
        <f>315</f>
        <v>315</v>
      </c>
      <c r="F284">
        <f>533.03</f>
        <v>533.03</v>
      </c>
      <c r="G284">
        <f>279.2084</f>
        <v>279.20839999999998</v>
      </c>
    </row>
    <row r="285" spans="1:7" x14ac:dyDescent="0.25">
      <c r="A285" s="1">
        <v>44508</v>
      </c>
      <c r="B285">
        <f>1824.18</f>
        <v>1824.18</v>
      </c>
      <c r="C285">
        <f>66138.54</f>
        <v>66138.539999999994</v>
      </c>
      <c r="D285">
        <f>24.4595</f>
        <v>24.459499999999998</v>
      </c>
      <c r="E285">
        <f>314</f>
        <v>314</v>
      </c>
      <c r="F285">
        <f>524.72</f>
        <v>524.72</v>
      </c>
      <c r="G285">
        <f>275.1087</f>
        <v>275.1087</v>
      </c>
    </row>
    <row r="286" spans="1:7" x14ac:dyDescent="0.25">
      <c r="A286" s="1">
        <v>44507</v>
      </c>
      <c r="B286" t="e">
        <f>NA()</f>
        <v>#N/A</v>
      </c>
      <c r="C286">
        <f>62884.45</f>
        <v>62884.45</v>
      </c>
      <c r="D286" t="e">
        <f>NA()</f>
        <v>#N/A</v>
      </c>
      <c r="E286" t="e">
        <f>NA()</f>
        <v>#N/A</v>
      </c>
      <c r="F286" t="e">
        <f>NA()</f>
        <v>#N/A</v>
      </c>
      <c r="G286" t="e">
        <f>NA()</f>
        <v>#N/A</v>
      </c>
    </row>
    <row r="287" spans="1:7" x14ac:dyDescent="0.25">
      <c r="A287" s="1">
        <v>44506</v>
      </c>
      <c r="B287" t="e">
        <f>NA()</f>
        <v>#N/A</v>
      </c>
      <c r="C287">
        <f>61201.83</f>
        <v>61201.83</v>
      </c>
      <c r="D287" t="e">
        <f>NA()</f>
        <v>#N/A</v>
      </c>
      <c r="E287" t="e">
        <f>NA()</f>
        <v>#N/A</v>
      </c>
      <c r="F287" t="e">
        <f>NA()</f>
        <v>#N/A</v>
      </c>
      <c r="G287" t="e">
        <f>NA()</f>
        <v>#N/A</v>
      </c>
    </row>
    <row r="288" spans="1:7" x14ac:dyDescent="0.25">
      <c r="A288" s="1">
        <v>44505</v>
      </c>
      <c r="B288">
        <f>1818.36</f>
        <v>1818.36</v>
      </c>
      <c r="C288">
        <f>60976.2</f>
        <v>60976.2</v>
      </c>
      <c r="D288">
        <f>24.16</f>
        <v>24.16</v>
      </c>
      <c r="E288" t="e">
        <f>NA()</f>
        <v>#N/A</v>
      </c>
      <c r="F288">
        <f>521.9</f>
        <v>521.9</v>
      </c>
      <c r="G288">
        <f>275.7987</f>
        <v>275.7987</v>
      </c>
    </row>
    <row r="289" spans="1:7" x14ac:dyDescent="0.25">
      <c r="A289" s="1">
        <v>44504</v>
      </c>
      <c r="B289">
        <f>1792.04</f>
        <v>1792.04</v>
      </c>
      <c r="C289">
        <f>61365.05</f>
        <v>61365.05</v>
      </c>
      <c r="D289">
        <f>23.7955</f>
        <v>23.795500000000001</v>
      </c>
      <c r="E289">
        <f>314</f>
        <v>314</v>
      </c>
      <c r="F289">
        <f>525.02</f>
        <v>525.02</v>
      </c>
      <c r="G289">
        <f>278.9996</f>
        <v>278.99959999999999</v>
      </c>
    </row>
    <row r="290" spans="1:7" x14ac:dyDescent="0.25">
      <c r="A290" s="1">
        <v>44503</v>
      </c>
      <c r="B290">
        <f>1769.84</f>
        <v>1769.84</v>
      </c>
      <c r="C290">
        <f>62776.06</f>
        <v>62776.06</v>
      </c>
      <c r="D290">
        <f>23.5191</f>
        <v>23.519100000000002</v>
      </c>
      <c r="E290">
        <f>315</f>
        <v>315</v>
      </c>
      <c r="F290">
        <f>529.94</f>
        <v>529.94000000000005</v>
      </c>
      <c r="G290">
        <f>282.1144</f>
        <v>282.11439999999999</v>
      </c>
    </row>
    <row r="291" spans="1:7" x14ac:dyDescent="0.25">
      <c r="A291" s="1">
        <v>44502</v>
      </c>
      <c r="B291">
        <f>1787.76</f>
        <v>1787.76</v>
      </c>
      <c r="C291">
        <f>63141.03</f>
        <v>63141.03</v>
      </c>
      <c r="D291">
        <f>23.5369</f>
        <v>23.536899999999999</v>
      </c>
      <c r="E291">
        <f>317</f>
        <v>317</v>
      </c>
      <c r="F291">
        <f>537.06</f>
        <v>537.05999999999995</v>
      </c>
      <c r="G291">
        <f>285.7036</f>
        <v>285.70359999999999</v>
      </c>
    </row>
    <row r="292" spans="1:7" x14ac:dyDescent="0.25">
      <c r="A292" s="1">
        <v>44501</v>
      </c>
      <c r="B292">
        <f>1793.28</f>
        <v>1793.28</v>
      </c>
      <c r="C292">
        <f>60727.52</f>
        <v>60727.519999999997</v>
      </c>
      <c r="D292">
        <f>24.0445</f>
        <v>24.044499999999999</v>
      </c>
      <c r="E292">
        <f>314</f>
        <v>314</v>
      </c>
      <c r="F292">
        <f>540.97</f>
        <v>540.97</v>
      </c>
      <c r="G292">
        <f>287.0418</f>
        <v>287.04180000000002</v>
      </c>
    </row>
    <row r="293" spans="1:7" x14ac:dyDescent="0.25">
      <c r="A293" s="1">
        <v>44500</v>
      </c>
      <c r="B293" t="e">
        <f>NA()</f>
        <v>#N/A</v>
      </c>
      <c r="C293">
        <f>60975.98</f>
        <v>60975.98</v>
      </c>
      <c r="D293" t="e">
        <f>NA()</f>
        <v>#N/A</v>
      </c>
      <c r="E293" t="e">
        <f>NA()</f>
        <v>#N/A</v>
      </c>
      <c r="F293" t="e">
        <f>NA()</f>
        <v>#N/A</v>
      </c>
      <c r="G293" t="e">
        <f>NA()</f>
        <v>#N/A</v>
      </c>
    </row>
    <row r="294" spans="1:7" x14ac:dyDescent="0.25">
      <c r="A294" s="1">
        <v>44499</v>
      </c>
      <c r="B294" t="e">
        <f>NA()</f>
        <v>#N/A</v>
      </c>
      <c r="C294">
        <f>61682.78</f>
        <v>61682.78</v>
      </c>
      <c r="D294" t="e">
        <f>NA()</f>
        <v>#N/A</v>
      </c>
      <c r="E294" t="e">
        <f>NA()</f>
        <v>#N/A</v>
      </c>
      <c r="F294" t="e">
        <f>NA()</f>
        <v>#N/A</v>
      </c>
      <c r="G294" t="e">
        <f>NA()</f>
        <v>#N/A</v>
      </c>
    </row>
    <row r="295" spans="1:7" x14ac:dyDescent="0.25">
      <c r="A295" s="1">
        <v>44498</v>
      </c>
      <c r="B295">
        <f>1783.38</f>
        <v>1783.38</v>
      </c>
      <c r="C295">
        <f>62395.66</f>
        <v>62395.66</v>
      </c>
      <c r="D295">
        <f>23.903</f>
        <v>23.902999999999999</v>
      </c>
      <c r="E295">
        <f>309</f>
        <v>309</v>
      </c>
      <c r="F295">
        <f>524.34</f>
        <v>524.34</v>
      </c>
      <c r="G295">
        <f>282.4472</f>
        <v>282.44720000000001</v>
      </c>
    </row>
    <row r="296" spans="1:7" x14ac:dyDescent="0.25">
      <c r="A296" s="1">
        <v>44497</v>
      </c>
      <c r="B296">
        <f>1798.91</f>
        <v>1798.91</v>
      </c>
      <c r="C296">
        <f>61395.58</f>
        <v>61395.58</v>
      </c>
      <c r="D296">
        <f>24.079</f>
        <v>24.079000000000001</v>
      </c>
      <c r="E296">
        <f>307</f>
        <v>307</v>
      </c>
      <c r="F296">
        <f>524.17</f>
        <v>524.16999999999996</v>
      </c>
      <c r="G296">
        <f>281.3518</f>
        <v>281.35180000000003</v>
      </c>
    </row>
    <row r="297" spans="1:7" x14ac:dyDescent="0.25">
      <c r="A297" s="1">
        <v>44496</v>
      </c>
      <c r="B297">
        <f>1796.81</f>
        <v>1796.81</v>
      </c>
      <c r="C297">
        <f>58924.76</f>
        <v>58924.76</v>
      </c>
      <c r="D297">
        <f>24.0638</f>
        <v>24.063800000000001</v>
      </c>
      <c r="E297">
        <f>303</f>
        <v>303</v>
      </c>
      <c r="F297">
        <f>515.52</f>
        <v>515.52</v>
      </c>
      <c r="G297">
        <f>279.356</f>
        <v>279.35599999999999</v>
      </c>
    </row>
    <row r="298" spans="1:7" x14ac:dyDescent="0.25">
      <c r="A298" s="1">
        <v>44495</v>
      </c>
      <c r="B298">
        <f>1792.91</f>
        <v>1792.91</v>
      </c>
      <c r="C298">
        <f>62096.9</f>
        <v>62096.9</v>
      </c>
      <c r="D298">
        <f>24.1575</f>
        <v>24.157499999999999</v>
      </c>
      <c r="E298">
        <f>300</f>
        <v>300</v>
      </c>
      <c r="F298">
        <f>510.43</f>
        <v>510.43</v>
      </c>
      <c r="G298">
        <f>275.8786</f>
        <v>275.87860000000001</v>
      </c>
    </row>
    <row r="299" spans="1:7" x14ac:dyDescent="0.25">
      <c r="A299" s="1">
        <v>44494</v>
      </c>
      <c r="B299">
        <f>1807.73</f>
        <v>1807.73</v>
      </c>
      <c r="C299">
        <f>62544.64</f>
        <v>62544.639999999999</v>
      </c>
      <c r="D299">
        <f>24.5697</f>
        <v>24.569700000000001</v>
      </c>
      <c r="E299">
        <f>298</f>
        <v>298</v>
      </c>
      <c r="F299">
        <f>515.35</f>
        <v>515.35</v>
      </c>
      <c r="G299">
        <f>275.3819</f>
        <v>275.38189999999997</v>
      </c>
    </row>
    <row r="300" spans="1:7" x14ac:dyDescent="0.25">
      <c r="A300" s="1">
        <v>44493</v>
      </c>
      <c r="B300" t="e">
        <f>NA()</f>
        <v>#N/A</v>
      </c>
      <c r="C300">
        <f>61159.77</f>
        <v>61159.77</v>
      </c>
      <c r="D300" t="e">
        <f>NA()</f>
        <v>#N/A</v>
      </c>
      <c r="E300" t="e">
        <f>NA()</f>
        <v>#N/A</v>
      </c>
      <c r="F300" t="e">
        <f>NA()</f>
        <v>#N/A</v>
      </c>
      <c r="G300" t="e">
        <f>NA()</f>
        <v>#N/A</v>
      </c>
    </row>
    <row r="301" spans="1:7" x14ac:dyDescent="0.25">
      <c r="A301" s="1">
        <v>44492</v>
      </c>
      <c r="B301" t="e">
        <f>NA()</f>
        <v>#N/A</v>
      </c>
      <c r="C301">
        <f>61124.51</f>
        <v>61124.51</v>
      </c>
      <c r="D301" t="e">
        <f>NA()</f>
        <v>#N/A</v>
      </c>
      <c r="E301" t="e">
        <f>NA()</f>
        <v>#N/A</v>
      </c>
      <c r="F301" t="e">
        <f>NA()</f>
        <v>#N/A</v>
      </c>
      <c r="G301" t="e">
        <f>NA()</f>
        <v>#N/A</v>
      </c>
    </row>
    <row r="302" spans="1:7" x14ac:dyDescent="0.25">
      <c r="A302" s="1">
        <v>44491</v>
      </c>
      <c r="B302">
        <f>1792.65</f>
        <v>1792.65</v>
      </c>
      <c r="C302">
        <f>60726.01</f>
        <v>60726.01</v>
      </c>
      <c r="D302">
        <f>24.3233</f>
        <v>24.3233</v>
      </c>
      <c r="E302">
        <f>298</f>
        <v>298</v>
      </c>
      <c r="F302">
        <f>512.98</f>
        <v>512.98</v>
      </c>
      <c r="G302">
        <f>273.8278</f>
        <v>273.82780000000002</v>
      </c>
    </row>
    <row r="303" spans="1:7" x14ac:dyDescent="0.25">
      <c r="A303" s="1">
        <v>44490</v>
      </c>
      <c r="B303">
        <f>1782.9</f>
        <v>1782.9</v>
      </c>
      <c r="C303">
        <f>62680.43</f>
        <v>62680.43</v>
      </c>
      <c r="D303">
        <f>24.156</f>
        <v>24.155999999999999</v>
      </c>
      <c r="E303">
        <f>296</f>
        <v>296</v>
      </c>
      <c r="F303">
        <f>502.97</f>
        <v>502.97</v>
      </c>
      <c r="G303">
        <f>270.7562</f>
        <v>270.75619999999998</v>
      </c>
    </row>
    <row r="304" spans="1:7" x14ac:dyDescent="0.25">
      <c r="A304" s="1">
        <v>44489</v>
      </c>
      <c r="B304">
        <f>1782.08</f>
        <v>1782.08</v>
      </c>
      <c r="C304">
        <f>65996.35</f>
        <v>65996.350000000006</v>
      </c>
      <c r="D304">
        <f>24.292</f>
        <v>24.292000000000002</v>
      </c>
      <c r="E304">
        <f>296</f>
        <v>296</v>
      </c>
      <c r="F304">
        <f>508.4</f>
        <v>508.4</v>
      </c>
      <c r="G304">
        <f>274.6511</f>
        <v>274.65109999999999</v>
      </c>
    </row>
    <row r="305" spans="1:7" x14ac:dyDescent="0.25">
      <c r="A305" s="1">
        <v>44488</v>
      </c>
      <c r="B305">
        <f>1769.29</f>
        <v>1769.29</v>
      </c>
      <c r="C305">
        <f>64121.31</f>
        <v>64121.31</v>
      </c>
      <c r="D305">
        <f>23.667</f>
        <v>23.667000000000002</v>
      </c>
      <c r="E305">
        <f>295</f>
        <v>295</v>
      </c>
      <c r="F305">
        <f>499.41</f>
        <v>499.41</v>
      </c>
      <c r="G305">
        <f>270.2693</f>
        <v>270.26929999999999</v>
      </c>
    </row>
    <row r="306" spans="1:7" x14ac:dyDescent="0.25">
      <c r="A306" s="1">
        <v>44487</v>
      </c>
      <c r="B306">
        <f>1764.86</f>
        <v>1764.86</v>
      </c>
      <c r="C306">
        <f>61367.44</f>
        <v>61367.44</v>
      </c>
      <c r="D306">
        <f>23.1933</f>
        <v>23.193300000000001</v>
      </c>
      <c r="E306">
        <f>297</f>
        <v>297</v>
      </c>
      <c r="F306">
        <f>499.58</f>
        <v>499.58</v>
      </c>
      <c r="G306">
        <f>270.2208</f>
        <v>270.2208</v>
      </c>
    </row>
    <row r="307" spans="1:7" x14ac:dyDescent="0.25">
      <c r="A307" s="1">
        <v>44486</v>
      </c>
      <c r="B307" t="e">
        <f>NA()</f>
        <v>#N/A</v>
      </c>
      <c r="C307">
        <f>59400.14</f>
        <v>59400.14</v>
      </c>
      <c r="D307" t="e">
        <f>NA()</f>
        <v>#N/A</v>
      </c>
      <c r="E307" t="e">
        <f>NA()</f>
        <v>#N/A</v>
      </c>
      <c r="F307" t="e">
        <f>NA()</f>
        <v>#N/A</v>
      </c>
      <c r="G307" t="e">
        <f>NA()</f>
        <v>#N/A</v>
      </c>
    </row>
    <row r="308" spans="1:7" x14ac:dyDescent="0.25">
      <c r="A308" s="1">
        <v>44485</v>
      </c>
      <c r="B308" t="e">
        <f>NA()</f>
        <v>#N/A</v>
      </c>
      <c r="C308">
        <f>61014.11</f>
        <v>61014.11</v>
      </c>
      <c r="D308" t="e">
        <f>NA()</f>
        <v>#N/A</v>
      </c>
      <c r="E308" t="e">
        <f>NA()</f>
        <v>#N/A</v>
      </c>
      <c r="F308" t="e">
        <f>NA()</f>
        <v>#N/A</v>
      </c>
      <c r="G308" t="e">
        <f>NA()</f>
        <v>#N/A</v>
      </c>
    </row>
    <row r="309" spans="1:7" x14ac:dyDescent="0.25">
      <c r="A309" s="1">
        <v>44484</v>
      </c>
      <c r="B309">
        <f>1767.62</f>
        <v>1767.62</v>
      </c>
      <c r="C309">
        <f>62526.67</f>
        <v>62526.67</v>
      </c>
      <c r="D309">
        <f>23.3098</f>
        <v>23.309799999999999</v>
      </c>
      <c r="E309">
        <f>301</f>
        <v>301</v>
      </c>
      <c r="F309">
        <f>498.05</f>
        <v>498.05</v>
      </c>
      <c r="G309">
        <f>268.3481</f>
        <v>268.34809999999999</v>
      </c>
    </row>
    <row r="310" spans="1:7" x14ac:dyDescent="0.25">
      <c r="A310" s="1">
        <v>44483</v>
      </c>
      <c r="B310">
        <f>1795.87</f>
        <v>1795.87</v>
      </c>
      <c r="C310">
        <f>57443.04</f>
        <v>57443.040000000001</v>
      </c>
      <c r="D310">
        <f>23.5195</f>
        <v>23.519500000000001</v>
      </c>
      <c r="E310">
        <f>300</f>
        <v>300</v>
      </c>
      <c r="F310">
        <f>491.77</f>
        <v>491.77</v>
      </c>
      <c r="G310">
        <f>264.7132</f>
        <v>264.71319999999997</v>
      </c>
    </row>
    <row r="311" spans="1:7" x14ac:dyDescent="0.25">
      <c r="A311" s="1">
        <v>44482</v>
      </c>
      <c r="B311">
        <f>1792.97</f>
        <v>1792.97</v>
      </c>
      <c r="C311">
        <f>56982.87</f>
        <v>56982.87</v>
      </c>
      <c r="D311">
        <f>23.093</f>
        <v>23.093</v>
      </c>
      <c r="E311">
        <f>303</f>
        <v>303</v>
      </c>
      <c r="F311">
        <f>487.7</f>
        <v>487.7</v>
      </c>
      <c r="G311">
        <f>262.2328</f>
        <v>262.2328</v>
      </c>
    </row>
    <row r="312" spans="1:7" x14ac:dyDescent="0.25">
      <c r="A312" s="1">
        <v>44481</v>
      </c>
      <c r="B312">
        <f>1760.18</f>
        <v>1760.18</v>
      </c>
      <c r="C312">
        <f>55362.51</f>
        <v>55362.51</v>
      </c>
      <c r="D312">
        <f>22.5629</f>
        <v>22.562899999999999</v>
      </c>
      <c r="E312">
        <f>308</f>
        <v>308</v>
      </c>
      <c r="F312">
        <f>498.05</f>
        <v>498.05</v>
      </c>
      <c r="G312">
        <f>266.1115</f>
        <v>266.11149999999998</v>
      </c>
    </row>
    <row r="313" spans="1:7" x14ac:dyDescent="0.25">
      <c r="A313" s="1">
        <v>44480</v>
      </c>
      <c r="B313">
        <f>1754.15</f>
        <v>1754.15</v>
      </c>
      <c r="C313">
        <f>57341.5</f>
        <v>57341.5</v>
      </c>
      <c r="D313">
        <f>22.582</f>
        <v>22.582000000000001</v>
      </c>
      <c r="E313" t="e">
        <f>NA()</f>
        <v>#N/A</v>
      </c>
      <c r="F313">
        <f>496.52</f>
        <v>496.52</v>
      </c>
      <c r="G313">
        <f>269.586</f>
        <v>269.58600000000001</v>
      </c>
    </row>
    <row r="314" spans="1:7" x14ac:dyDescent="0.25">
      <c r="A314" s="1">
        <v>44479</v>
      </c>
      <c r="B314" t="e">
        <f>NA()</f>
        <v>#N/A</v>
      </c>
      <c r="C314">
        <f>55435.21</f>
        <v>55435.21</v>
      </c>
      <c r="D314" t="e">
        <f>NA()</f>
        <v>#N/A</v>
      </c>
      <c r="E314" t="e">
        <f>NA()</f>
        <v>#N/A</v>
      </c>
      <c r="F314" t="e">
        <f>NA()</f>
        <v>#N/A</v>
      </c>
      <c r="G314" t="e">
        <f>NA()</f>
        <v>#N/A</v>
      </c>
    </row>
    <row r="315" spans="1:7" x14ac:dyDescent="0.25">
      <c r="A315" s="1">
        <v>44478</v>
      </c>
      <c r="B315" t="e">
        <f>NA()</f>
        <v>#N/A</v>
      </c>
      <c r="C315">
        <f>54670.87</f>
        <v>54670.87</v>
      </c>
      <c r="D315" t="e">
        <f>NA()</f>
        <v>#N/A</v>
      </c>
      <c r="E315" t="e">
        <f>NA()</f>
        <v>#N/A</v>
      </c>
      <c r="F315" t="e">
        <f>NA()</f>
        <v>#N/A</v>
      </c>
      <c r="G315" t="e">
        <f>NA()</f>
        <v>#N/A</v>
      </c>
    </row>
    <row r="316" spans="1:7" x14ac:dyDescent="0.25">
      <c r="A316" s="1">
        <v>44477</v>
      </c>
      <c r="B316">
        <f>1757.13</f>
        <v>1757.13</v>
      </c>
      <c r="C316">
        <f>53993.31</f>
        <v>53993.31</v>
      </c>
      <c r="D316">
        <f>22.6768</f>
        <v>22.6768</v>
      </c>
      <c r="E316" t="e">
        <f>NA()</f>
        <v>#N/A</v>
      </c>
      <c r="F316">
        <f>498.05</f>
        <v>498.05</v>
      </c>
      <c r="G316">
        <f>270.2861</f>
        <v>270.28609999999998</v>
      </c>
    </row>
    <row r="317" spans="1:7" x14ac:dyDescent="0.25">
      <c r="A317" s="1">
        <v>44476</v>
      </c>
      <c r="B317">
        <f>1755.78</f>
        <v>1755.78</v>
      </c>
      <c r="C317">
        <f>54184.24</f>
        <v>54184.24</v>
      </c>
      <c r="D317">
        <f>22.6025</f>
        <v>22.602499999999999</v>
      </c>
      <c r="E317">
        <f>307</f>
        <v>307</v>
      </c>
      <c r="F317">
        <f>502.97</f>
        <v>502.97</v>
      </c>
      <c r="G317">
        <f>271.7629</f>
        <v>271.7629</v>
      </c>
    </row>
    <row r="318" spans="1:7" x14ac:dyDescent="0.25">
      <c r="A318" s="1">
        <v>44475</v>
      </c>
      <c r="B318">
        <f>1762.74</f>
        <v>1762.74</v>
      </c>
      <c r="C318">
        <f>54936.9</f>
        <v>54936.9</v>
      </c>
      <c r="D318">
        <f>22.6251</f>
        <v>22.6251</v>
      </c>
      <c r="E318">
        <f>306</f>
        <v>306</v>
      </c>
      <c r="F318">
        <f>506.19</f>
        <v>506.19</v>
      </c>
      <c r="G318">
        <f>271.5812</f>
        <v>271.58120000000002</v>
      </c>
    </row>
    <row r="319" spans="1:7" x14ac:dyDescent="0.25">
      <c r="A319" s="1">
        <v>44474</v>
      </c>
      <c r="B319">
        <f>1760.18</f>
        <v>1760.18</v>
      </c>
      <c r="C319">
        <f>51474.19</f>
        <v>51474.19</v>
      </c>
      <c r="D319">
        <f>22.6324</f>
        <v>22.632400000000001</v>
      </c>
      <c r="E319">
        <f>306</f>
        <v>306</v>
      </c>
      <c r="F319">
        <f>505.34</f>
        <v>505.34</v>
      </c>
      <c r="G319">
        <f>272.8813</f>
        <v>272.88130000000001</v>
      </c>
    </row>
    <row r="320" spans="1:7" x14ac:dyDescent="0.25">
      <c r="A320" s="1">
        <v>44473</v>
      </c>
      <c r="B320">
        <f>1769.57</f>
        <v>1769.57</v>
      </c>
      <c r="C320">
        <f>49006.15</f>
        <v>49006.15</v>
      </c>
      <c r="D320">
        <f>22.6818</f>
        <v>22.681799999999999</v>
      </c>
      <c r="E320">
        <f>306</f>
        <v>306</v>
      </c>
      <c r="F320">
        <f>513.32</f>
        <v>513.32000000000005</v>
      </c>
      <c r="G320">
        <f>273.876</f>
        <v>273.87599999999998</v>
      </c>
    </row>
    <row r="321" spans="1:7" x14ac:dyDescent="0.25">
      <c r="A321" s="1">
        <v>44472</v>
      </c>
      <c r="B321" t="e">
        <f>NA()</f>
        <v>#N/A</v>
      </c>
      <c r="C321">
        <f>48464.31</f>
        <v>48464.31</v>
      </c>
      <c r="D321" t="e">
        <f>NA()</f>
        <v>#N/A</v>
      </c>
      <c r="E321" t="e">
        <f>NA()</f>
        <v>#N/A</v>
      </c>
      <c r="F321" t="e">
        <f>NA()</f>
        <v>#N/A</v>
      </c>
      <c r="G321" t="e">
        <f>NA()</f>
        <v>#N/A</v>
      </c>
    </row>
    <row r="322" spans="1:7" x14ac:dyDescent="0.25">
      <c r="A322" s="1">
        <v>44471</v>
      </c>
      <c r="B322" t="e">
        <f>NA()</f>
        <v>#N/A</v>
      </c>
      <c r="C322">
        <f>48019.13</f>
        <v>48019.13</v>
      </c>
      <c r="D322" t="e">
        <f>NA()</f>
        <v>#N/A</v>
      </c>
      <c r="E322" t="e">
        <f>NA()</f>
        <v>#N/A</v>
      </c>
      <c r="F322" t="e">
        <f>NA()</f>
        <v>#N/A</v>
      </c>
      <c r="G322" t="e">
        <f>NA()</f>
        <v>#N/A</v>
      </c>
    </row>
    <row r="323" spans="1:7" x14ac:dyDescent="0.25">
      <c r="A323" s="1">
        <v>44470</v>
      </c>
      <c r="B323">
        <f>1760.98</f>
        <v>1760.98</v>
      </c>
      <c r="C323">
        <f>48132.9</f>
        <v>48132.9</v>
      </c>
      <c r="D323">
        <f>22.5385</f>
        <v>22.538499999999999</v>
      </c>
      <c r="E323">
        <f>306</f>
        <v>306</v>
      </c>
      <c r="F323">
        <f>512.47</f>
        <v>512.47</v>
      </c>
      <c r="G323">
        <f>274.8998</f>
        <v>274.89980000000003</v>
      </c>
    </row>
    <row r="324" spans="1:7" x14ac:dyDescent="0.25">
      <c r="A324" s="1">
        <v>44469</v>
      </c>
      <c r="B324">
        <f>1756.95</f>
        <v>1756.95</v>
      </c>
      <c r="C324">
        <f>43436.35</f>
        <v>43436.35</v>
      </c>
      <c r="D324">
        <f>22.171</f>
        <v>22.170999999999999</v>
      </c>
      <c r="E324">
        <f>300</f>
        <v>300</v>
      </c>
      <c r="F324">
        <f>492.28</f>
        <v>492.28</v>
      </c>
      <c r="G324">
        <f>271.3221</f>
        <v>271.32209999999998</v>
      </c>
    </row>
    <row r="325" spans="1:7" x14ac:dyDescent="0.25">
      <c r="A325" s="1">
        <v>44468</v>
      </c>
      <c r="B325">
        <f>1726.37</f>
        <v>1726.37</v>
      </c>
      <c r="C325">
        <f>41125.06</f>
        <v>41125.06</v>
      </c>
      <c r="D325">
        <f>21.5358</f>
        <v>21.535799999999998</v>
      </c>
      <c r="E325">
        <f>299</f>
        <v>299</v>
      </c>
      <c r="F325">
        <f>481.93</f>
        <v>481.93</v>
      </c>
      <c r="G325">
        <f>271.7061</f>
        <v>271.70609999999999</v>
      </c>
    </row>
    <row r="326" spans="1:7" x14ac:dyDescent="0.25">
      <c r="A326" s="1">
        <v>44467</v>
      </c>
      <c r="B326">
        <f>1734.01</f>
        <v>1734.01</v>
      </c>
      <c r="C326">
        <f>41785.9</f>
        <v>41785.9</v>
      </c>
      <c r="D326">
        <f>22.4555</f>
        <v>22.455500000000001</v>
      </c>
      <c r="E326">
        <f>296</f>
        <v>296</v>
      </c>
      <c r="F326">
        <f>479.39</f>
        <v>479.39</v>
      </c>
      <c r="G326">
        <f>269.4716</f>
        <v>269.47160000000002</v>
      </c>
    </row>
    <row r="327" spans="1:7" x14ac:dyDescent="0.25">
      <c r="A327" s="1">
        <v>44466</v>
      </c>
      <c r="B327">
        <f>1750.16</f>
        <v>1750.16</v>
      </c>
      <c r="C327">
        <f>42706.99</f>
        <v>42706.99</v>
      </c>
      <c r="D327">
        <f>22.6275</f>
        <v>22.627500000000001</v>
      </c>
      <c r="E327">
        <f>296</f>
        <v>296</v>
      </c>
      <c r="F327">
        <f>490.08</f>
        <v>490.08</v>
      </c>
      <c r="G327">
        <f>273.3248</f>
        <v>273.32479999999998</v>
      </c>
    </row>
    <row r="328" spans="1:7" x14ac:dyDescent="0.25">
      <c r="A328" s="1">
        <v>44465</v>
      </c>
      <c r="B328" t="e">
        <f>NA()</f>
        <v>#N/A</v>
      </c>
      <c r="C328">
        <f>43651.76</f>
        <v>43651.76</v>
      </c>
      <c r="D328" t="e">
        <f>NA()</f>
        <v>#N/A</v>
      </c>
      <c r="E328" t="e">
        <f>NA()</f>
        <v>#N/A</v>
      </c>
      <c r="F328" t="e">
        <f>NA()</f>
        <v>#N/A</v>
      </c>
      <c r="G328" t="e">
        <f>NA()</f>
        <v>#N/A</v>
      </c>
    </row>
    <row r="329" spans="1:7" x14ac:dyDescent="0.25">
      <c r="A329" s="1">
        <v>44464</v>
      </c>
      <c r="B329" t="e">
        <f>NA()</f>
        <v>#N/A</v>
      </c>
      <c r="C329">
        <f>42678.81</f>
        <v>42678.81</v>
      </c>
      <c r="D329" t="e">
        <f>NA()</f>
        <v>#N/A</v>
      </c>
      <c r="E329" t="e">
        <f>NA()</f>
        <v>#N/A</v>
      </c>
      <c r="F329" t="e">
        <f>NA()</f>
        <v>#N/A</v>
      </c>
      <c r="G329" t="e">
        <f>NA()</f>
        <v>#N/A</v>
      </c>
    </row>
    <row r="330" spans="1:7" x14ac:dyDescent="0.25">
      <c r="A330" s="1">
        <v>44463</v>
      </c>
      <c r="B330">
        <f>1750.42</f>
        <v>1750.42</v>
      </c>
      <c r="C330">
        <f>42981.54</f>
        <v>42981.54</v>
      </c>
      <c r="D330">
        <f>22.4205</f>
        <v>22.420500000000001</v>
      </c>
      <c r="E330">
        <f>296</f>
        <v>296</v>
      </c>
      <c r="F330">
        <f>491.09</f>
        <v>491.09</v>
      </c>
      <c r="G330">
        <f>270.866</f>
        <v>270.86599999999999</v>
      </c>
    </row>
    <row r="331" spans="1:7" x14ac:dyDescent="0.25">
      <c r="A331" s="1">
        <v>44462</v>
      </c>
      <c r="B331">
        <f>1742.76</f>
        <v>1742.76</v>
      </c>
      <c r="C331">
        <f>44710.2</f>
        <v>44710.2</v>
      </c>
      <c r="D331">
        <f>22.5129</f>
        <v>22.512899999999998</v>
      </c>
      <c r="E331">
        <f>298</f>
        <v>298</v>
      </c>
      <c r="F331">
        <f>487.02</f>
        <v>487.02</v>
      </c>
      <c r="G331">
        <f>270.8458</f>
        <v>270.8458</v>
      </c>
    </row>
    <row r="332" spans="1:7" x14ac:dyDescent="0.25">
      <c r="A332" s="1">
        <v>44461</v>
      </c>
      <c r="B332">
        <f>1768.16</f>
        <v>1768.16</v>
      </c>
      <c r="C332">
        <f>43451.15</f>
        <v>43451.15</v>
      </c>
      <c r="D332">
        <f>22.6963</f>
        <v>22.696300000000001</v>
      </c>
      <c r="E332">
        <f>295</f>
        <v>295</v>
      </c>
      <c r="F332">
        <f>478.88</f>
        <v>478.88</v>
      </c>
      <c r="G332">
        <f>268.5713</f>
        <v>268.57130000000001</v>
      </c>
    </row>
    <row r="333" spans="1:7" x14ac:dyDescent="0.25">
      <c r="A333" s="1">
        <v>44460</v>
      </c>
      <c r="B333">
        <f>1774.51</f>
        <v>1774.51</v>
      </c>
      <c r="C333">
        <f>40926.74</f>
        <v>40926.74</v>
      </c>
      <c r="D333">
        <f>22.4968</f>
        <v>22.4968</v>
      </c>
      <c r="E333">
        <f>292</f>
        <v>292</v>
      </c>
      <c r="F333">
        <f>468.36</f>
        <v>468.36</v>
      </c>
      <c r="G333">
        <f>264.593</f>
        <v>264.59300000000002</v>
      </c>
    </row>
    <row r="334" spans="1:7" x14ac:dyDescent="0.25">
      <c r="A334" s="1">
        <v>44459</v>
      </c>
      <c r="B334">
        <f>1764.16</f>
        <v>1764.16</v>
      </c>
      <c r="C334">
        <f>43537.86</f>
        <v>43537.86</v>
      </c>
      <c r="D334">
        <f>22.2698</f>
        <v>22.2698</v>
      </c>
      <c r="E334">
        <f>292</f>
        <v>292</v>
      </c>
      <c r="F334">
        <f>475.49</f>
        <v>475.49</v>
      </c>
      <c r="G334">
        <f>265.8396</f>
        <v>265.83960000000002</v>
      </c>
    </row>
    <row r="335" spans="1:7" x14ac:dyDescent="0.25">
      <c r="A335" s="1">
        <v>44458</v>
      </c>
      <c r="B335" t="e">
        <f>NA()</f>
        <v>#N/A</v>
      </c>
      <c r="C335">
        <f>47601.08</f>
        <v>47601.08</v>
      </c>
      <c r="D335" t="e">
        <f>NA()</f>
        <v>#N/A</v>
      </c>
      <c r="E335" t="e">
        <f>NA()</f>
        <v>#N/A</v>
      </c>
      <c r="F335" t="e">
        <f>NA()</f>
        <v>#N/A</v>
      </c>
      <c r="G335" t="e">
        <f>NA()</f>
        <v>#N/A</v>
      </c>
    </row>
    <row r="336" spans="1:7" x14ac:dyDescent="0.25">
      <c r="A336" s="1">
        <v>44457</v>
      </c>
      <c r="B336" t="e">
        <f>NA()</f>
        <v>#N/A</v>
      </c>
      <c r="C336">
        <f>47994.88</f>
        <v>47994.879999999997</v>
      </c>
      <c r="D336" t="e">
        <f>NA()</f>
        <v>#N/A</v>
      </c>
      <c r="E336" t="e">
        <f>NA()</f>
        <v>#N/A</v>
      </c>
      <c r="F336" t="e">
        <f>NA()</f>
        <v>#N/A</v>
      </c>
      <c r="G336" t="e">
        <f>NA()</f>
        <v>#N/A</v>
      </c>
    </row>
    <row r="337" spans="1:7" x14ac:dyDescent="0.25">
      <c r="A337" s="1">
        <v>44456</v>
      </c>
      <c r="B337">
        <f>1754.34</f>
        <v>1754.34</v>
      </c>
      <c r="C337">
        <f>46990.35</f>
        <v>46990.35</v>
      </c>
      <c r="D337">
        <f>22.3853</f>
        <v>22.385300000000001</v>
      </c>
      <c r="E337">
        <f>293</f>
        <v>293</v>
      </c>
      <c r="F337">
        <f>480.92</f>
        <v>480.92</v>
      </c>
      <c r="G337">
        <f>269.5008</f>
        <v>269.50080000000003</v>
      </c>
    </row>
    <row r="338" spans="1:7" x14ac:dyDescent="0.25">
      <c r="A338" s="1">
        <v>44455</v>
      </c>
      <c r="B338">
        <f>1753.77</f>
        <v>1753.77</v>
      </c>
      <c r="C338">
        <f>47149.38</f>
        <v>47149.38</v>
      </c>
      <c r="D338">
        <f>22.907</f>
        <v>22.907</v>
      </c>
      <c r="E338">
        <f>293</f>
        <v>293</v>
      </c>
      <c r="F338">
        <f>483.8</f>
        <v>483.8</v>
      </c>
      <c r="G338">
        <f>271.3877</f>
        <v>271.3877</v>
      </c>
    </row>
    <row r="339" spans="1:7" x14ac:dyDescent="0.25">
      <c r="A339" s="1">
        <v>44454</v>
      </c>
      <c r="B339">
        <f>1794.06</f>
        <v>1794.06</v>
      </c>
      <c r="C339">
        <f>47941.58</f>
        <v>47941.58</v>
      </c>
      <c r="D339">
        <f>23.8426</f>
        <v>23.842600000000001</v>
      </c>
      <c r="E339">
        <f>293</f>
        <v>293</v>
      </c>
      <c r="F339">
        <f>483.29</f>
        <v>483.29</v>
      </c>
      <c r="G339">
        <f>271.7727</f>
        <v>271.77269999999999</v>
      </c>
    </row>
    <row r="340" spans="1:7" x14ac:dyDescent="0.25">
      <c r="A340" s="1">
        <v>44453</v>
      </c>
      <c r="B340">
        <f>1804.51</f>
        <v>1804.51</v>
      </c>
      <c r="C340">
        <f>46828.18</f>
        <v>46828.18</v>
      </c>
      <c r="D340">
        <f>23.8568</f>
        <v>23.8568</v>
      </c>
      <c r="E340">
        <f>290</f>
        <v>290</v>
      </c>
      <c r="F340">
        <f>475.49</f>
        <v>475.49</v>
      </c>
      <c r="G340">
        <f>267.0377</f>
        <v>267.03769999999997</v>
      </c>
    </row>
    <row r="341" spans="1:7" x14ac:dyDescent="0.25">
      <c r="A341" s="1">
        <v>44452</v>
      </c>
      <c r="B341">
        <f>1793.75</f>
        <v>1793.75</v>
      </c>
      <c r="C341">
        <f>45187.52</f>
        <v>45187.519999999997</v>
      </c>
      <c r="D341">
        <f>23.7385</f>
        <v>23.738499999999998</v>
      </c>
      <c r="E341">
        <f>289</f>
        <v>289</v>
      </c>
      <c r="F341">
        <f>466.16</f>
        <v>466.16</v>
      </c>
      <c r="G341">
        <f>264.234</f>
        <v>264.23399999999998</v>
      </c>
    </row>
    <row r="342" spans="1:7" x14ac:dyDescent="0.25">
      <c r="A342" s="1">
        <v>44451</v>
      </c>
      <c r="B342" t="e">
        <f>NA()</f>
        <v>#N/A</v>
      </c>
      <c r="C342">
        <f>45089.47</f>
        <v>45089.47</v>
      </c>
      <c r="D342" t="e">
        <f>NA()</f>
        <v>#N/A</v>
      </c>
      <c r="E342" t="e">
        <f>NA()</f>
        <v>#N/A</v>
      </c>
      <c r="F342" t="e">
        <f>NA()</f>
        <v>#N/A</v>
      </c>
      <c r="G342" t="e">
        <f>NA()</f>
        <v>#N/A</v>
      </c>
    </row>
    <row r="343" spans="1:7" x14ac:dyDescent="0.25">
      <c r="A343" s="1">
        <v>44450</v>
      </c>
      <c r="B343" t="e">
        <f>NA()</f>
        <v>#N/A</v>
      </c>
      <c r="C343">
        <f>45319.68</f>
        <v>45319.68</v>
      </c>
      <c r="D343" t="e">
        <f>NA()</f>
        <v>#N/A</v>
      </c>
      <c r="E343" t="e">
        <f>NA()</f>
        <v>#N/A</v>
      </c>
      <c r="F343" t="e">
        <f>NA()</f>
        <v>#N/A</v>
      </c>
      <c r="G343" t="e">
        <f>NA()</f>
        <v>#N/A</v>
      </c>
    </row>
    <row r="344" spans="1:7" x14ac:dyDescent="0.25">
      <c r="A344" s="1">
        <v>44449</v>
      </c>
      <c r="B344">
        <f>1787.58</f>
        <v>1787.58</v>
      </c>
      <c r="C344">
        <f>45077.81</f>
        <v>45077.81</v>
      </c>
      <c r="D344">
        <f>23.7441</f>
        <v>23.7441</v>
      </c>
      <c r="E344">
        <f>290</f>
        <v>290</v>
      </c>
      <c r="F344">
        <f>467.18</f>
        <v>467.18</v>
      </c>
      <c r="G344">
        <f>265.0894</f>
        <v>265.08940000000001</v>
      </c>
    </row>
    <row r="345" spans="1:7" x14ac:dyDescent="0.25">
      <c r="A345" s="1">
        <v>44448</v>
      </c>
      <c r="B345">
        <f>1794.58</f>
        <v>1794.58</v>
      </c>
      <c r="C345">
        <f>46256.1</f>
        <v>46256.1</v>
      </c>
      <c r="D345">
        <f>24.0397</f>
        <v>24.0397</v>
      </c>
      <c r="E345">
        <f>288</f>
        <v>288</v>
      </c>
      <c r="F345">
        <f>469.72</f>
        <v>469.72</v>
      </c>
      <c r="G345">
        <f>262.8721</f>
        <v>262.87209999999999</v>
      </c>
    </row>
    <row r="346" spans="1:7" x14ac:dyDescent="0.25">
      <c r="A346" s="1">
        <v>44447</v>
      </c>
      <c r="B346">
        <f>1789.26</f>
        <v>1789.26</v>
      </c>
      <c r="C346">
        <f>46060.72</f>
        <v>46060.72</v>
      </c>
      <c r="D346">
        <f>23.9451</f>
        <v>23.9451</v>
      </c>
      <c r="E346">
        <f>290</f>
        <v>290</v>
      </c>
      <c r="F346">
        <f>481.42</f>
        <v>481.42</v>
      </c>
      <c r="G346">
        <f>265.7532</f>
        <v>265.75319999999999</v>
      </c>
    </row>
    <row r="347" spans="1:7" x14ac:dyDescent="0.25">
      <c r="A347" s="1">
        <v>44446</v>
      </c>
      <c r="B347">
        <f>1794.36</f>
        <v>1794.36</v>
      </c>
      <c r="C347">
        <f>46819.01</f>
        <v>46819.01</v>
      </c>
      <c r="D347">
        <f>24.319</f>
        <v>24.318999999999999</v>
      </c>
      <c r="E347">
        <f>288</f>
        <v>288</v>
      </c>
      <c r="F347">
        <f>488.38</f>
        <v>488.38</v>
      </c>
      <c r="G347">
        <f>266.9668</f>
        <v>266.96679999999998</v>
      </c>
    </row>
    <row r="348" spans="1:7" x14ac:dyDescent="0.25">
      <c r="A348" s="1">
        <v>44445</v>
      </c>
      <c r="B348">
        <f>1823.29</f>
        <v>1823.29</v>
      </c>
      <c r="C348">
        <f>51934.74</f>
        <v>51934.74</v>
      </c>
      <c r="D348">
        <f>24.6825</f>
        <v>24.682500000000001</v>
      </c>
      <c r="E348">
        <f>289</f>
        <v>289</v>
      </c>
      <c r="F348" t="e">
        <f>NA()</f>
        <v>#N/A</v>
      </c>
      <c r="G348" t="e">
        <f>NA()</f>
        <v>#N/A</v>
      </c>
    </row>
    <row r="349" spans="1:7" x14ac:dyDescent="0.25">
      <c r="A349" s="1">
        <v>44444</v>
      </c>
      <c r="B349" t="e">
        <f>NA()</f>
        <v>#N/A</v>
      </c>
      <c r="C349">
        <f>51668.21</f>
        <v>51668.21</v>
      </c>
      <c r="D349" t="e">
        <f>NA()</f>
        <v>#N/A</v>
      </c>
      <c r="E349" t="e">
        <f>NA()</f>
        <v>#N/A</v>
      </c>
      <c r="F349" t="e">
        <f>NA()</f>
        <v>#N/A</v>
      </c>
      <c r="G349" t="e">
        <f>NA()</f>
        <v>#N/A</v>
      </c>
    </row>
    <row r="350" spans="1:7" x14ac:dyDescent="0.25">
      <c r="A350" s="1">
        <v>44443</v>
      </c>
      <c r="B350" t="e">
        <f>NA()</f>
        <v>#N/A</v>
      </c>
      <c r="C350">
        <f>50182.7</f>
        <v>50182.7</v>
      </c>
      <c r="D350" t="e">
        <f>NA()</f>
        <v>#N/A</v>
      </c>
      <c r="E350" t="e">
        <f>NA()</f>
        <v>#N/A</v>
      </c>
      <c r="F350" t="e">
        <f>NA()</f>
        <v>#N/A</v>
      </c>
      <c r="G350" t="e">
        <f>NA()</f>
        <v>#N/A</v>
      </c>
    </row>
    <row r="351" spans="1:7" x14ac:dyDescent="0.25">
      <c r="A351" s="1">
        <v>44442</v>
      </c>
      <c r="B351">
        <f>1827.73</f>
        <v>1827.73</v>
      </c>
      <c r="C351">
        <f>50152.52</f>
        <v>50152.52</v>
      </c>
      <c r="D351">
        <f>24.716</f>
        <v>24.716000000000001</v>
      </c>
      <c r="E351">
        <f>289</f>
        <v>289</v>
      </c>
      <c r="F351">
        <f>492.79</f>
        <v>492.79</v>
      </c>
      <c r="G351">
        <f>271.1711</f>
        <v>271.17110000000002</v>
      </c>
    </row>
    <row r="352" spans="1:7" x14ac:dyDescent="0.25">
      <c r="A352" s="1">
        <v>44441</v>
      </c>
      <c r="B352">
        <f>1809.66</f>
        <v>1809.66</v>
      </c>
      <c r="C352">
        <f>49562.1</f>
        <v>49562.1</v>
      </c>
      <c r="D352">
        <f>23.9055</f>
        <v>23.9055</v>
      </c>
      <c r="E352">
        <f>287</f>
        <v>287</v>
      </c>
      <c r="F352">
        <f>486.51</f>
        <v>486.51</v>
      </c>
      <c r="G352">
        <f>269.5586</f>
        <v>269.55860000000001</v>
      </c>
    </row>
    <row r="353" spans="1:7" x14ac:dyDescent="0.25">
      <c r="A353" s="1">
        <v>44440</v>
      </c>
      <c r="B353">
        <f>1813.9</f>
        <v>1813.9</v>
      </c>
      <c r="C353">
        <f>48272.51</f>
        <v>48272.51</v>
      </c>
      <c r="D353">
        <f>24.141</f>
        <v>24.140999999999998</v>
      </c>
      <c r="E353">
        <f>287</f>
        <v>287</v>
      </c>
      <c r="F353">
        <f>484.65</f>
        <v>484.65</v>
      </c>
      <c r="G353">
        <f>268.2512</f>
        <v>268.25119999999998</v>
      </c>
    </row>
    <row r="354" spans="1:7" x14ac:dyDescent="0.25">
      <c r="A354" s="1">
        <v>44439</v>
      </c>
      <c r="B354">
        <f>1813.62</f>
        <v>1813.62</v>
      </c>
      <c r="C354">
        <f>47008.53</f>
        <v>47008.53</v>
      </c>
      <c r="D354">
        <f>23.8943</f>
        <v>23.894300000000001</v>
      </c>
      <c r="E354">
        <f>293</f>
        <v>293</v>
      </c>
      <c r="F354">
        <f>490.08</f>
        <v>490.08</v>
      </c>
      <c r="G354">
        <f>272.3322</f>
        <v>272.3322</v>
      </c>
    </row>
    <row r="355" spans="1:7" x14ac:dyDescent="0.25">
      <c r="A355" s="1">
        <v>44438</v>
      </c>
      <c r="B355">
        <f>1810.34</f>
        <v>1810.34</v>
      </c>
      <c r="C355">
        <f>48648.9</f>
        <v>48648.9</v>
      </c>
      <c r="D355">
        <f>24.036</f>
        <v>24.036000000000001</v>
      </c>
      <c r="E355">
        <f>287</f>
        <v>287</v>
      </c>
      <c r="F355">
        <f>490.92</f>
        <v>490.92</v>
      </c>
      <c r="G355">
        <f>274.7647</f>
        <v>274.7647</v>
      </c>
    </row>
    <row r="356" spans="1:7" x14ac:dyDescent="0.25">
      <c r="A356" s="1">
        <v>44437</v>
      </c>
      <c r="B356" t="e">
        <f>NA()</f>
        <v>#N/A</v>
      </c>
      <c r="C356">
        <f>48925.24</f>
        <v>48925.24</v>
      </c>
      <c r="D356" t="e">
        <f>NA()</f>
        <v>#N/A</v>
      </c>
      <c r="E356" t="e">
        <f>NA()</f>
        <v>#N/A</v>
      </c>
      <c r="F356" t="e">
        <f>NA()</f>
        <v>#N/A</v>
      </c>
      <c r="G356" t="e">
        <f>NA()</f>
        <v>#N/A</v>
      </c>
    </row>
    <row r="357" spans="1:7" x14ac:dyDescent="0.25">
      <c r="A357" s="1">
        <v>44436</v>
      </c>
      <c r="B357" t="e">
        <f>NA()</f>
        <v>#N/A</v>
      </c>
      <c r="C357">
        <f>48755.08</f>
        <v>48755.08</v>
      </c>
      <c r="D357" t="e">
        <f>NA()</f>
        <v>#N/A</v>
      </c>
      <c r="E357" t="e">
        <f>NA()</f>
        <v>#N/A</v>
      </c>
      <c r="F357" t="e">
        <f>NA()</f>
        <v>#N/A</v>
      </c>
      <c r="G357" t="e">
        <f>NA()</f>
        <v>#N/A</v>
      </c>
    </row>
    <row r="358" spans="1:7" x14ac:dyDescent="0.25">
      <c r="A358" s="1">
        <v>44435</v>
      </c>
      <c r="B358">
        <f>1817.57</f>
        <v>1817.57</v>
      </c>
      <c r="C358">
        <f>48921.81</f>
        <v>48921.81</v>
      </c>
      <c r="D358">
        <f>24.0262</f>
        <v>24.026199999999999</v>
      </c>
      <c r="E358">
        <f>290</f>
        <v>290</v>
      </c>
      <c r="F358">
        <f>497.03</f>
        <v>497.03</v>
      </c>
      <c r="G358">
        <f>279.3439</f>
        <v>279.34390000000002</v>
      </c>
    </row>
    <row r="359" spans="1:7" x14ac:dyDescent="0.25">
      <c r="A359" s="1">
        <v>44434</v>
      </c>
      <c r="B359">
        <f>1792.43</f>
        <v>1792.43</v>
      </c>
      <c r="C359">
        <f>47036.43</f>
        <v>47036.43</v>
      </c>
      <c r="D359">
        <f>23.5645</f>
        <v>23.564499999999999</v>
      </c>
      <c r="E359">
        <f>291</f>
        <v>291</v>
      </c>
      <c r="F359">
        <f>501.61</f>
        <v>501.61</v>
      </c>
      <c r="G359">
        <f>279.677</f>
        <v>279.67700000000002</v>
      </c>
    </row>
    <row r="360" spans="1:7" x14ac:dyDescent="0.25">
      <c r="A360" s="1">
        <v>44433</v>
      </c>
      <c r="B360">
        <f>1791</f>
        <v>1791</v>
      </c>
      <c r="C360">
        <f>48712.63</f>
        <v>48712.63</v>
      </c>
      <c r="D360">
        <f>23.841</f>
        <v>23.841000000000001</v>
      </c>
      <c r="E360">
        <f>291</f>
        <v>291</v>
      </c>
      <c r="F360">
        <f>492.28</f>
        <v>492.28</v>
      </c>
      <c r="G360">
        <f>278.7421</f>
        <v>278.74209999999999</v>
      </c>
    </row>
    <row r="361" spans="1:7" x14ac:dyDescent="0.25">
      <c r="A361" s="1">
        <v>44432</v>
      </c>
      <c r="B361">
        <f>1802.9</f>
        <v>1802.9</v>
      </c>
      <c r="C361">
        <f>48345.65</f>
        <v>48345.65</v>
      </c>
      <c r="D361">
        <f>23.8606</f>
        <v>23.860600000000002</v>
      </c>
      <c r="E361">
        <f>291</f>
        <v>291</v>
      </c>
      <c r="F361">
        <f>496.86</f>
        <v>496.86</v>
      </c>
      <c r="G361">
        <f>278.0643</f>
        <v>278.0643</v>
      </c>
    </row>
    <row r="362" spans="1:7" x14ac:dyDescent="0.25">
      <c r="A362" s="1">
        <v>44431</v>
      </c>
      <c r="B362">
        <f>1805.43</f>
        <v>1805.43</v>
      </c>
      <c r="C362">
        <f>49515.08</f>
        <v>49515.08</v>
      </c>
      <c r="D362">
        <f>23.6267</f>
        <v>23.6267</v>
      </c>
      <c r="E362">
        <f>291</f>
        <v>291</v>
      </c>
      <c r="F362">
        <f>497.71</f>
        <v>497.71</v>
      </c>
      <c r="G362">
        <f>273.6395</f>
        <v>273.6395</v>
      </c>
    </row>
    <row r="363" spans="1:7" x14ac:dyDescent="0.25">
      <c r="A363" s="1">
        <v>44430</v>
      </c>
      <c r="B363" t="e">
        <f>NA()</f>
        <v>#N/A</v>
      </c>
      <c r="C363">
        <f>48414.22</f>
        <v>48414.22</v>
      </c>
      <c r="D363" t="e">
        <f>NA()</f>
        <v>#N/A</v>
      </c>
      <c r="E363" t="e">
        <f>NA()</f>
        <v>#N/A</v>
      </c>
      <c r="F363" t="e">
        <f>NA()</f>
        <v>#N/A</v>
      </c>
      <c r="G363" t="e">
        <f>NA()</f>
        <v>#N/A</v>
      </c>
    </row>
    <row r="364" spans="1:7" x14ac:dyDescent="0.25">
      <c r="A364" s="1">
        <v>44429</v>
      </c>
      <c r="B364" t="e">
        <f>NA()</f>
        <v>#N/A</v>
      </c>
      <c r="C364">
        <f>49011.76</f>
        <v>49011.76</v>
      </c>
      <c r="D364" t="e">
        <f>NA()</f>
        <v>#N/A</v>
      </c>
      <c r="E364" t="e">
        <f>NA()</f>
        <v>#N/A</v>
      </c>
      <c r="F364" t="e">
        <f>NA()</f>
        <v>#N/A</v>
      </c>
      <c r="G364" t="e">
        <f>NA()</f>
        <v>#N/A</v>
      </c>
    </row>
    <row r="365" spans="1:7" x14ac:dyDescent="0.25">
      <c r="A365" s="1">
        <v>44428</v>
      </c>
      <c r="B365">
        <f>1781.11</f>
        <v>1781.11</v>
      </c>
      <c r="C365">
        <f>48668.03</f>
        <v>48668.03</v>
      </c>
      <c r="D365">
        <f>23.0255</f>
        <v>23.025500000000001</v>
      </c>
      <c r="E365">
        <f>290</f>
        <v>290</v>
      </c>
      <c r="F365">
        <f>494.15</f>
        <v>494.15</v>
      </c>
      <c r="G365">
        <f>273.3167</f>
        <v>273.31670000000003</v>
      </c>
    </row>
    <row r="366" spans="1:7" x14ac:dyDescent="0.25">
      <c r="A366" s="1">
        <v>44427</v>
      </c>
      <c r="B366">
        <f>1780.38</f>
        <v>1780.38</v>
      </c>
      <c r="C366">
        <f>46587.99</f>
        <v>46587.99</v>
      </c>
      <c r="D366">
        <f>23.2515</f>
        <v>23.2515</v>
      </c>
      <c r="E366">
        <f>290</f>
        <v>290</v>
      </c>
      <c r="F366">
        <f>503.99</f>
        <v>503.99</v>
      </c>
      <c r="G366">
        <f>279.4959</f>
        <v>279.49590000000001</v>
      </c>
    </row>
    <row r="367" spans="1:7" x14ac:dyDescent="0.25">
      <c r="A367" s="1">
        <v>44426</v>
      </c>
      <c r="B367">
        <f>1787.82</f>
        <v>1787.82</v>
      </c>
      <c r="C367">
        <f>44546.67</f>
        <v>44546.67</v>
      </c>
      <c r="D367">
        <f>23.509</f>
        <v>23.509</v>
      </c>
      <c r="E367">
        <f>283</f>
        <v>283</v>
      </c>
      <c r="F367">
        <f>509.75</f>
        <v>509.75</v>
      </c>
      <c r="G367">
        <f>285.4367</f>
        <v>285.43669999999997</v>
      </c>
    </row>
    <row r="368" spans="1:7" x14ac:dyDescent="0.25">
      <c r="A368" s="1">
        <v>44425</v>
      </c>
      <c r="B368">
        <f>1786.19</f>
        <v>1786.19</v>
      </c>
      <c r="C368">
        <f>44992.1</f>
        <v>44992.1</v>
      </c>
      <c r="D368">
        <f>23.6592</f>
        <v>23.659199999999998</v>
      </c>
      <c r="E368">
        <f>283</f>
        <v>283</v>
      </c>
      <c r="F368">
        <f>507.89</f>
        <v>507.89</v>
      </c>
      <c r="G368">
        <f>285.215</f>
        <v>285.21499999999997</v>
      </c>
    </row>
    <row r="369" spans="1:7" x14ac:dyDescent="0.25">
      <c r="A369" s="1">
        <v>44424</v>
      </c>
      <c r="B369">
        <f>1787.45</f>
        <v>1787.45</v>
      </c>
      <c r="C369">
        <f>46078.11</f>
        <v>46078.11</v>
      </c>
      <c r="D369">
        <f>23.841</f>
        <v>23.841000000000001</v>
      </c>
      <c r="E369" t="e">
        <f>NA()</f>
        <v>#N/A</v>
      </c>
      <c r="F369">
        <f>525.87</f>
        <v>525.87</v>
      </c>
      <c r="G369">
        <f>289.4523</f>
        <v>289.45229999999998</v>
      </c>
    </row>
    <row r="370" spans="1:7" x14ac:dyDescent="0.25">
      <c r="A370" s="1">
        <v>44423</v>
      </c>
      <c r="B370" t="e">
        <f>NA()</f>
        <v>#N/A</v>
      </c>
      <c r="C370">
        <f>46718.33</f>
        <v>46718.33</v>
      </c>
      <c r="D370" t="e">
        <f>NA()</f>
        <v>#N/A</v>
      </c>
      <c r="E370" t="e">
        <f>NA()</f>
        <v>#N/A</v>
      </c>
      <c r="F370" t="e">
        <f>NA()</f>
        <v>#N/A</v>
      </c>
      <c r="G370" t="e">
        <f>NA()</f>
        <v>#N/A</v>
      </c>
    </row>
    <row r="371" spans="1:7" x14ac:dyDescent="0.25">
      <c r="A371" s="1">
        <v>44422</v>
      </c>
      <c r="B371" t="e">
        <f>NA()</f>
        <v>#N/A</v>
      </c>
      <c r="C371">
        <f>46666.78</f>
        <v>46666.78</v>
      </c>
      <c r="D371" t="e">
        <f>NA()</f>
        <v>#N/A</v>
      </c>
      <c r="E371" t="e">
        <f>NA()</f>
        <v>#N/A</v>
      </c>
      <c r="F371" t="e">
        <f>NA()</f>
        <v>#N/A</v>
      </c>
      <c r="G371" t="e">
        <f>NA()</f>
        <v>#N/A</v>
      </c>
    </row>
    <row r="372" spans="1:7" x14ac:dyDescent="0.25">
      <c r="A372" s="1">
        <v>44421</v>
      </c>
      <c r="B372">
        <f>1779.74</f>
        <v>1779.74</v>
      </c>
      <c r="C372">
        <f>47609.88</f>
        <v>47609.88</v>
      </c>
      <c r="D372">
        <f>23.7493</f>
        <v>23.749300000000002</v>
      </c>
      <c r="E372">
        <f>286</f>
        <v>286</v>
      </c>
      <c r="F372">
        <f>525.36</f>
        <v>525.36</v>
      </c>
      <c r="G372">
        <f>290.1997</f>
        <v>290.19970000000001</v>
      </c>
    </row>
    <row r="373" spans="1:7" x14ac:dyDescent="0.25">
      <c r="A373" s="1">
        <v>44420</v>
      </c>
      <c r="B373">
        <f>1752.9</f>
        <v>1752.9</v>
      </c>
      <c r="C373">
        <f>44480.11</f>
        <v>44480.11</v>
      </c>
      <c r="D373">
        <f>23.1805</f>
        <v>23.180499999999999</v>
      </c>
      <c r="E373">
        <f>283</f>
        <v>283</v>
      </c>
      <c r="F373">
        <f>518.91</f>
        <v>518.91</v>
      </c>
      <c r="G373">
        <f>287.1905</f>
        <v>287.19049999999999</v>
      </c>
    </row>
    <row r="374" spans="1:7" x14ac:dyDescent="0.25">
      <c r="A374" s="1">
        <v>44419</v>
      </c>
      <c r="B374">
        <f>1751.7</f>
        <v>1751.7</v>
      </c>
      <c r="C374">
        <f>46345.49</f>
        <v>46345.49</v>
      </c>
      <c r="D374">
        <f>23.5465</f>
        <v>23.546500000000002</v>
      </c>
      <c r="E374">
        <f>283</f>
        <v>283</v>
      </c>
      <c r="F374">
        <f>499.95</f>
        <v>499.95</v>
      </c>
      <c r="G374">
        <f>281.1577</f>
        <v>281.15769999999998</v>
      </c>
    </row>
    <row r="375" spans="1:7" x14ac:dyDescent="0.25">
      <c r="A375" s="1">
        <v>44418</v>
      </c>
      <c r="B375">
        <f>1728.93</f>
        <v>1728.93</v>
      </c>
      <c r="C375">
        <f>45642.9</f>
        <v>45642.9</v>
      </c>
      <c r="D375">
        <f>23.3416</f>
        <v>23.3416</v>
      </c>
      <c r="E375">
        <f>283</f>
        <v>283</v>
      </c>
      <c r="F375">
        <f>498.39</f>
        <v>498.39</v>
      </c>
      <c r="G375">
        <f>279.5012</f>
        <v>279.50119999999998</v>
      </c>
    </row>
    <row r="376" spans="1:7" x14ac:dyDescent="0.25">
      <c r="A376" s="1">
        <v>44417</v>
      </c>
      <c r="B376">
        <f>1729.94</f>
        <v>1729.94</v>
      </c>
      <c r="C376">
        <f>45464.51</f>
        <v>45464.51</v>
      </c>
      <c r="D376">
        <f>23.449</f>
        <v>23.449000000000002</v>
      </c>
      <c r="E376">
        <f>281</f>
        <v>281</v>
      </c>
      <c r="F376">
        <f>486.41</f>
        <v>486.41</v>
      </c>
      <c r="G376">
        <f>277.0709</f>
        <v>277.07089999999999</v>
      </c>
    </row>
    <row r="377" spans="1:7" x14ac:dyDescent="0.25">
      <c r="A377" s="1">
        <v>44416</v>
      </c>
      <c r="B377" t="e">
        <f>NA()</f>
        <v>#N/A</v>
      </c>
      <c r="C377">
        <f>43867.4</f>
        <v>43867.4</v>
      </c>
      <c r="D377" t="e">
        <f>NA()</f>
        <v>#N/A</v>
      </c>
      <c r="E377" t="e">
        <f>NA()</f>
        <v>#N/A</v>
      </c>
      <c r="F377" t="e">
        <f>NA()</f>
        <v>#N/A</v>
      </c>
      <c r="G377" t="e">
        <f>NA()</f>
        <v>#N/A</v>
      </c>
    </row>
    <row r="378" spans="1:7" x14ac:dyDescent="0.25">
      <c r="A378" s="1">
        <v>44415</v>
      </c>
      <c r="B378" t="e">
        <f>NA()</f>
        <v>#N/A</v>
      </c>
      <c r="C378">
        <f>43975.95</f>
        <v>43975.95</v>
      </c>
      <c r="D378" t="e">
        <f>NA()</f>
        <v>#N/A</v>
      </c>
      <c r="E378" t="e">
        <f>NA()</f>
        <v>#N/A</v>
      </c>
      <c r="F378" t="e">
        <f>NA()</f>
        <v>#N/A</v>
      </c>
      <c r="G378" t="e">
        <f>NA()</f>
        <v>#N/A</v>
      </c>
    </row>
    <row r="379" spans="1:7" x14ac:dyDescent="0.25">
      <c r="A379" s="1">
        <v>44414</v>
      </c>
      <c r="B379">
        <f>1763.03</f>
        <v>1763.03</v>
      </c>
      <c r="C379">
        <f>42719.51</f>
        <v>42719.51</v>
      </c>
      <c r="D379">
        <f>24.3305</f>
        <v>24.330500000000001</v>
      </c>
      <c r="E379">
        <f>283</f>
        <v>283</v>
      </c>
      <c r="F379">
        <f>489.8</f>
        <v>489.8</v>
      </c>
      <c r="G379">
        <f>278.7493</f>
        <v>278.74930000000001</v>
      </c>
    </row>
    <row r="380" spans="1:7" x14ac:dyDescent="0.25">
      <c r="A380" s="1">
        <v>44413</v>
      </c>
      <c r="B380">
        <f>1804.41</f>
        <v>1804.41</v>
      </c>
      <c r="C380">
        <f>40899.36</f>
        <v>40899.360000000001</v>
      </c>
      <c r="D380">
        <f>25.1581</f>
        <v>25.158100000000001</v>
      </c>
      <c r="E380">
        <f>283</f>
        <v>283</v>
      </c>
      <c r="F380">
        <f>483.63</f>
        <v>483.63</v>
      </c>
      <c r="G380">
        <f>277.2425</f>
        <v>277.24250000000001</v>
      </c>
    </row>
    <row r="381" spans="1:7" x14ac:dyDescent="0.25">
      <c r="A381" s="1">
        <v>44412</v>
      </c>
      <c r="B381">
        <f>1811.74</f>
        <v>1811.74</v>
      </c>
      <c r="C381">
        <f>39754.38</f>
        <v>39754.379999999997</v>
      </c>
      <c r="D381">
        <f>25.3812</f>
        <v>25.3812</v>
      </c>
      <c r="E381">
        <f>283</f>
        <v>283</v>
      </c>
      <c r="F381">
        <f>486.68</f>
        <v>486.68</v>
      </c>
      <c r="G381">
        <f>275.6535</f>
        <v>275.65350000000001</v>
      </c>
    </row>
    <row r="382" spans="1:7" x14ac:dyDescent="0.25">
      <c r="A382" s="1">
        <v>44411</v>
      </c>
      <c r="B382">
        <f>1810.44</f>
        <v>1810.44</v>
      </c>
      <c r="C382">
        <f>38072.95</f>
        <v>38072.949999999997</v>
      </c>
      <c r="D382">
        <f>25.5233</f>
        <v>25.523299999999999</v>
      </c>
      <c r="E382">
        <f>281</f>
        <v>281</v>
      </c>
      <c r="F382">
        <f>491.6</f>
        <v>491.6</v>
      </c>
      <c r="G382">
        <f>277.2075</f>
        <v>277.20749999999998</v>
      </c>
    </row>
    <row r="383" spans="1:7" x14ac:dyDescent="0.25">
      <c r="A383" s="1">
        <v>44410</v>
      </c>
      <c r="B383">
        <f>1813.47</f>
        <v>1813.47</v>
      </c>
      <c r="C383">
        <f>38856.63</f>
        <v>38856.629999999997</v>
      </c>
      <c r="D383">
        <f>25.4097</f>
        <v>25.409700000000001</v>
      </c>
      <c r="E383">
        <f>281</f>
        <v>281</v>
      </c>
      <c r="F383">
        <f>495</f>
        <v>495</v>
      </c>
      <c r="G383">
        <f>281.2856</f>
        <v>281.28559999999999</v>
      </c>
    </row>
    <row r="384" spans="1:7" x14ac:dyDescent="0.25">
      <c r="A384" s="1">
        <v>44409</v>
      </c>
      <c r="B384" t="e">
        <f>NA()</f>
        <v>#N/A</v>
      </c>
      <c r="C384">
        <f>41268.06</f>
        <v>41268.06</v>
      </c>
      <c r="D384" t="e">
        <f>NA()</f>
        <v>#N/A</v>
      </c>
      <c r="E384" t="e">
        <f>NA()</f>
        <v>#N/A</v>
      </c>
      <c r="F384" t="e">
        <f>NA()</f>
        <v>#N/A</v>
      </c>
      <c r="G384" t="e">
        <f>NA()</f>
        <v>#N/A</v>
      </c>
    </row>
    <row r="385" spans="1:7" x14ac:dyDescent="0.25">
      <c r="A385" s="1">
        <v>44408</v>
      </c>
      <c r="B385" t="e">
        <f>NA()</f>
        <v>#N/A</v>
      </c>
      <c r="C385">
        <f>41540.22</f>
        <v>41540.22</v>
      </c>
      <c r="D385" t="e">
        <f>NA()</f>
        <v>#N/A</v>
      </c>
      <c r="E385" t="e">
        <f>NA()</f>
        <v>#N/A</v>
      </c>
      <c r="F385" t="e">
        <f>NA()</f>
        <v>#N/A</v>
      </c>
      <c r="G385" t="e">
        <f>NA()</f>
        <v>#N/A</v>
      </c>
    </row>
    <row r="386" spans="1:7" x14ac:dyDescent="0.25">
      <c r="A386" s="1">
        <v>44407</v>
      </c>
      <c r="B386">
        <f>1814.19</f>
        <v>1814.19</v>
      </c>
      <c r="C386">
        <f>40689.27</f>
        <v>40689.269999999997</v>
      </c>
      <c r="D386">
        <f>25.4912</f>
        <v>25.491199999999999</v>
      </c>
      <c r="E386">
        <f>279</f>
        <v>279</v>
      </c>
      <c r="F386">
        <f>477.52</f>
        <v>477.52</v>
      </c>
      <c r="G386">
        <f>275.641</f>
        <v>275.64100000000002</v>
      </c>
    </row>
    <row r="387" spans="1:7" x14ac:dyDescent="0.25">
      <c r="A387" s="1">
        <v>44406</v>
      </c>
      <c r="B387">
        <f>1828.17</f>
        <v>1828.17</v>
      </c>
      <c r="C387">
        <f>39722.08</f>
        <v>39722.080000000002</v>
      </c>
      <c r="D387">
        <f>25.5144</f>
        <v>25.514399999999998</v>
      </c>
      <c r="E387">
        <f>277</f>
        <v>277</v>
      </c>
      <c r="F387">
        <f>478.54</f>
        <v>478.54</v>
      </c>
      <c r="G387">
        <f>279.827</f>
        <v>279.827</v>
      </c>
    </row>
    <row r="388" spans="1:7" x14ac:dyDescent="0.25">
      <c r="A388" s="1">
        <v>44405</v>
      </c>
      <c r="B388">
        <f>1807.11</f>
        <v>1807.11</v>
      </c>
      <c r="C388">
        <f>39985.95</f>
        <v>39985.949999999997</v>
      </c>
      <c r="D388">
        <f>24.9635</f>
        <v>24.9635</v>
      </c>
      <c r="E388">
        <f>277</f>
        <v>277</v>
      </c>
      <c r="F388">
        <f>467.34</f>
        <v>467.34</v>
      </c>
      <c r="G388">
        <f>275.191</f>
        <v>275.19099999999997</v>
      </c>
    </row>
    <row r="389" spans="1:7" x14ac:dyDescent="0.25">
      <c r="A389" s="1">
        <v>44404</v>
      </c>
      <c r="B389">
        <f>1799.09</f>
        <v>1799.09</v>
      </c>
      <c r="C389">
        <f>38044.5</f>
        <v>38044.5</v>
      </c>
      <c r="D389">
        <f>24.6916</f>
        <v>24.691600000000001</v>
      </c>
      <c r="E389">
        <f>276</f>
        <v>276</v>
      </c>
      <c r="F389">
        <f>457.68</f>
        <v>457.68</v>
      </c>
      <c r="G389">
        <f>273.1797</f>
        <v>273.17970000000003</v>
      </c>
    </row>
    <row r="390" spans="1:7" x14ac:dyDescent="0.25">
      <c r="A390" s="1">
        <v>44403</v>
      </c>
      <c r="B390">
        <f>1797.63</f>
        <v>1797.63</v>
      </c>
      <c r="C390">
        <f>37751.68</f>
        <v>37751.68</v>
      </c>
      <c r="D390">
        <f>25.1935</f>
        <v>25.1935</v>
      </c>
      <c r="E390">
        <f>278</f>
        <v>278</v>
      </c>
      <c r="F390">
        <f>459.37</f>
        <v>459.37</v>
      </c>
      <c r="G390">
        <f>273.3177</f>
        <v>273.3177</v>
      </c>
    </row>
    <row r="391" spans="1:7" x14ac:dyDescent="0.25">
      <c r="A391" s="1">
        <v>44402</v>
      </c>
      <c r="B391" t="e">
        <f>NA()</f>
        <v>#N/A</v>
      </c>
      <c r="C391">
        <f>34483.2</f>
        <v>34483.199999999997</v>
      </c>
      <c r="D391" t="e">
        <f>NA()</f>
        <v>#N/A</v>
      </c>
      <c r="E391" t="e">
        <f>NA()</f>
        <v>#N/A</v>
      </c>
      <c r="F391" t="e">
        <f>NA()</f>
        <v>#N/A</v>
      </c>
      <c r="G391" t="e">
        <f>NA()</f>
        <v>#N/A</v>
      </c>
    </row>
    <row r="392" spans="1:7" x14ac:dyDescent="0.25">
      <c r="A392" s="1">
        <v>44401</v>
      </c>
      <c r="B392" t="e">
        <f>NA()</f>
        <v>#N/A</v>
      </c>
      <c r="C392">
        <f>33939.65</f>
        <v>33939.65</v>
      </c>
      <c r="D392" t="e">
        <f>NA()</f>
        <v>#N/A</v>
      </c>
      <c r="E392" t="e">
        <f>NA()</f>
        <v>#N/A</v>
      </c>
      <c r="F392" t="e">
        <f>NA()</f>
        <v>#N/A</v>
      </c>
      <c r="G392" t="e">
        <f>NA()</f>
        <v>#N/A</v>
      </c>
    </row>
    <row r="393" spans="1:7" x14ac:dyDescent="0.25">
      <c r="A393" s="1">
        <v>44400</v>
      </c>
      <c r="B393">
        <f>1802.15</f>
        <v>1802.15</v>
      </c>
      <c r="C393">
        <f>32500.7</f>
        <v>32500.7</v>
      </c>
      <c r="D393">
        <f>25.1775</f>
        <v>25.177499999999998</v>
      </c>
      <c r="E393">
        <f>278</f>
        <v>278</v>
      </c>
      <c r="F393">
        <f>464.12</f>
        <v>464.12</v>
      </c>
      <c r="G393">
        <f>273.2491</f>
        <v>273.2491</v>
      </c>
    </row>
    <row r="394" spans="1:7" x14ac:dyDescent="0.25">
      <c r="A394" s="1">
        <v>44399</v>
      </c>
      <c r="B394">
        <f>1806.92</f>
        <v>1806.92</v>
      </c>
      <c r="C394">
        <f>32247.75</f>
        <v>32247.75</v>
      </c>
      <c r="D394">
        <f>25.4315</f>
        <v>25.4315</v>
      </c>
      <c r="E394">
        <f>261</f>
        <v>261</v>
      </c>
      <c r="F394">
        <f>469.72</f>
        <v>469.72</v>
      </c>
      <c r="G394">
        <f>278.1004</f>
        <v>278.10039999999998</v>
      </c>
    </row>
    <row r="395" spans="1:7" x14ac:dyDescent="0.25">
      <c r="A395" s="1">
        <v>44398</v>
      </c>
      <c r="B395">
        <f>1803.66</f>
        <v>1803.66</v>
      </c>
      <c r="C395">
        <f>31818.67</f>
        <v>31818.67</v>
      </c>
      <c r="D395">
        <f>25.2612</f>
        <v>25.261199999999999</v>
      </c>
      <c r="E395">
        <f>280</f>
        <v>280</v>
      </c>
      <c r="F395">
        <f>482.27</f>
        <v>482.27</v>
      </c>
      <c r="G395">
        <f>283.3587</f>
        <v>283.3587</v>
      </c>
    </row>
    <row r="396" spans="1:7" x14ac:dyDescent="0.25">
      <c r="A396" s="1">
        <v>44397</v>
      </c>
      <c r="B396">
        <f>1810.36</f>
        <v>1810.36</v>
      </c>
      <c r="C396">
        <f>29865.53</f>
        <v>29865.53</v>
      </c>
      <c r="D396">
        <f>24.934</f>
        <v>24.934000000000001</v>
      </c>
      <c r="E396">
        <f>277</f>
        <v>277</v>
      </c>
      <c r="F396">
        <f>475.32</f>
        <v>475.32</v>
      </c>
      <c r="G396">
        <f>282.1567</f>
        <v>282.1567</v>
      </c>
    </row>
    <row r="397" spans="1:7" x14ac:dyDescent="0.25">
      <c r="A397" s="1">
        <v>44396</v>
      </c>
      <c r="B397">
        <f>1812.64</f>
        <v>1812.64</v>
      </c>
      <c r="C397">
        <f>30776.39</f>
        <v>30776.39</v>
      </c>
      <c r="D397">
        <f>25.1761</f>
        <v>25.176100000000002</v>
      </c>
      <c r="E397">
        <f>276</f>
        <v>276</v>
      </c>
      <c r="F397">
        <f>473.45</f>
        <v>473.45</v>
      </c>
      <c r="G397">
        <f>277.6066</f>
        <v>277.60660000000001</v>
      </c>
    </row>
    <row r="398" spans="1:7" x14ac:dyDescent="0.25">
      <c r="A398" s="1">
        <v>44395</v>
      </c>
      <c r="B398" t="e">
        <f>NA()</f>
        <v>#N/A</v>
      </c>
      <c r="C398">
        <f>31652.45</f>
        <v>31652.45</v>
      </c>
      <c r="D398" t="e">
        <f>NA()</f>
        <v>#N/A</v>
      </c>
      <c r="E398" t="e">
        <f>NA()</f>
        <v>#N/A</v>
      </c>
      <c r="F398" t="e">
        <f>NA()</f>
        <v>#N/A</v>
      </c>
      <c r="G398" t="e">
        <f>NA()</f>
        <v>#N/A</v>
      </c>
    </row>
    <row r="399" spans="1:7" x14ac:dyDescent="0.25">
      <c r="A399" s="1">
        <v>44394</v>
      </c>
      <c r="B399" t="e">
        <f>NA()</f>
        <v>#N/A</v>
      </c>
      <c r="C399">
        <f>31737.26</f>
        <v>31737.26</v>
      </c>
      <c r="D399" t="e">
        <f>NA()</f>
        <v>#N/A</v>
      </c>
      <c r="E399" t="e">
        <f>NA()</f>
        <v>#N/A</v>
      </c>
      <c r="F399" t="e">
        <f>NA()</f>
        <v>#N/A</v>
      </c>
      <c r="G399" t="e">
        <f>NA()</f>
        <v>#N/A</v>
      </c>
    </row>
    <row r="400" spans="1:7" x14ac:dyDescent="0.25">
      <c r="A400" s="1">
        <v>44393</v>
      </c>
      <c r="B400">
        <f>1812.05</f>
        <v>1812.05</v>
      </c>
      <c r="C400">
        <f>31842.51</f>
        <v>31842.51</v>
      </c>
      <c r="D400">
        <f>25.6641</f>
        <v>25.664100000000001</v>
      </c>
      <c r="E400">
        <f>276</f>
        <v>276</v>
      </c>
      <c r="F400">
        <f>469.89</f>
        <v>469.89</v>
      </c>
      <c r="G400">
        <f>278.5197</f>
        <v>278.5197</v>
      </c>
    </row>
    <row r="401" spans="1:7" x14ac:dyDescent="0.25">
      <c r="A401" s="1">
        <v>44392</v>
      </c>
      <c r="B401">
        <f>1829.47</f>
        <v>1829.47</v>
      </c>
      <c r="C401">
        <f>31758.37</f>
        <v>31758.37</v>
      </c>
      <c r="D401">
        <f>26.343</f>
        <v>26.343</v>
      </c>
      <c r="E401">
        <f>276</f>
        <v>276</v>
      </c>
      <c r="F401">
        <f>455.98</f>
        <v>455.98</v>
      </c>
      <c r="G401">
        <f>277.2356</f>
        <v>277.23559999999998</v>
      </c>
    </row>
    <row r="402" spans="1:7" x14ac:dyDescent="0.25">
      <c r="A402" s="1">
        <v>44391</v>
      </c>
      <c r="B402">
        <f>1827.53</f>
        <v>1827.53</v>
      </c>
      <c r="C402">
        <f>32813.83</f>
        <v>32813.83</v>
      </c>
      <c r="D402">
        <f>26.25</f>
        <v>26.25</v>
      </c>
      <c r="E402">
        <f>275</f>
        <v>275</v>
      </c>
      <c r="F402">
        <f>443.94</f>
        <v>443.94</v>
      </c>
      <c r="G402">
        <f>276.3656</f>
        <v>276.36559999999997</v>
      </c>
    </row>
    <row r="403" spans="1:7" x14ac:dyDescent="0.25">
      <c r="A403" s="1">
        <v>44390</v>
      </c>
      <c r="B403">
        <f>1807.76</f>
        <v>1807.76</v>
      </c>
      <c r="C403">
        <f>32508.34</f>
        <v>32508.34</v>
      </c>
      <c r="D403">
        <f>25.9876</f>
        <v>25.9876</v>
      </c>
      <c r="E403">
        <f>275</f>
        <v>275</v>
      </c>
      <c r="F403">
        <f>430.03</f>
        <v>430.03</v>
      </c>
      <c r="G403">
        <f>268.8404</f>
        <v>268.84039999999999</v>
      </c>
    </row>
    <row r="404" spans="1:7" x14ac:dyDescent="0.25">
      <c r="A404" s="1">
        <v>44389</v>
      </c>
      <c r="B404">
        <f>1806.28</f>
        <v>1806.28</v>
      </c>
      <c r="C404">
        <f>32849.59</f>
        <v>32849.589999999997</v>
      </c>
      <c r="D404">
        <f>26.202</f>
        <v>26.202000000000002</v>
      </c>
      <c r="E404">
        <f>275</f>
        <v>275</v>
      </c>
      <c r="F404">
        <f>434.77</f>
        <v>434.77</v>
      </c>
      <c r="G404">
        <f>268.2916</f>
        <v>268.29160000000002</v>
      </c>
    </row>
    <row r="405" spans="1:7" x14ac:dyDescent="0.25">
      <c r="A405" s="1">
        <v>44388</v>
      </c>
      <c r="B405" t="e">
        <f>NA()</f>
        <v>#N/A</v>
      </c>
      <c r="C405">
        <f>33854.3</f>
        <v>33854.300000000003</v>
      </c>
      <c r="D405" t="e">
        <f>NA()</f>
        <v>#N/A</v>
      </c>
      <c r="E405" t="e">
        <f>NA()</f>
        <v>#N/A</v>
      </c>
      <c r="F405" t="e">
        <f>NA()</f>
        <v>#N/A</v>
      </c>
      <c r="G405" t="e">
        <f>NA()</f>
        <v>#N/A</v>
      </c>
    </row>
    <row r="406" spans="1:7" x14ac:dyDescent="0.25">
      <c r="A406" s="1">
        <v>44387</v>
      </c>
      <c r="B406" t="e">
        <f>NA()</f>
        <v>#N/A</v>
      </c>
      <c r="C406">
        <f>33332.25</f>
        <v>33332.25</v>
      </c>
      <c r="D406" t="e">
        <f>NA()</f>
        <v>#N/A</v>
      </c>
      <c r="E406" t="e">
        <f>NA()</f>
        <v>#N/A</v>
      </c>
      <c r="F406" t="e">
        <f>NA()</f>
        <v>#N/A</v>
      </c>
      <c r="G406" t="e">
        <f>NA()</f>
        <v>#N/A</v>
      </c>
    </row>
    <row r="407" spans="1:7" x14ac:dyDescent="0.25">
      <c r="A407" s="1">
        <v>44386</v>
      </c>
      <c r="B407">
        <f>1808.32</f>
        <v>1808.32</v>
      </c>
      <c r="C407">
        <f>33522.57</f>
        <v>33522.57</v>
      </c>
      <c r="D407">
        <f>26.1042</f>
        <v>26.104199999999999</v>
      </c>
      <c r="E407" t="e">
        <f>NA()</f>
        <v>#N/A</v>
      </c>
      <c r="F407">
        <f>417.3</f>
        <v>417.3</v>
      </c>
      <c r="G407">
        <f>261.1225</f>
        <v>261.1225</v>
      </c>
    </row>
    <row r="408" spans="1:7" x14ac:dyDescent="0.25">
      <c r="A408" s="1">
        <v>44385</v>
      </c>
      <c r="B408">
        <f>1802.83</f>
        <v>1802.83</v>
      </c>
      <c r="C408">
        <f>32815.73</f>
        <v>32815.730000000003</v>
      </c>
      <c r="D408">
        <f>25.935</f>
        <v>25.934999999999999</v>
      </c>
      <c r="E408">
        <f>273</f>
        <v>273</v>
      </c>
      <c r="F408">
        <f>419.34</f>
        <v>419.34</v>
      </c>
      <c r="G408">
        <f>261.7398</f>
        <v>261.7398</v>
      </c>
    </row>
    <row r="409" spans="1:7" x14ac:dyDescent="0.25">
      <c r="A409" s="1">
        <v>44384</v>
      </c>
      <c r="B409">
        <f>1803.63</f>
        <v>1803.63</v>
      </c>
      <c r="C409">
        <f>34544.86</f>
        <v>34544.86</v>
      </c>
      <c r="D409">
        <f>26.1404</f>
        <v>26.1404</v>
      </c>
      <c r="E409">
        <f>271</f>
        <v>271</v>
      </c>
      <c r="F409">
        <f>422.22</f>
        <v>422.22</v>
      </c>
      <c r="G409">
        <f>263.5498</f>
        <v>263.5498</v>
      </c>
    </row>
    <row r="410" spans="1:7" x14ac:dyDescent="0.25">
      <c r="A410" s="1">
        <v>44383</v>
      </c>
      <c r="B410">
        <f>1797.08</f>
        <v>1797.08</v>
      </c>
      <c r="C410">
        <f>33957.11</f>
        <v>33957.11</v>
      </c>
      <c r="D410">
        <f>26.159</f>
        <v>26.158999999999999</v>
      </c>
      <c r="E410">
        <f>274</f>
        <v>274</v>
      </c>
      <c r="F410">
        <f>424.77</f>
        <v>424.77</v>
      </c>
      <c r="G410">
        <f>263.9407</f>
        <v>263.94069999999999</v>
      </c>
    </row>
    <row r="411" spans="1:7" x14ac:dyDescent="0.25">
      <c r="A411" s="1">
        <v>44382</v>
      </c>
      <c r="B411">
        <f>1791.77</f>
        <v>1791.77</v>
      </c>
      <c r="C411">
        <f>33855.36</f>
        <v>33855.360000000001</v>
      </c>
      <c r="D411">
        <f>26.479</f>
        <v>26.478999999999999</v>
      </c>
      <c r="E411">
        <f>276</f>
        <v>276</v>
      </c>
      <c r="F411" t="e">
        <f>NA()</f>
        <v>#N/A</v>
      </c>
      <c r="G411" t="e">
        <f>NA()</f>
        <v>#N/A</v>
      </c>
    </row>
    <row r="412" spans="1:7" x14ac:dyDescent="0.25">
      <c r="A412" s="1">
        <v>44381</v>
      </c>
      <c r="B412" t="e">
        <f>NA()</f>
        <v>#N/A</v>
      </c>
      <c r="C412">
        <f>35547.25</f>
        <v>35547.25</v>
      </c>
      <c r="D412" t="e">
        <f>NA()</f>
        <v>#N/A</v>
      </c>
      <c r="E412" t="e">
        <f>NA()</f>
        <v>#N/A</v>
      </c>
      <c r="F412" t="e">
        <f>NA()</f>
        <v>#N/A</v>
      </c>
      <c r="G412" t="e">
        <f>NA()</f>
        <v>#N/A</v>
      </c>
    </row>
    <row r="413" spans="1:7" x14ac:dyDescent="0.25">
      <c r="A413" s="1">
        <v>44380</v>
      </c>
      <c r="B413" t="e">
        <f>NA()</f>
        <v>#N/A</v>
      </c>
      <c r="C413">
        <f>34728.55</f>
        <v>34728.550000000003</v>
      </c>
      <c r="D413" t="e">
        <f>NA()</f>
        <v>#N/A</v>
      </c>
      <c r="E413" t="e">
        <f>NA()</f>
        <v>#N/A</v>
      </c>
      <c r="F413" t="e">
        <f>NA()</f>
        <v>#N/A</v>
      </c>
      <c r="G413" t="e">
        <f>NA()</f>
        <v>#N/A</v>
      </c>
    </row>
    <row r="414" spans="1:7" x14ac:dyDescent="0.25">
      <c r="A414" s="1">
        <v>44379</v>
      </c>
      <c r="B414">
        <f>1787.3</f>
        <v>1787.3</v>
      </c>
      <c r="C414">
        <f>33142.64</f>
        <v>33142.639999999999</v>
      </c>
      <c r="D414">
        <f>26.4715</f>
        <v>26.471499999999999</v>
      </c>
      <c r="E414">
        <f>276</f>
        <v>276</v>
      </c>
      <c r="F414">
        <f>442.92</f>
        <v>442.92</v>
      </c>
      <c r="G414">
        <f>281.3731</f>
        <v>281.37310000000002</v>
      </c>
    </row>
    <row r="415" spans="1:7" x14ac:dyDescent="0.25">
      <c r="A415" s="1">
        <v>44378</v>
      </c>
      <c r="B415">
        <f>1776.84</f>
        <v>1776.84</v>
      </c>
      <c r="C415">
        <f>33422</f>
        <v>33422</v>
      </c>
      <c r="D415">
        <f>26.034</f>
        <v>26.033999999999999</v>
      </c>
      <c r="E415">
        <f>276</f>
        <v>276</v>
      </c>
      <c r="F415">
        <f>451.57</f>
        <v>451.57</v>
      </c>
      <c r="G415">
        <f>284.6729</f>
        <v>284.67290000000003</v>
      </c>
    </row>
    <row r="416" spans="1:7" x14ac:dyDescent="0.25">
      <c r="A416" s="1">
        <v>44377</v>
      </c>
      <c r="B416">
        <f>1770.11</f>
        <v>1770.11</v>
      </c>
      <c r="C416">
        <f>34585</f>
        <v>34585</v>
      </c>
      <c r="D416">
        <f>26.1263</f>
        <v>26.126300000000001</v>
      </c>
      <c r="E416">
        <f>265</f>
        <v>265</v>
      </c>
      <c r="F416">
        <f>461.07</f>
        <v>461.07</v>
      </c>
      <c r="G416">
        <f>286.3705</f>
        <v>286.37049999999999</v>
      </c>
    </row>
    <row r="417" spans="1:7" x14ac:dyDescent="0.25">
      <c r="A417" s="1">
        <v>44376</v>
      </c>
      <c r="B417">
        <f>1761.24</f>
        <v>1761.24</v>
      </c>
      <c r="C417">
        <f>36168.2</f>
        <v>36168.199999999997</v>
      </c>
      <c r="D417">
        <f>25.7732</f>
        <v>25.773199999999999</v>
      </c>
      <c r="E417">
        <f>275</f>
        <v>275</v>
      </c>
      <c r="F417">
        <f>438.51</f>
        <v>438.51</v>
      </c>
      <c r="G417">
        <f>269.1368</f>
        <v>269.13679999999999</v>
      </c>
    </row>
    <row r="418" spans="1:7" x14ac:dyDescent="0.25">
      <c r="A418" s="1">
        <v>44375</v>
      </c>
      <c r="B418">
        <f>1778.48</f>
        <v>1778.48</v>
      </c>
      <c r="C418">
        <f>34677.77</f>
        <v>34677.769999999997</v>
      </c>
      <c r="D418">
        <f>26.1119</f>
        <v>26.111899999999999</v>
      </c>
      <c r="E418">
        <f>275</f>
        <v>275</v>
      </c>
      <c r="F418">
        <f>442.07</f>
        <v>442.07</v>
      </c>
      <c r="G418">
        <f>269.3262</f>
        <v>269.32619999999997</v>
      </c>
    </row>
    <row r="419" spans="1:7" x14ac:dyDescent="0.25">
      <c r="A419" s="1">
        <v>44374</v>
      </c>
      <c r="B419" t="e">
        <f>NA()</f>
        <v>#N/A</v>
      </c>
      <c r="C419">
        <f>32635.76</f>
        <v>32635.759999999998</v>
      </c>
      <c r="D419" t="e">
        <f>NA()</f>
        <v>#N/A</v>
      </c>
      <c r="E419" t="e">
        <f>NA()</f>
        <v>#N/A</v>
      </c>
      <c r="F419" t="e">
        <f>NA()</f>
        <v>#N/A</v>
      </c>
      <c r="G419" t="e">
        <f>NA()</f>
        <v>#N/A</v>
      </c>
    </row>
    <row r="420" spans="1:7" x14ac:dyDescent="0.25">
      <c r="A420" s="1">
        <v>44373</v>
      </c>
      <c r="B420" t="e">
        <f>NA()</f>
        <v>#N/A</v>
      </c>
      <c r="C420">
        <f>31305.79</f>
        <v>31305.79</v>
      </c>
      <c r="D420" t="e">
        <f>NA()</f>
        <v>#N/A</v>
      </c>
      <c r="E420" t="e">
        <f>NA()</f>
        <v>#N/A</v>
      </c>
      <c r="F420" t="e">
        <f>NA()</f>
        <v>#N/A</v>
      </c>
      <c r="G420" t="e">
        <f>NA()</f>
        <v>#N/A</v>
      </c>
    </row>
    <row r="421" spans="1:7" x14ac:dyDescent="0.25">
      <c r="A421" s="1">
        <v>44372</v>
      </c>
      <c r="B421">
        <f>1781.44</f>
        <v>1781.44</v>
      </c>
      <c r="C421">
        <f>32215.31</f>
        <v>32215.31</v>
      </c>
      <c r="D421">
        <f>26.102</f>
        <v>26.102</v>
      </c>
      <c r="E421">
        <f>275</f>
        <v>275</v>
      </c>
      <c r="F421">
        <f>434.77</f>
        <v>434.77</v>
      </c>
      <c r="G421">
        <f>259.6247</f>
        <v>259.62470000000002</v>
      </c>
    </row>
    <row r="422" spans="1:7" x14ac:dyDescent="0.25">
      <c r="A422" s="1">
        <v>44371</v>
      </c>
      <c r="B422">
        <f>1775.17</f>
        <v>1775.17</v>
      </c>
      <c r="C422">
        <f>34859.9</f>
        <v>34859.9</v>
      </c>
      <c r="D422">
        <f>25.947</f>
        <v>25.946999999999999</v>
      </c>
      <c r="E422">
        <f>275</f>
        <v>275</v>
      </c>
      <c r="F422">
        <f>442.41</f>
        <v>442.41</v>
      </c>
      <c r="G422">
        <f>265.7269</f>
        <v>265.7269</v>
      </c>
    </row>
    <row r="423" spans="1:7" x14ac:dyDescent="0.25">
      <c r="A423" s="1">
        <v>44370</v>
      </c>
      <c r="B423">
        <f>1778.68</f>
        <v>1778.68</v>
      </c>
      <c r="C423">
        <f>33059.18</f>
        <v>33059.18</v>
      </c>
      <c r="D423">
        <f>25.8914</f>
        <v>25.891400000000001</v>
      </c>
      <c r="E423">
        <f>273</f>
        <v>273</v>
      </c>
      <c r="F423">
        <f>450.38</f>
        <v>450.38</v>
      </c>
      <c r="G423">
        <f>267.7725</f>
        <v>267.77249999999998</v>
      </c>
    </row>
    <row r="424" spans="1:7" x14ac:dyDescent="0.25">
      <c r="A424" s="1">
        <v>44369</v>
      </c>
      <c r="B424">
        <f>1778.74</f>
        <v>1778.74</v>
      </c>
      <c r="C424">
        <f>32903.52</f>
        <v>32903.519999999997</v>
      </c>
      <c r="D424">
        <f>25.7773</f>
        <v>25.7773</v>
      </c>
      <c r="E424">
        <f>273</f>
        <v>273</v>
      </c>
      <c r="F424">
        <f>444.44</f>
        <v>444.44</v>
      </c>
      <c r="G424">
        <f>267.009</f>
        <v>267.00900000000001</v>
      </c>
    </row>
    <row r="425" spans="1:7" x14ac:dyDescent="0.25">
      <c r="A425" s="1">
        <v>44368</v>
      </c>
      <c r="B425">
        <f>1783.27</f>
        <v>1783.27</v>
      </c>
      <c r="C425">
        <f>32582.59</f>
        <v>32582.59</v>
      </c>
      <c r="D425">
        <f>25.9516</f>
        <v>25.951599999999999</v>
      </c>
      <c r="E425" t="e">
        <f>NA()</f>
        <v>#N/A</v>
      </c>
      <c r="F425">
        <f>451.23</f>
        <v>451.23</v>
      </c>
      <c r="G425">
        <f>272.4351</f>
        <v>272.43509999999998</v>
      </c>
    </row>
    <row r="426" spans="1:7" x14ac:dyDescent="0.25">
      <c r="A426" s="1">
        <v>44367</v>
      </c>
      <c r="B426" t="e">
        <f>NA()</f>
        <v>#N/A</v>
      </c>
      <c r="C426">
        <f>35823.29</f>
        <v>35823.29</v>
      </c>
      <c r="D426" t="e">
        <f>NA()</f>
        <v>#N/A</v>
      </c>
      <c r="E426" t="e">
        <f>NA()</f>
        <v>#N/A</v>
      </c>
      <c r="F426" t="e">
        <f>NA()</f>
        <v>#N/A</v>
      </c>
      <c r="G426" t="e">
        <f>NA()</f>
        <v>#N/A</v>
      </c>
    </row>
    <row r="427" spans="1:7" x14ac:dyDescent="0.25">
      <c r="A427" s="1">
        <v>44366</v>
      </c>
      <c r="B427" t="e">
        <f>NA()</f>
        <v>#N/A</v>
      </c>
      <c r="C427">
        <f>36119.11</f>
        <v>36119.11</v>
      </c>
      <c r="D427" t="e">
        <f>NA()</f>
        <v>#N/A</v>
      </c>
      <c r="E427" t="e">
        <f>NA()</f>
        <v>#N/A</v>
      </c>
      <c r="F427" t="e">
        <f>NA()</f>
        <v>#N/A</v>
      </c>
      <c r="G427" t="e">
        <f>NA()</f>
        <v>#N/A</v>
      </c>
    </row>
    <row r="428" spans="1:7" x14ac:dyDescent="0.25">
      <c r="A428" s="1">
        <v>44365</v>
      </c>
      <c r="B428">
        <f>1764.16</f>
        <v>1764.16</v>
      </c>
      <c r="C428">
        <f>35517.31</f>
        <v>35517.31</v>
      </c>
      <c r="D428">
        <f>25.7868</f>
        <v>25.786799999999999</v>
      </c>
      <c r="E428">
        <f>273</f>
        <v>273</v>
      </c>
      <c r="F428">
        <f>451.74</f>
        <v>451.74</v>
      </c>
      <c r="G428">
        <f>273.4832</f>
        <v>273.48320000000001</v>
      </c>
    </row>
    <row r="429" spans="1:7" x14ac:dyDescent="0.25">
      <c r="A429" s="1">
        <v>44364</v>
      </c>
      <c r="B429">
        <f>1773.5</f>
        <v>1773.5</v>
      </c>
      <c r="C429">
        <f>37747.52</f>
        <v>37747.519999999997</v>
      </c>
      <c r="D429">
        <f>25.9047</f>
        <v>25.904699999999998</v>
      </c>
      <c r="E429">
        <f>273</f>
        <v>273</v>
      </c>
      <c r="F429">
        <f>436.3</f>
        <v>436.3</v>
      </c>
      <c r="G429">
        <f>261.3332</f>
        <v>261.33319999999998</v>
      </c>
    </row>
    <row r="430" spans="1:7" x14ac:dyDescent="0.25">
      <c r="A430" s="1">
        <v>44363</v>
      </c>
      <c r="B430">
        <f>1811.47</f>
        <v>1811.47</v>
      </c>
      <c r="C430">
        <f>38532.5</f>
        <v>38532.5</v>
      </c>
      <c r="D430">
        <f>26.9831</f>
        <v>26.9831</v>
      </c>
      <c r="E430" t="e">
        <f>NA()</f>
        <v>#N/A</v>
      </c>
      <c r="F430">
        <f>451.74</f>
        <v>451.74</v>
      </c>
      <c r="G430">
        <f>277.7783</f>
        <v>277.7783</v>
      </c>
    </row>
    <row r="431" spans="1:7" x14ac:dyDescent="0.25">
      <c r="A431" s="1">
        <v>44362</v>
      </c>
      <c r="B431">
        <f>1859.02</f>
        <v>1859.02</v>
      </c>
      <c r="C431">
        <f>39948.77</f>
        <v>39948.769999999997</v>
      </c>
      <c r="D431">
        <f>27.6643</f>
        <v>27.664300000000001</v>
      </c>
      <c r="E431">
        <f>273</f>
        <v>273</v>
      </c>
      <c r="F431">
        <f>451.91</f>
        <v>451.91</v>
      </c>
      <c r="G431">
        <f>280.5984</f>
        <v>280.59840000000003</v>
      </c>
    </row>
    <row r="432" spans="1:7" x14ac:dyDescent="0.25">
      <c r="A432" s="1">
        <v>44361</v>
      </c>
      <c r="B432">
        <f>1866.18</f>
        <v>1866.18</v>
      </c>
      <c r="C432">
        <f>39831.58</f>
        <v>39831.58</v>
      </c>
      <c r="D432">
        <f>27.856</f>
        <v>27.856000000000002</v>
      </c>
      <c r="E432" t="e">
        <f>NA()</f>
        <v>#N/A</v>
      </c>
      <c r="F432">
        <f>460.73</f>
        <v>460.73</v>
      </c>
      <c r="G432">
        <f>284.9593</f>
        <v>284.95929999999998</v>
      </c>
    </row>
    <row r="433" spans="1:7" x14ac:dyDescent="0.25">
      <c r="A433" s="1">
        <v>44360</v>
      </c>
      <c r="B433" t="e">
        <f>NA()</f>
        <v>#N/A</v>
      </c>
      <c r="C433">
        <f>39260.32</f>
        <v>39260.32</v>
      </c>
      <c r="D433" t="e">
        <f>NA()</f>
        <v>#N/A</v>
      </c>
      <c r="E433" t="e">
        <f>NA()</f>
        <v>#N/A</v>
      </c>
      <c r="F433" t="e">
        <f>NA()</f>
        <v>#N/A</v>
      </c>
      <c r="G433" t="e">
        <f>NA()</f>
        <v>#N/A</v>
      </c>
    </row>
    <row r="434" spans="1:7" x14ac:dyDescent="0.25">
      <c r="A434" s="1">
        <v>44359</v>
      </c>
      <c r="B434" t="e">
        <f>NA()</f>
        <v>#N/A</v>
      </c>
      <c r="C434">
        <f>36020.18</f>
        <v>36020.18</v>
      </c>
      <c r="D434" t="e">
        <f>NA()</f>
        <v>#N/A</v>
      </c>
      <c r="E434" t="e">
        <f>NA()</f>
        <v>#N/A</v>
      </c>
      <c r="F434" t="e">
        <f>NA()</f>
        <v>#N/A</v>
      </c>
      <c r="G434" t="e">
        <f>NA()</f>
        <v>#N/A</v>
      </c>
    </row>
    <row r="435" spans="1:7" x14ac:dyDescent="0.25">
      <c r="A435" s="1">
        <v>44358</v>
      </c>
      <c r="B435">
        <f>1877.53</f>
        <v>1877.53</v>
      </c>
      <c r="C435">
        <f>37152.15</f>
        <v>37152.15</v>
      </c>
      <c r="D435">
        <f>27.9175</f>
        <v>27.9175</v>
      </c>
      <c r="E435">
        <f>273</f>
        <v>273</v>
      </c>
      <c r="F435">
        <f>465.31</f>
        <v>465.31</v>
      </c>
      <c r="G435">
        <f>297.5221</f>
        <v>297.52210000000002</v>
      </c>
    </row>
    <row r="436" spans="1:7" x14ac:dyDescent="0.25">
      <c r="A436" s="1">
        <v>44357</v>
      </c>
      <c r="B436">
        <f>1898.51</f>
        <v>1898.51</v>
      </c>
      <c r="C436">
        <f>36494.56</f>
        <v>36494.559999999998</v>
      </c>
      <c r="D436">
        <f>27.99</f>
        <v>27.99</v>
      </c>
      <c r="E436" t="e">
        <f>NA()</f>
        <v>#N/A</v>
      </c>
      <c r="F436">
        <f>467.21</f>
        <v>467.21</v>
      </c>
      <c r="G436">
        <f>304.6254</f>
        <v>304.62540000000001</v>
      </c>
    </row>
    <row r="437" spans="1:7" x14ac:dyDescent="0.25">
      <c r="A437" s="1">
        <v>44356</v>
      </c>
      <c r="B437">
        <f>1888.57</f>
        <v>1888.57</v>
      </c>
      <c r="C437">
        <f>36408.39</f>
        <v>36408.39</v>
      </c>
      <c r="D437">
        <f>27.7725</f>
        <v>27.772500000000001</v>
      </c>
      <c r="E437">
        <f>275</f>
        <v>275</v>
      </c>
      <c r="F437">
        <f>465.68</f>
        <v>465.68</v>
      </c>
      <c r="G437">
        <f>306.6847</f>
        <v>306.68470000000002</v>
      </c>
    </row>
    <row r="438" spans="1:7" x14ac:dyDescent="0.25">
      <c r="A438" s="1">
        <v>44355</v>
      </c>
      <c r="B438">
        <f>1892.89</f>
        <v>1892.89</v>
      </c>
      <c r="C438">
        <f>33629.96</f>
        <v>33629.96</v>
      </c>
      <c r="D438">
        <f>27.618</f>
        <v>27.617999999999999</v>
      </c>
      <c r="E438">
        <f>275</f>
        <v>275</v>
      </c>
      <c r="F438">
        <f>466.63</f>
        <v>466.63</v>
      </c>
      <c r="G438">
        <f>309.7228</f>
        <v>309.72280000000001</v>
      </c>
    </row>
    <row r="439" spans="1:7" x14ac:dyDescent="0.25">
      <c r="A439" s="1">
        <v>44354</v>
      </c>
      <c r="B439">
        <f>1899.21</f>
        <v>1899.21</v>
      </c>
      <c r="C439">
        <f>34457.74</f>
        <v>34457.74</v>
      </c>
      <c r="D439">
        <f>27.8897</f>
        <v>27.889700000000001</v>
      </c>
      <c r="E439">
        <f>275</f>
        <v>275</v>
      </c>
      <c r="F439">
        <f>462.29</f>
        <v>462.29</v>
      </c>
      <c r="G439">
        <f>311.201</f>
        <v>311.20100000000002</v>
      </c>
    </row>
    <row r="440" spans="1:7" x14ac:dyDescent="0.25">
      <c r="A440" s="1">
        <v>44353</v>
      </c>
      <c r="B440" t="e">
        <f>NA()</f>
        <v>#N/A</v>
      </c>
      <c r="C440">
        <f>35978.7</f>
        <v>35978.699999999997</v>
      </c>
      <c r="D440" t="e">
        <f>NA()</f>
        <v>#N/A</v>
      </c>
      <c r="E440" t="e">
        <f>NA()</f>
        <v>#N/A</v>
      </c>
      <c r="F440" t="e">
        <f>NA()</f>
        <v>#N/A</v>
      </c>
      <c r="G440" t="e">
        <f>NA()</f>
        <v>#N/A</v>
      </c>
    </row>
    <row r="441" spans="1:7" x14ac:dyDescent="0.25">
      <c r="A441" s="1">
        <v>44352</v>
      </c>
      <c r="B441" t="e">
        <f>NA()</f>
        <v>#N/A</v>
      </c>
      <c r="C441">
        <f>35854.31</f>
        <v>35854.31</v>
      </c>
      <c r="D441" t="e">
        <f>NA()</f>
        <v>#N/A</v>
      </c>
      <c r="E441" t="e">
        <f>NA()</f>
        <v>#N/A</v>
      </c>
      <c r="F441" t="e">
        <f>NA()</f>
        <v>#N/A</v>
      </c>
      <c r="G441" t="e">
        <f>NA()</f>
        <v>#N/A</v>
      </c>
    </row>
    <row r="442" spans="1:7" x14ac:dyDescent="0.25">
      <c r="A442" s="1">
        <v>44351</v>
      </c>
      <c r="B442">
        <f>1891.59</f>
        <v>1891.59</v>
      </c>
      <c r="C442">
        <f>37056.79</f>
        <v>37056.79</v>
      </c>
      <c r="D442">
        <f>27.7933</f>
        <v>27.793299999999999</v>
      </c>
      <c r="E442">
        <f>275</f>
        <v>275</v>
      </c>
      <c r="F442">
        <f>466.67</f>
        <v>466.67</v>
      </c>
      <c r="G442">
        <f>314.3367</f>
        <v>314.33670000000001</v>
      </c>
    </row>
    <row r="443" spans="1:7" x14ac:dyDescent="0.25">
      <c r="A443" s="1">
        <v>44350</v>
      </c>
      <c r="B443">
        <f>1870.76</f>
        <v>1870.76</v>
      </c>
      <c r="C443">
        <f>38705.27</f>
        <v>38705.269999999997</v>
      </c>
      <c r="D443">
        <f>27.4316</f>
        <v>27.4316</v>
      </c>
      <c r="E443">
        <f>273</f>
        <v>273</v>
      </c>
      <c r="F443">
        <f>458.86</f>
        <v>458.86</v>
      </c>
      <c r="G443">
        <f>306.7298</f>
        <v>306.72980000000001</v>
      </c>
    </row>
    <row r="444" spans="1:7" x14ac:dyDescent="0.25">
      <c r="A444" s="1">
        <v>44349</v>
      </c>
      <c r="B444">
        <f>1908.38</f>
        <v>1908.38</v>
      </c>
      <c r="C444">
        <f>37745.13</f>
        <v>37745.129999999997</v>
      </c>
      <c r="D444">
        <f>28.1719</f>
        <v>28.171900000000001</v>
      </c>
      <c r="E444">
        <f>275</f>
        <v>275</v>
      </c>
      <c r="F444">
        <f>466.5</f>
        <v>466.5</v>
      </c>
      <c r="G444">
        <f>311.2846</f>
        <v>311.28460000000001</v>
      </c>
    </row>
    <row r="445" spans="1:7" x14ac:dyDescent="0.25">
      <c r="A445" s="1">
        <v>44348</v>
      </c>
      <c r="B445">
        <f>1900.44</f>
        <v>1900.44</v>
      </c>
      <c r="C445">
        <f>36322.98</f>
        <v>36322.980000000003</v>
      </c>
      <c r="D445">
        <f>27.8927</f>
        <v>27.892700000000001</v>
      </c>
      <c r="E445">
        <f>275</f>
        <v>275</v>
      </c>
      <c r="F445">
        <f>470.57</f>
        <v>470.57</v>
      </c>
      <c r="G445">
        <f>313.44</f>
        <v>313.44</v>
      </c>
    </row>
    <row r="446" spans="1:7" x14ac:dyDescent="0.25">
      <c r="A446" s="1">
        <v>44347</v>
      </c>
      <c r="B446">
        <f>1906.87</f>
        <v>1906.87</v>
      </c>
      <c r="C446">
        <f>36690.89</f>
        <v>36690.89</v>
      </c>
      <c r="D446">
        <f>28.0262</f>
        <v>28.026199999999999</v>
      </c>
      <c r="E446">
        <f>272</f>
        <v>272</v>
      </c>
      <c r="F446" t="e">
        <f>NA()</f>
        <v>#N/A</v>
      </c>
      <c r="G446" t="e">
        <f>NA()</f>
        <v>#N/A</v>
      </c>
    </row>
    <row r="447" spans="1:7" x14ac:dyDescent="0.25">
      <c r="A447" s="1">
        <v>44346</v>
      </c>
      <c r="B447" t="e">
        <f>NA()</f>
        <v>#N/A</v>
      </c>
      <c r="C447">
        <f>36081.09</f>
        <v>36081.089999999997</v>
      </c>
      <c r="D447" t="e">
        <f>NA()</f>
        <v>#N/A</v>
      </c>
      <c r="E447" t="e">
        <f>NA()</f>
        <v>#N/A</v>
      </c>
      <c r="F447" t="e">
        <f>NA()</f>
        <v>#N/A</v>
      </c>
      <c r="G447" t="e">
        <f>NA()</f>
        <v>#N/A</v>
      </c>
    </row>
    <row r="448" spans="1:7" x14ac:dyDescent="0.25">
      <c r="A448" s="1">
        <v>44345</v>
      </c>
      <c r="B448" t="e">
        <f>NA()</f>
        <v>#N/A</v>
      </c>
      <c r="C448">
        <f>34269.86</f>
        <v>34269.86</v>
      </c>
      <c r="D448" t="e">
        <f>NA()</f>
        <v>#N/A</v>
      </c>
      <c r="E448" t="e">
        <f>NA()</f>
        <v>#N/A</v>
      </c>
      <c r="F448" t="e">
        <f>NA()</f>
        <v>#N/A</v>
      </c>
      <c r="G448" t="e">
        <f>NA()</f>
        <v>#N/A</v>
      </c>
    </row>
    <row r="449" spans="1:7" x14ac:dyDescent="0.25">
      <c r="A449" s="1">
        <v>44344</v>
      </c>
      <c r="B449">
        <f>1903.77</f>
        <v>1903.77</v>
      </c>
      <c r="C449">
        <f>35218.36</f>
        <v>35218.36</v>
      </c>
      <c r="D449">
        <f>27.9352</f>
        <v>27.935199999999998</v>
      </c>
      <c r="E449">
        <f>272</f>
        <v>272</v>
      </c>
      <c r="F449">
        <f>450.21</f>
        <v>450.21</v>
      </c>
      <c r="G449">
        <f>303.045</f>
        <v>303.04500000000002</v>
      </c>
    </row>
    <row r="450" spans="1:7" x14ac:dyDescent="0.25">
      <c r="A450" s="1">
        <v>44343</v>
      </c>
      <c r="B450">
        <f>1896.54</f>
        <v>1896.54</v>
      </c>
      <c r="C450">
        <f>38495.29</f>
        <v>38495.29</v>
      </c>
      <c r="D450">
        <f>27.844</f>
        <v>27.844000000000001</v>
      </c>
      <c r="E450">
        <f>274</f>
        <v>274</v>
      </c>
      <c r="F450">
        <f>458.86</f>
        <v>458.86</v>
      </c>
      <c r="G450">
        <f>306.4191</f>
        <v>306.41910000000001</v>
      </c>
    </row>
    <row r="451" spans="1:7" x14ac:dyDescent="0.25">
      <c r="A451" s="1">
        <v>44342</v>
      </c>
      <c r="B451">
        <f>1896.67</f>
        <v>1896.67</v>
      </c>
      <c r="C451">
        <f>38774.5</f>
        <v>38774.5</v>
      </c>
      <c r="D451">
        <f>27.6825</f>
        <v>27.682500000000001</v>
      </c>
      <c r="E451">
        <f>273</f>
        <v>273</v>
      </c>
      <c r="F451">
        <f>440.03</f>
        <v>440.03</v>
      </c>
      <c r="G451">
        <f>293.49</f>
        <v>293.49</v>
      </c>
    </row>
    <row r="452" spans="1:7" x14ac:dyDescent="0.25">
      <c r="A452" s="1">
        <v>44341</v>
      </c>
      <c r="B452">
        <f>1899.25</f>
        <v>1899.25</v>
      </c>
      <c r="C452">
        <f>37646.5</f>
        <v>37646.5</v>
      </c>
      <c r="D452">
        <f>27.9987</f>
        <v>27.998699999999999</v>
      </c>
      <c r="E452" t="e">
        <f>NA()</f>
        <v>#N/A</v>
      </c>
      <c r="F452">
        <f>445.46</f>
        <v>445.46</v>
      </c>
      <c r="G452">
        <f>294.1157</f>
        <v>294.1157</v>
      </c>
    </row>
    <row r="453" spans="1:7" x14ac:dyDescent="0.25">
      <c r="A453" s="1">
        <v>44340</v>
      </c>
      <c r="B453">
        <f>1881.02</f>
        <v>1881.02</v>
      </c>
      <c r="C453">
        <f>39024.16</f>
        <v>39024.160000000003</v>
      </c>
      <c r="D453">
        <f>27.7695</f>
        <v>27.769500000000001</v>
      </c>
      <c r="E453" t="e">
        <f>NA()</f>
        <v>#N/A</v>
      </c>
      <c r="F453">
        <f>449.36</f>
        <v>449.36</v>
      </c>
      <c r="G453">
        <f>302.5889</f>
        <v>302.58890000000002</v>
      </c>
    </row>
    <row r="454" spans="1:7" x14ac:dyDescent="0.25">
      <c r="A454" s="1">
        <v>44339</v>
      </c>
      <c r="B454" t="e">
        <f>NA()</f>
        <v>#N/A</v>
      </c>
      <c r="C454">
        <f>33700.55</f>
        <v>33700.550000000003</v>
      </c>
      <c r="D454" t="e">
        <f>NA()</f>
        <v>#N/A</v>
      </c>
      <c r="E454" t="e">
        <f>NA()</f>
        <v>#N/A</v>
      </c>
      <c r="F454" t="e">
        <f>NA()</f>
        <v>#N/A</v>
      </c>
      <c r="G454" t="e">
        <f>NA()</f>
        <v>#N/A</v>
      </c>
    </row>
    <row r="455" spans="1:7" x14ac:dyDescent="0.25">
      <c r="A455" s="1">
        <v>44338</v>
      </c>
      <c r="B455" t="e">
        <f>NA()</f>
        <v>#N/A</v>
      </c>
      <c r="C455">
        <f>38084.88</f>
        <v>38084.879999999997</v>
      </c>
      <c r="D455" t="e">
        <f>NA()</f>
        <v>#N/A</v>
      </c>
      <c r="E455" t="e">
        <f>NA()</f>
        <v>#N/A</v>
      </c>
      <c r="F455" t="e">
        <f>NA()</f>
        <v>#N/A</v>
      </c>
      <c r="G455" t="e">
        <f>NA()</f>
        <v>#N/A</v>
      </c>
    </row>
    <row r="456" spans="1:7" x14ac:dyDescent="0.25">
      <c r="A456" s="1">
        <v>44337</v>
      </c>
      <c r="B456">
        <f>1881.25</f>
        <v>1881.25</v>
      </c>
      <c r="C456">
        <f>35251.36</f>
        <v>35251.360000000001</v>
      </c>
      <c r="D456">
        <f>27.5645</f>
        <v>27.564499999999999</v>
      </c>
      <c r="E456">
        <f>276</f>
        <v>276</v>
      </c>
      <c r="F456">
        <f>457.51</f>
        <v>457.51</v>
      </c>
      <c r="G456">
        <f>304.5021</f>
        <v>304.50209999999998</v>
      </c>
    </row>
    <row r="457" spans="1:7" x14ac:dyDescent="0.25">
      <c r="A457" s="1">
        <v>44336</v>
      </c>
      <c r="B457">
        <f>1877.21</f>
        <v>1877.21</v>
      </c>
      <c r="C457">
        <f>40078.49</f>
        <v>40078.49</v>
      </c>
      <c r="D457">
        <f>27.7555</f>
        <v>27.755500000000001</v>
      </c>
      <c r="E457">
        <f>278</f>
        <v>278</v>
      </c>
      <c r="F457">
        <f>458.18</f>
        <v>458.18</v>
      </c>
      <c r="G457">
        <f>306.0299</f>
        <v>306.0299</v>
      </c>
    </row>
    <row r="458" spans="1:7" x14ac:dyDescent="0.25">
      <c r="A458" s="1">
        <v>44335</v>
      </c>
      <c r="B458">
        <f>1869.62</f>
        <v>1869.62</v>
      </c>
      <c r="C458">
        <f>38336.11</f>
        <v>38336.11</v>
      </c>
      <c r="D458">
        <f>27.7366</f>
        <v>27.736599999999999</v>
      </c>
      <c r="E458">
        <f>280</f>
        <v>280</v>
      </c>
      <c r="F458">
        <f>460.9</f>
        <v>460.9</v>
      </c>
      <c r="G458">
        <f>305.8949</f>
        <v>305.89490000000001</v>
      </c>
    </row>
    <row r="459" spans="1:7" x14ac:dyDescent="0.25">
      <c r="A459" s="1">
        <v>44334</v>
      </c>
      <c r="B459">
        <f>1869.44</f>
        <v>1869.44</v>
      </c>
      <c r="C459">
        <f>43294.36</f>
        <v>43294.36</v>
      </c>
      <c r="D459">
        <f>28.185</f>
        <v>28.184999999999999</v>
      </c>
      <c r="E459">
        <f>284</f>
        <v>284</v>
      </c>
      <c r="F459">
        <f>473.62</f>
        <v>473.62</v>
      </c>
      <c r="G459">
        <f>310.3868</f>
        <v>310.38679999999999</v>
      </c>
    </row>
    <row r="460" spans="1:7" x14ac:dyDescent="0.25">
      <c r="A460" s="1">
        <v>44333</v>
      </c>
      <c r="B460">
        <f>1866.9</f>
        <v>1866.9</v>
      </c>
      <c r="C460">
        <f>44816.08</f>
        <v>44816.08</v>
      </c>
      <c r="D460">
        <f>28.1715</f>
        <v>28.171500000000002</v>
      </c>
      <c r="E460">
        <f>284</f>
        <v>284</v>
      </c>
      <c r="F460">
        <f>474.81</f>
        <v>474.81</v>
      </c>
      <c r="G460">
        <f>310.5747</f>
        <v>310.57470000000001</v>
      </c>
    </row>
    <row r="461" spans="1:7" x14ac:dyDescent="0.25">
      <c r="A461" s="1">
        <v>44332</v>
      </c>
      <c r="B461" t="e">
        <f>NA()</f>
        <v>#N/A</v>
      </c>
      <c r="C461">
        <f>44098.92</f>
        <v>44098.92</v>
      </c>
      <c r="D461" t="e">
        <f>NA()</f>
        <v>#N/A</v>
      </c>
      <c r="E461" t="e">
        <f>NA()</f>
        <v>#N/A</v>
      </c>
      <c r="F461" t="e">
        <f>NA()</f>
        <v>#N/A</v>
      </c>
      <c r="G461" t="e">
        <f>NA()</f>
        <v>#N/A</v>
      </c>
    </row>
    <row r="462" spans="1:7" x14ac:dyDescent="0.25">
      <c r="A462" s="1">
        <v>44331</v>
      </c>
      <c r="B462" t="e">
        <f>NA()</f>
        <v>#N/A</v>
      </c>
      <c r="C462">
        <f>48242.61</f>
        <v>48242.61</v>
      </c>
      <c r="D462" t="e">
        <f>NA()</f>
        <v>#N/A</v>
      </c>
      <c r="E462" t="e">
        <f>NA()</f>
        <v>#N/A</v>
      </c>
      <c r="F462" t="e">
        <f>NA()</f>
        <v>#N/A</v>
      </c>
      <c r="G462" t="e">
        <f>NA()</f>
        <v>#N/A</v>
      </c>
    </row>
    <row r="463" spans="1:7" x14ac:dyDescent="0.25">
      <c r="A463" s="1">
        <v>44330</v>
      </c>
      <c r="B463">
        <f>1843.43</f>
        <v>1843.43</v>
      </c>
      <c r="C463">
        <f>49193.56</f>
        <v>49193.56</v>
      </c>
      <c r="D463">
        <f>27.4228</f>
        <v>27.422799999999999</v>
      </c>
      <c r="E463">
        <f>284</f>
        <v>284</v>
      </c>
      <c r="F463">
        <f>479.9</f>
        <v>479.9</v>
      </c>
      <c r="G463">
        <f>309.6587</f>
        <v>309.65870000000001</v>
      </c>
    </row>
    <row r="464" spans="1:7" x14ac:dyDescent="0.25">
      <c r="A464" s="1">
        <v>44329</v>
      </c>
      <c r="B464">
        <f>1826.72</f>
        <v>1826.72</v>
      </c>
      <c r="C464">
        <f>49312.81</f>
        <v>49312.81</v>
      </c>
      <c r="D464">
        <f>27.093</f>
        <v>27.093</v>
      </c>
      <c r="E464">
        <f>283</f>
        <v>283</v>
      </c>
      <c r="F464">
        <f>476</f>
        <v>476</v>
      </c>
      <c r="G464">
        <f>314.7958</f>
        <v>314.79579999999999</v>
      </c>
    </row>
    <row r="465" spans="1:7" x14ac:dyDescent="0.25">
      <c r="A465" s="1">
        <v>44328</v>
      </c>
      <c r="B465">
        <f>1815.69</f>
        <v>1815.69</v>
      </c>
      <c r="C465">
        <f>54482.81</f>
        <v>54482.81</v>
      </c>
      <c r="D465">
        <f>27.0231</f>
        <v>27.023099999999999</v>
      </c>
      <c r="E465">
        <f>285</f>
        <v>285</v>
      </c>
      <c r="F465">
        <f>495.17</f>
        <v>495.17</v>
      </c>
      <c r="G465">
        <f>329.7466</f>
        <v>329.7466</v>
      </c>
    </row>
    <row r="466" spans="1:7" x14ac:dyDescent="0.25">
      <c r="A466" s="1">
        <v>44327</v>
      </c>
      <c r="B466">
        <f>1837.47</f>
        <v>1837.47</v>
      </c>
      <c r="C466">
        <f>56911.32</f>
        <v>56911.32</v>
      </c>
      <c r="D466">
        <f>27.624</f>
        <v>27.623999999999999</v>
      </c>
      <c r="E466">
        <f>285</f>
        <v>285</v>
      </c>
      <c r="F466">
        <f>503.31</f>
        <v>503.31</v>
      </c>
      <c r="G466">
        <f>330.9117</f>
        <v>330.9117</v>
      </c>
    </row>
    <row r="467" spans="1:7" x14ac:dyDescent="0.25">
      <c r="A467" s="1">
        <v>44326</v>
      </c>
      <c r="B467">
        <f>1836.07</f>
        <v>1836.07</v>
      </c>
      <c r="C467">
        <f>55308.81</f>
        <v>55308.81</v>
      </c>
      <c r="D467">
        <f>27.3085</f>
        <v>27.308499999999999</v>
      </c>
      <c r="E467">
        <f>285</f>
        <v>285</v>
      </c>
      <c r="F467">
        <f>495.67</f>
        <v>495.67</v>
      </c>
      <c r="G467">
        <f>325.9451</f>
        <v>325.94510000000002</v>
      </c>
    </row>
    <row r="468" spans="1:7" x14ac:dyDescent="0.25">
      <c r="A468" s="1">
        <v>44325</v>
      </c>
      <c r="B468" t="e">
        <f>NA()</f>
        <v>#N/A</v>
      </c>
      <c r="C468">
        <f>57931.38</f>
        <v>57931.38</v>
      </c>
      <c r="D468" t="e">
        <f>NA()</f>
        <v>#N/A</v>
      </c>
      <c r="E468" t="e">
        <f>NA()</f>
        <v>#N/A</v>
      </c>
      <c r="F468" t="e">
        <f>NA()</f>
        <v>#N/A</v>
      </c>
      <c r="G468" t="e">
        <f>NA()</f>
        <v>#N/A</v>
      </c>
    </row>
    <row r="469" spans="1:7" x14ac:dyDescent="0.25">
      <c r="A469" s="1">
        <v>44324</v>
      </c>
      <c r="B469" t="e">
        <f>NA()</f>
        <v>#N/A</v>
      </c>
      <c r="C469">
        <f>59004.37</f>
        <v>59004.37</v>
      </c>
      <c r="D469" t="e">
        <f>NA()</f>
        <v>#N/A</v>
      </c>
      <c r="E469" t="e">
        <f>NA()</f>
        <v>#N/A</v>
      </c>
      <c r="F469" t="e">
        <f>NA()</f>
        <v>#N/A</v>
      </c>
      <c r="G469" t="e">
        <f>NA()</f>
        <v>#N/A</v>
      </c>
    </row>
    <row r="470" spans="1:7" x14ac:dyDescent="0.25">
      <c r="A470" s="1">
        <v>44323</v>
      </c>
      <c r="B470">
        <f>1831.24</f>
        <v>1831.24</v>
      </c>
      <c r="C470">
        <f>57684.39</f>
        <v>57684.39</v>
      </c>
      <c r="D470">
        <f>27.4495</f>
        <v>27.4495</v>
      </c>
      <c r="E470">
        <f>288</f>
        <v>288</v>
      </c>
      <c r="F470">
        <f>516.88</f>
        <v>516.88</v>
      </c>
      <c r="G470">
        <f>333.5943</f>
        <v>333.59429999999998</v>
      </c>
    </row>
    <row r="471" spans="1:7" x14ac:dyDescent="0.25">
      <c r="A471" s="1">
        <v>44322</v>
      </c>
      <c r="B471">
        <f>1815.22</f>
        <v>1815.22</v>
      </c>
      <c r="C471">
        <f>55955.47</f>
        <v>55955.47</v>
      </c>
      <c r="D471">
        <f>27.3105</f>
        <v>27.310500000000001</v>
      </c>
      <c r="E471">
        <f>282</f>
        <v>282</v>
      </c>
      <c r="F471">
        <f>511.11</f>
        <v>511.11</v>
      </c>
      <c r="G471">
        <f>328.6374</f>
        <v>328.63740000000001</v>
      </c>
    </row>
    <row r="472" spans="1:7" x14ac:dyDescent="0.25">
      <c r="A472" s="1">
        <v>44321</v>
      </c>
      <c r="B472">
        <f>1786.87</f>
        <v>1786.87</v>
      </c>
      <c r="C472">
        <f>56895.44</f>
        <v>56895.44</v>
      </c>
      <c r="D472">
        <f>26.4895</f>
        <v>26.4895</v>
      </c>
      <c r="E472">
        <f>277</f>
        <v>277</v>
      </c>
      <c r="F472">
        <f>505.17</f>
        <v>505.17</v>
      </c>
      <c r="G472">
        <f>323.7823</f>
        <v>323.78230000000002</v>
      </c>
    </row>
    <row r="473" spans="1:7" x14ac:dyDescent="0.25">
      <c r="A473" s="1">
        <v>44320</v>
      </c>
      <c r="B473">
        <f>1779.06</f>
        <v>1779.06</v>
      </c>
      <c r="C473">
        <f>54770.39</f>
        <v>54770.39</v>
      </c>
      <c r="D473">
        <f>26.509</f>
        <v>26.509</v>
      </c>
      <c r="E473">
        <f>275</f>
        <v>275</v>
      </c>
      <c r="F473">
        <f>493.13</f>
        <v>493.13</v>
      </c>
      <c r="G473">
        <f>319.2761</f>
        <v>319.27609999999999</v>
      </c>
    </row>
    <row r="474" spans="1:7" x14ac:dyDescent="0.25">
      <c r="A474" s="1">
        <v>44319</v>
      </c>
      <c r="B474">
        <f>1792.88</f>
        <v>1792.88</v>
      </c>
      <c r="C474">
        <f>56811.66</f>
        <v>56811.66</v>
      </c>
      <c r="D474">
        <f>26.905</f>
        <v>26.905000000000001</v>
      </c>
      <c r="E474">
        <f>273</f>
        <v>273</v>
      </c>
      <c r="F474">
        <f>487.19</f>
        <v>487.19</v>
      </c>
      <c r="G474">
        <f>313.9973</f>
        <v>313.9973</v>
      </c>
    </row>
    <row r="475" spans="1:7" x14ac:dyDescent="0.25">
      <c r="A475" s="1">
        <v>44318</v>
      </c>
      <c r="B475" t="e">
        <f>NA()</f>
        <v>#N/A</v>
      </c>
      <c r="C475">
        <f>57042.24</f>
        <v>57042.239999999998</v>
      </c>
      <c r="D475" t="e">
        <f>NA()</f>
        <v>#N/A</v>
      </c>
      <c r="E475" t="e">
        <f>NA()</f>
        <v>#N/A</v>
      </c>
      <c r="F475" t="e">
        <f>NA()</f>
        <v>#N/A</v>
      </c>
      <c r="G475" t="e">
        <f>NA()</f>
        <v>#N/A</v>
      </c>
    </row>
    <row r="476" spans="1:7" x14ac:dyDescent="0.25">
      <c r="A476" s="1">
        <v>44317</v>
      </c>
      <c r="B476" t="e">
        <f>NA()</f>
        <v>#N/A</v>
      </c>
      <c r="C476">
        <f>57725.77</f>
        <v>57725.77</v>
      </c>
      <c r="D476" t="e">
        <f>NA()</f>
        <v>#N/A</v>
      </c>
      <c r="E476" t="e">
        <f>NA()</f>
        <v>#N/A</v>
      </c>
      <c r="F476" t="e">
        <f>NA()</f>
        <v>#N/A</v>
      </c>
      <c r="G476" t="e">
        <f>NA()</f>
        <v>#N/A</v>
      </c>
    </row>
    <row r="477" spans="1:7" x14ac:dyDescent="0.25">
      <c r="A477" s="1">
        <v>44316</v>
      </c>
      <c r="B477">
        <f>1769.13</f>
        <v>1769.13</v>
      </c>
      <c r="C477">
        <f>56814.44</f>
        <v>56814.44</v>
      </c>
      <c r="D477">
        <f>25.9169</f>
        <v>25.916899999999998</v>
      </c>
      <c r="E477">
        <f>273</f>
        <v>273</v>
      </c>
      <c r="F477">
        <f>498.56</f>
        <v>498.56</v>
      </c>
      <c r="G477">
        <f>315.4311</f>
        <v>315.43110000000001</v>
      </c>
    </row>
    <row r="478" spans="1:7" x14ac:dyDescent="0.25">
      <c r="A478" s="1">
        <v>44315</v>
      </c>
      <c r="B478">
        <f>1772.18</f>
        <v>1772.18</v>
      </c>
      <c r="C478">
        <f>52990.9</f>
        <v>52990.9</v>
      </c>
      <c r="D478">
        <f>26.0974</f>
        <v>26.0974</v>
      </c>
      <c r="E478">
        <f>273</f>
        <v>273</v>
      </c>
      <c r="F478">
        <f>494.66</f>
        <v>494.66</v>
      </c>
      <c r="G478">
        <f>307.7758</f>
        <v>307.7758</v>
      </c>
    </row>
    <row r="479" spans="1:7" x14ac:dyDescent="0.25">
      <c r="A479" s="1">
        <v>44314</v>
      </c>
      <c r="B479">
        <f>1781.68</f>
        <v>1781.68</v>
      </c>
      <c r="C479">
        <f>54438.68</f>
        <v>54438.68</v>
      </c>
      <c r="D479">
        <f>26.2028</f>
        <v>26.2028</v>
      </c>
      <c r="E479" t="e">
        <f>NA()</f>
        <v>#N/A</v>
      </c>
      <c r="F479">
        <f>490.42</f>
        <v>490.42</v>
      </c>
      <c r="G479">
        <f>307.4248</f>
        <v>307.4248</v>
      </c>
    </row>
    <row r="480" spans="1:7" x14ac:dyDescent="0.25">
      <c r="A480" s="1">
        <v>44313</v>
      </c>
      <c r="B480">
        <f>1776.6</f>
        <v>1776.6</v>
      </c>
      <c r="C480">
        <f>55192.62</f>
        <v>55192.62</v>
      </c>
      <c r="D480">
        <f>26.2682</f>
        <v>26.2682</v>
      </c>
      <c r="E480">
        <f>280</f>
        <v>280</v>
      </c>
      <c r="F480">
        <f>497.2</f>
        <v>497.2</v>
      </c>
      <c r="G480">
        <f>311.127</f>
        <v>311.12700000000001</v>
      </c>
    </row>
    <row r="481" spans="1:7" x14ac:dyDescent="0.25">
      <c r="A481" s="1">
        <v>44312</v>
      </c>
      <c r="B481">
        <f>1781.38</f>
        <v>1781.38</v>
      </c>
      <c r="C481">
        <f>53262.87</f>
        <v>53262.87</v>
      </c>
      <c r="D481">
        <f>26.225</f>
        <v>26.225000000000001</v>
      </c>
      <c r="E481">
        <f>280</f>
        <v>280</v>
      </c>
      <c r="F481">
        <f>501.78</f>
        <v>501.78</v>
      </c>
      <c r="G481">
        <f>313.4496</f>
        <v>313.44959999999998</v>
      </c>
    </row>
    <row r="482" spans="1:7" x14ac:dyDescent="0.25">
      <c r="A482" s="1">
        <v>44311</v>
      </c>
      <c r="B482" t="e">
        <f>NA()</f>
        <v>#N/A</v>
      </c>
      <c r="C482">
        <f>48122.24</f>
        <v>48122.239999999998</v>
      </c>
      <c r="D482" t="e">
        <f>NA()</f>
        <v>#N/A</v>
      </c>
      <c r="E482" t="e">
        <f>NA()</f>
        <v>#N/A</v>
      </c>
      <c r="F482" t="e">
        <f>NA()</f>
        <v>#N/A</v>
      </c>
      <c r="G482" t="e">
        <f>NA()</f>
        <v>#N/A</v>
      </c>
    </row>
    <row r="483" spans="1:7" x14ac:dyDescent="0.25">
      <c r="A483" s="1">
        <v>44310</v>
      </c>
      <c r="B483" t="e">
        <f>NA()</f>
        <v>#N/A</v>
      </c>
      <c r="C483">
        <f>50984.81</f>
        <v>50984.81</v>
      </c>
      <c r="D483" t="e">
        <f>NA()</f>
        <v>#N/A</v>
      </c>
      <c r="E483" t="e">
        <f>NA()</f>
        <v>#N/A</v>
      </c>
      <c r="F483" t="e">
        <f>NA()</f>
        <v>#N/A</v>
      </c>
      <c r="G483" t="e">
        <f>NA()</f>
        <v>#N/A</v>
      </c>
    </row>
    <row r="484" spans="1:7" x14ac:dyDescent="0.25">
      <c r="A484" s="1">
        <v>44309</v>
      </c>
      <c r="B484">
        <f>1777.2</f>
        <v>1777.2</v>
      </c>
      <c r="C484">
        <f>50567.72</f>
        <v>50567.72</v>
      </c>
      <c r="D484">
        <f>26.0054</f>
        <v>26.005400000000002</v>
      </c>
      <c r="E484">
        <f>275</f>
        <v>275</v>
      </c>
      <c r="F484">
        <f>483.29</f>
        <v>483.29</v>
      </c>
      <c r="G484">
        <f>304.0081</f>
        <v>304.00810000000001</v>
      </c>
    </row>
    <row r="485" spans="1:7" x14ac:dyDescent="0.25">
      <c r="A485" s="1">
        <v>44308</v>
      </c>
      <c r="B485">
        <f>1783.94</f>
        <v>1783.94</v>
      </c>
      <c r="C485">
        <f>51593.44</f>
        <v>51593.440000000002</v>
      </c>
      <c r="D485">
        <f>26.1458</f>
        <v>26.145800000000001</v>
      </c>
      <c r="E485">
        <f>273</f>
        <v>273</v>
      </c>
      <c r="F485">
        <f>482.1</f>
        <v>482.1</v>
      </c>
      <c r="G485">
        <f>303.3269</f>
        <v>303.32690000000002</v>
      </c>
    </row>
    <row r="486" spans="1:7" x14ac:dyDescent="0.25">
      <c r="A486" s="1">
        <v>44307</v>
      </c>
      <c r="B486">
        <f>1793.79</f>
        <v>1793.79</v>
      </c>
      <c r="C486">
        <f>54996.31</f>
        <v>54996.31</v>
      </c>
      <c r="D486">
        <f>26.5538</f>
        <v>26.553799999999999</v>
      </c>
      <c r="E486">
        <f>269</f>
        <v>269</v>
      </c>
      <c r="F486">
        <f>458.01</f>
        <v>458.01</v>
      </c>
      <c r="G486">
        <f>292.1017</f>
        <v>292.10169999999999</v>
      </c>
    </row>
    <row r="487" spans="1:7" x14ac:dyDescent="0.25">
      <c r="A487" s="1">
        <v>44306</v>
      </c>
      <c r="B487">
        <f>1778.75</f>
        <v>1778.75</v>
      </c>
      <c r="C487">
        <f>56800.5</f>
        <v>56800.5</v>
      </c>
      <c r="D487">
        <f>25.841</f>
        <v>25.841000000000001</v>
      </c>
      <c r="E487">
        <f>267</f>
        <v>267</v>
      </c>
      <c r="F487">
        <f>448.69</f>
        <v>448.69</v>
      </c>
      <c r="G487">
        <f>286.4817</f>
        <v>286.48169999999999</v>
      </c>
    </row>
    <row r="488" spans="1:7" x14ac:dyDescent="0.25">
      <c r="A488" s="1">
        <v>44305</v>
      </c>
      <c r="B488">
        <f>1771.43</f>
        <v>1771.43</v>
      </c>
      <c r="C488">
        <f>56210.89</f>
        <v>56210.89</v>
      </c>
      <c r="D488">
        <f>25.8232</f>
        <v>25.8232</v>
      </c>
      <c r="E488">
        <f>266</f>
        <v>266</v>
      </c>
      <c r="F488">
        <f>443.6</f>
        <v>443.6</v>
      </c>
      <c r="G488">
        <f>281.929</f>
        <v>281.92899999999997</v>
      </c>
    </row>
    <row r="489" spans="1:7" x14ac:dyDescent="0.25">
      <c r="A489" s="1">
        <v>44304</v>
      </c>
      <c r="B489" t="e">
        <f>NA()</f>
        <v>#N/A</v>
      </c>
      <c r="C489">
        <f>56291.89</f>
        <v>56291.89</v>
      </c>
      <c r="D489" t="e">
        <f>NA()</f>
        <v>#N/A</v>
      </c>
      <c r="E489" t="e">
        <f>NA()</f>
        <v>#N/A</v>
      </c>
      <c r="F489" t="e">
        <f>NA()</f>
        <v>#N/A</v>
      </c>
      <c r="G489" t="e">
        <f>NA()</f>
        <v>#N/A</v>
      </c>
    </row>
    <row r="490" spans="1:7" x14ac:dyDescent="0.25">
      <c r="A490" s="1">
        <v>44303</v>
      </c>
      <c r="B490" t="e">
        <f>NA()</f>
        <v>#N/A</v>
      </c>
      <c r="C490">
        <f>60870.13</f>
        <v>60870.13</v>
      </c>
      <c r="D490" t="e">
        <f>NA()</f>
        <v>#N/A</v>
      </c>
      <c r="E490" t="e">
        <f>NA()</f>
        <v>#N/A</v>
      </c>
      <c r="F490" t="e">
        <f>NA()</f>
        <v>#N/A</v>
      </c>
      <c r="G490" t="e">
        <f>NA()</f>
        <v>#N/A</v>
      </c>
    </row>
    <row r="491" spans="1:7" x14ac:dyDescent="0.25">
      <c r="A491" s="1">
        <v>44302</v>
      </c>
      <c r="B491">
        <f>1776.51</f>
        <v>1776.51</v>
      </c>
      <c r="C491">
        <f>62005.42</f>
        <v>62005.42</v>
      </c>
      <c r="D491">
        <f>25.967</f>
        <v>25.966999999999999</v>
      </c>
      <c r="E491">
        <f>266</f>
        <v>266</v>
      </c>
      <c r="F491">
        <f>444.44</f>
        <v>444.44</v>
      </c>
      <c r="G491">
        <f>279.6892</f>
        <v>279.68920000000003</v>
      </c>
    </row>
    <row r="492" spans="1:7" x14ac:dyDescent="0.25">
      <c r="A492" s="1">
        <v>44301</v>
      </c>
      <c r="B492">
        <f>1763.95</f>
        <v>1763.95</v>
      </c>
      <c r="C492">
        <f>63410.29</f>
        <v>63410.29</v>
      </c>
      <c r="D492">
        <f>25.85</f>
        <v>25.85</v>
      </c>
      <c r="E492">
        <f>259</f>
        <v>259</v>
      </c>
      <c r="F492">
        <f>444.78</f>
        <v>444.78</v>
      </c>
      <c r="G492">
        <f>279.4313</f>
        <v>279.43130000000002</v>
      </c>
    </row>
    <row r="493" spans="1:7" x14ac:dyDescent="0.25">
      <c r="A493" s="1">
        <v>44300</v>
      </c>
      <c r="B493">
        <f>1736.43</f>
        <v>1736.43</v>
      </c>
      <c r="C493">
        <f>62384.19</f>
        <v>62384.19</v>
      </c>
      <c r="D493">
        <f>25.4217</f>
        <v>25.421700000000001</v>
      </c>
      <c r="E493">
        <f>259</f>
        <v>259</v>
      </c>
      <c r="F493">
        <f>441.22</f>
        <v>441.22</v>
      </c>
      <c r="G493">
        <f>279.3227</f>
        <v>279.3227</v>
      </c>
    </row>
    <row r="494" spans="1:7" x14ac:dyDescent="0.25">
      <c r="A494" s="1">
        <v>44299</v>
      </c>
      <c r="B494">
        <f>1745.51</f>
        <v>1745.51</v>
      </c>
      <c r="C494">
        <f>63193.56</f>
        <v>63193.56</v>
      </c>
      <c r="D494">
        <f>25.3475</f>
        <v>25.3475</v>
      </c>
      <c r="E494">
        <f>259</f>
        <v>259</v>
      </c>
      <c r="F494">
        <f>429.35</f>
        <v>429.35</v>
      </c>
      <c r="G494">
        <f>274.0118</f>
        <v>274.01179999999999</v>
      </c>
    </row>
    <row r="495" spans="1:7" x14ac:dyDescent="0.25">
      <c r="A495" s="1">
        <v>44298</v>
      </c>
      <c r="B495">
        <f>1732.76</f>
        <v>1732.76</v>
      </c>
      <c r="C495">
        <f>59977.92</f>
        <v>59977.919999999998</v>
      </c>
      <c r="D495">
        <f>24.8165</f>
        <v>24.816500000000001</v>
      </c>
      <c r="E495">
        <f>259</f>
        <v>259</v>
      </c>
      <c r="F495">
        <f>427.45</f>
        <v>427.45</v>
      </c>
      <c r="G495">
        <f>271.5922</f>
        <v>271.59219999999999</v>
      </c>
    </row>
    <row r="496" spans="1:7" x14ac:dyDescent="0.25">
      <c r="A496" s="1">
        <v>44297</v>
      </c>
      <c r="B496" t="e">
        <f>NA()</f>
        <v>#N/A</v>
      </c>
      <c r="C496">
        <f>59674.92</f>
        <v>59674.92</v>
      </c>
      <c r="D496" t="e">
        <f>NA()</f>
        <v>#N/A</v>
      </c>
      <c r="E496" t="e">
        <f>NA()</f>
        <v>#N/A</v>
      </c>
      <c r="F496" t="e">
        <f>NA()</f>
        <v>#N/A</v>
      </c>
      <c r="G496" t="e">
        <f>NA()</f>
        <v>#N/A</v>
      </c>
    </row>
    <row r="497" spans="1:7" x14ac:dyDescent="0.25">
      <c r="A497" s="1">
        <v>44296</v>
      </c>
      <c r="B497" t="e">
        <f>NA()</f>
        <v>#N/A</v>
      </c>
      <c r="C497">
        <f>58568.57</f>
        <v>58568.57</v>
      </c>
      <c r="D497" t="e">
        <f>NA()</f>
        <v>#N/A</v>
      </c>
      <c r="E497" t="e">
        <f>NA()</f>
        <v>#N/A</v>
      </c>
      <c r="F497" t="e">
        <f>NA()</f>
        <v>#N/A</v>
      </c>
      <c r="G497" t="e">
        <f>NA()</f>
        <v>#N/A</v>
      </c>
    </row>
    <row r="498" spans="1:7" x14ac:dyDescent="0.25">
      <c r="A498" s="1">
        <v>44295</v>
      </c>
      <c r="B498">
        <f>1743.88</f>
        <v>1743.88</v>
      </c>
      <c r="C498">
        <f>58333.6</f>
        <v>58333.599999999999</v>
      </c>
      <c r="D498">
        <f>25.2655</f>
        <v>25.265499999999999</v>
      </c>
      <c r="E498">
        <f>261</f>
        <v>261</v>
      </c>
      <c r="F498">
        <f>433.89</f>
        <v>433.89</v>
      </c>
      <c r="G498">
        <f>275.997</f>
        <v>275.99700000000001</v>
      </c>
    </row>
    <row r="499" spans="1:7" x14ac:dyDescent="0.25">
      <c r="A499" s="1">
        <v>44294</v>
      </c>
      <c r="B499">
        <f>1755.84</f>
        <v>1755.84</v>
      </c>
      <c r="C499">
        <f>57679.16</f>
        <v>57679.16</v>
      </c>
      <c r="D499">
        <f>25.4587</f>
        <v>25.4587</v>
      </c>
      <c r="E499">
        <f>261</f>
        <v>261</v>
      </c>
      <c r="F499">
        <f>426.87</f>
        <v>426.87</v>
      </c>
      <c r="G499">
        <f>276.664</f>
        <v>276.66399999999999</v>
      </c>
    </row>
    <row r="500" spans="1:7" x14ac:dyDescent="0.25">
      <c r="A500" s="1">
        <v>44293</v>
      </c>
      <c r="B500">
        <f>1737.72</f>
        <v>1737.72</v>
      </c>
      <c r="C500">
        <f>56227.64</f>
        <v>56227.64</v>
      </c>
      <c r="D500">
        <f>25.1482</f>
        <v>25.148199999999999</v>
      </c>
      <c r="E500">
        <f>261</f>
        <v>261</v>
      </c>
      <c r="F500">
        <f>418.15</f>
        <v>418.15</v>
      </c>
      <c r="G500">
        <f>271.1772</f>
        <v>271.17720000000003</v>
      </c>
    </row>
    <row r="501" spans="1:7" x14ac:dyDescent="0.25">
      <c r="A501" s="1">
        <v>44292</v>
      </c>
      <c r="B501">
        <f>1743.27</f>
        <v>1743.27</v>
      </c>
      <c r="C501">
        <f>58243.87</f>
        <v>58243.87</v>
      </c>
      <c r="D501">
        <f>25.1617</f>
        <v>25.1617</v>
      </c>
      <c r="E501">
        <f>261</f>
        <v>261</v>
      </c>
      <c r="F501">
        <f>417.64</f>
        <v>417.64</v>
      </c>
      <c r="G501">
        <f>270.338</f>
        <v>270.33800000000002</v>
      </c>
    </row>
    <row r="502" spans="1:7" x14ac:dyDescent="0.25">
      <c r="A502" s="1">
        <v>44291</v>
      </c>
      <c r="B502">
        <f>1728.27</f>
        <v>1728.27</v>
      </c>
      <c r="C502">
        <f>58799.14</f>
        <v>58799.14</v>
      </c>
      <c r="D502">
        <f>24.879</f>
        <v>24.879000000000001</v>
      </c>
      <c r="E502">
        <f>261</f>
        <v>261</v>
      </c>
      <c r="F502">
        <f>419.34</f>
        <v>419.34</v>
      </c>
      <c r="G502">
        <f>270.2378</f>
        <v>270.23779999999999</v>
      </c>
    </row>
    <row r="503" spans="1:7" x14ac:dyDescent="0.25">
      <c r="A503" s="1">
        <v>44290</v>
      </c>
      <c r="B503" t="e">
        <f>NA()</f>
        <v>#N/A</v>
      </c>
      <c r="C503">
        <f>58044.39</f>
        <v>58044.39</v>
      </c>
      <c r="D503" t="e">
        <f>NA()</f>
        <v>#N/A</v>
      </c>
      <c r="E503" t="e">
        <f>NA()</f>
        <v>#N/A</v>
      </c>
      <c r="F503" t="e">
        <f>NA()</f>
        <v>#N/A</v>
      </c>
      <c r="G503" t="e">
        <f>NA()</f>
        <v>#N/A</v>
      </c>
    </row>
    <row r="504" spans="1:7" x14ac:dyDescent="0.25">
      <c r="A504" s="1">
        <v>44289</v>
      </c>
      <c r="B504" t="e">
        <f>NA()</f>
        <v>#N/A</v>
      </c>
      <c r="C504">
        <f>58064.8</f>
        <v>58064.800000000003</v>
      </c>
      <c r="D504" t="e">
        <f>NA()</f>
        <v>#N/A</v>
      </c>
      <c r="E504" t="e">
        <f>NA()</f>
        <v>#N/A</v>
      </c>
      <c r="F504" t="e">
        <f>NA()</f>
        <v>#N/A</v>
      </c>
      <c r="G504" t="e">
        <f>NA()</f>
        <v>#N/A</v>
      </c>
    </row>
    <row r="505" spans="1:7" x14ac:dyDescent="0.25">
      <c r="A505" s="1">
        <v>44288</v>
      </c>
      <c r="B505">
        <f>1728.87</f>
        <v>1728.87</v>
      </c>
      <c r="C505">
        <f>58674.76</f>
        <v>58674.76</v>
      </c>
      <c r="D505">
        <f>25.0098</f>
        <v>25.009799999999998</v>
      </c>
      <c r="E505" t="e">
        <f>NA()</f>
        <v>#N/A</v>
      </c>
      <c r="F505" t="e">
        <f>NA()</f>
        <v>#N/A</v>
      </c>
      <c r="G505" t="e">
        <f>NA()</f>
        <v>#N/A</v>
      </c>
    </row>
    <row r="506" spans="1:7" x14ac:dyDescent="0.25">
      <c r="A506" s="1">
        <v>44287</v>
      </c>
      <c r="B506">
        <f>1729.31</f>
        <v>1729.31</v>
      </c>
      <c r="C506">
        <f>58859.78</f>
        <v>58859.78</v>
      </c>
      <c r="D506">
        <f>24.971</f>
        <v>24.971</v>
      </c>
      <c r="E506" t="e">
        <f>NA()</f>
        <v>#N/A</v>
      </c>
      <c r="F506">
        <f>414.59</f>
        <v>414.59</v>
      </c>
      <c r="G506">
        <f>270.2569</f>
        <v>270.25689999999997</v>
      </c>
    </row>
    <row r="507" spans="1:7" x14ac:dyDescent="0.25">
      <c r="A507" s="1">
        <v>44286</v>
      </c>
      <c r="B507">
        <f>1707.71</f>
        <v>1707.71</v>
      </c>
      <c r="C507">
        <f>58960.2</f>
        <v>58960.2</v>
      </c>
      <c r="D507">
        <f>24.4172</f>
        <v>24.417200000000001</v>
      </c>
      <c r="E507">
        <f>265</f>
        <v>265</v>
      </c>
      <c r="F507">
        <f>419.34</f>
        <v>419.34</v>
      </c>
      <c r="G507">
        <f>274.4914</f>
        <v>274.4914</v>
      </c>
    </row>
    <row r="508" spans="1:7" x14ac:dyDescent="0.25">
      <c r="A508" s="1">
        <v>44285</v>
      </c>
      <c r="B508">
        <f>1685.2</f>
        <v>1685.2</v>
      </c>
      <c r="C508">
        <f>58673.67</f>
        <v>58673.67</v>
      </c>
      <c r="D508">
        <f>24.0293</f>
        <v>24.029299999999999</v>
      </c>
      <c r="E508">
        <f>265</f>
        <v>265</v>
      </c>
      <c r="F508">
        <f>408.31</f>
        <v>408.31</v>
      </c>
      <c r="G508">
        <f>263.0546</f>
        <v>263.05459999999999</v>
      </c>
    </row>
    <row r="509" spans="1:7" x14ac:dyDescent="0.25">
      <c r="A509" s="1">
        <v>44284</v>
      </c>
      <c r="B509">
        <f>1712.2</f>
        <v>1712.2</v>
      </c>
      <c r="C509">
        <f>57234.35</f>
        <v>57234.35</v>
      </c>
      <c r="D509">
        <f>24.6556</f>
        <v>24.6556</v>
      </c>
      <c r="E509">
        <f>268</f>
        <v>268</v>
      </c>
      <c r="F509">
        <f>418.49</f>
        <v>418.49</v>
      </c>
      <c r="G509">
        <f>267.8439</f>
        <v>267.84390000000002</v>
      </c>
    </row>
    <row r="510" spans="1:7" x14ac:dyDescent="0.25">
      <c r="A510" s="1">
        <v>44283</v>
      </c>
      <c r="B510" t="e">
        <f>NA()</f>
        <v>#N/A</v>
      </c>
      <c r="C510">
        <f>54845.71</f>
        <v>54845.71</v>
      </c>
      <c r="D510" t="e">
        <f>NA()</f>
        <v>#N/A</v>
      </c>
      <c r="E510" t="e">
        <f>NA()</f>
        <v>#N/A</v>
      </c>
      <c r="F510" t="e">
        <f>NA()</f>
        <v>#N/A</v>
      </c>
      <c r="G510" t="e">
        <f>NA()</f>
        <v>#N/A</v>
      </c>
    </row>
    <row r="511" spans="1:7" x14ac:dyDescent="0.25">
      <c r="A511" s="1">
        <v>44282</v>
      </c>
      <c r="B511" t="e">
        <f>NA()</f>
        <v>#N/A</v>
      </c>
      <c r="C511">
        <f>55887.89</f>
        <v>55887.89</v>
      </c>
      <c r="D511" t="e">
        <f>NA()</f>
        <v>#N/A</v>
      </c>
      <c r="E511" t="e">
        <f>NA()</f>
        <v>#N/A</v>
      </c>
      <c r="F511" t="e">
        <f>NA()</f>
        <v>#N/A</v>
      </c>
      <c r="G511" t="e">
        <f>NA()</f>
        <v>#N/A</v>
      </c>
    </row>
    <row r="512" spans="1:7" x14ac:dyDescent="0.25">
      <c r="A512" s="1">
        <v>44281</v>
      </c>
      <c r="B512">
        <f>1732.52</f>
        <v>1732.52</v>
      </c>
      <c r="C512">
        <f>54002.49</f>
        <v>54002.49</v>
      </c>
      <c r="D512">
        <f>25.0605</f>
        <v>25.060500000000001</v>
      </c>
      <c r="E512">
        <f>268</f>
        <v>268</v>
      </c>
      <c r="F512">
        <f>416.12</f>
        <v>416.12</v>
      </c>
      <c r="G512">
        <f>269.1191</f>
        <v>269.1191</v>
      </c>
    </row>
    <row r="513" spans="1:7" x14ac:dyDescent="0.25">
      <c r="A513" s="1">
        <v>44280</v>
      </c>
      <c r="B513">
        <f>1726.93</f>
        <v>1726.93</v>
      </c>
      <c r="C513">
        <f>52001.01</f>
        <v>52001.01</v>
      </c>
      <c r="D513">
        <f>25.0615</f>
        <v>25.061499999999999</v>
      </c>
      <c r="E513">
        <f>265</f>
        <v>265</v>
      </c>
      <c r="F513">
        <f>415.61</f>
        <v>415.61</v>
      </c>
      <c r="G513">
        <f>268.856</f>
        <v>268.85599999999999</v>
      </c>
    </row>
    <row r="514" spans="1:7" x14ac:dyDescent="0.25">
      <c r="A514" s="1">
        <v>44279</v>
      </c>
      <c r="B514">
        <f>1734.69</f>
        <v>1734.69</v>
      </c>
      <c r="C514">
        <f>54050.57</f>
        <v>54050.57</v>
      </c>
      <c r="D514">
        <f>25.0948</f>
        <v>25.094799999999999</v>
      </c>
      <c r="E514" t="e">
        <f>NA()</f>
        <v>#N/A</v>
      </c>
      <c r="F514">
        <f>423.92</f>
        <v>423.92</v>
      </c>
      <c r="G514">
        <f>272.6991</f>
        <v>272.69909999999999</v>
      </c>
    </row>
    <row r="515" spans="1:7" x14ac:dyDescent="0.25">
      <c r="A515" s="1">
        <v>44278</v>
      </c>
      <c r="B515">
        <f>1727.07</f>
        <v>1727.07</v>
      </c>
      <c r="C515">
        <f>54447.56</f>
        <v>54447.56</v>
      </c>
      <c r="D515">
        <f>25.0608</f>
        <v>25.0608</v>
      </c>
      <c r="E515">
        <f>266</f>
        <v>266</v>
      </c>
      <c r="F515">
        <f>430.7</f>
        <v>430.7</v>
      </c>
      <c r="G515">
        <f>272.644</f>
        <v>272.64400000000001</v>
      </c>
    </row>
    <row r="516" spans="1:7" x14ac:dyDescent="0.25">
      <c r="A516" s="1">
        <v>44277</v>
      </c>
      <c r="B516">
        <f>1739.03</f>
        <v>1739.03</v>
      </c>
      <c r="C516">
        <f>54554.83</f>
        <v>54554.83</v>
      </c>
      <c r="D516">
        <f>25.7505</f>
        <v>25.750499999999999</v>
      </c>
      <c r="E516">
        <f>266</f>
        <v>266</v>
      </c>
      <c r="F516">
        <f>425.61</f>
        <v>425.61</v>
      </c>
      <c r="G516">
        <f>271.1169</f>
        <v>271.11689999999999</v>
      </c>
    </row>
    <row r="517" spans="1:7" x14ac:dyDescent="0.25">
      <c r="A517" s="1">
        <v>44276</v>
      </c>
      <c r="B517" t="e">
        <f>NA()</f>
        <v>#N/A</v>
      </c>
      <c r="C517">
        <f>57813.39</f>
        <v>57813.39</v>
      </c>
      <c r="D517" t="e">
        <f>NA()</f>
        <v>#N/A</v>
      </c>
      <c r="E517" t="e">
        <f>NA()</f>
        <v>#N/A</v>
      </c>
      <c r="F517" t="e">
        <f>NA()</f>
        <v>#N/A</v>
      </c>
      <c r="G517" t="e">
        <f>NA()</f>
        <v>#N/A</v>
      </c>
    </row>
    <row r="518" spans="1:7" x14ac:dyDescent="0.25">
      <c r="A518" s="1">
        <v>44275</v>
      </c>
      <c r="B518" t="e">
        <f>NA()</f>
        <v>#N/A</v>
      </c>
      <c r="C518">
        <f>58541.76</f>
        <v>58541.760000000002</v>
      </c>
      <c r="D518" t="e">
        <f>NA()</f>
        <v>#N/A</v>
      </c>
      <c r="E518" t="e">
        <f>NA()</f>
        <v>#N/A</v>
      </c>
      <c r="F518" t="e">
        <f>NA()</f>
        <v>#N/A</v>
      </c>
      <c r="G518" t="e">
        <f>NA()</f>
        <v>#N/A</v>
      </c>
    </row>
    <row r="519" spans="1:7" x14ac:dyDescent="0.25">
      <c r="A519" s="1">
        <v>44274</v>
      </c>
      <c r="B519">
        <f>1745.23</f>
        <v>1745.23</v>
      </c>
      <c r="C519">
        <f>58410.01</f>
        <v>58410.01</v>
      </c>
      <c r="D519">
        <f>26.2461</f>
        <v>26.246099999999998</v>
      </c>
      <c r="E519">
        <f>268</f>
        <v>268</v>
      </c>
      <c r="F519">
        <f>425.45</f>
        <v>425.45</v>
      </c>
      <c r="G519">
        <f>272.9348</f>
        <v>272.9348</v>
      </c>
    </row>
    <row r="520" spans="1:7" x14ac:dyDescent="0.25">
      <c r="A520" s="1">
        <v>44273</v>
      </c>
      <c r="B520">
        <f>1736.42</f>
        <v>1736.42</v>
      </c>
      <c r="C520">
        <f>57501.51</f>
        <v>57501.51</v>
      </c>
      <c r="D520">
        <f>26.0718</f>
        <v>26.0718</v>
      </c>
      <c r="E520">
        <f>266</f>
        <v>266</v>
      </c>
      <c r="F520">
        <f>427.82</f>
        <v>427.82</v>
      </c>
      <c r="G520">
        <f>269.5014</f>
        <v>269.50139999999999</v>
      </c>
    </row>
    <row r="521" spans="1:7" x14ac:dyDescent="0.25">
      <c r="A521" s="1">
        <v>44272</v>
      </c>
      <c r="B521">
        <f>1745.33</f>
        <v>1745.33</v>
      </c>
      <c r="C521">
        <f>57751.66</f>
        <v>57751.66</v>
      </c>
      <c r="D521">
        <f>26.3165</f>
        <v>26.316500000000001</v>
      </c>
      <c r="E521">
        <f>268</f>
        <v>268</v>
      </c>
      <c r="F521">
        <f>434.27</f>
        <v>434.27</v>
      </c>
      <c r="G521">
        <f>274.7014</f>
        <v>274.70139999999998</v>
      </c>
    </row>
    <row r="522" spans="1:7" x14ac:dyDescent="0.25">
      <c r="A522" s="1">
        <v>44271</v>
      </c>
      <c r="B522">
        <f>1731.4</f>
        <v>1731.4</v>
      </c>
      <c r="C522">
        <f>56388.15</f>
        <v>56388.15</v>
      </c>
      <c r="D522">
        <f>25.9354</f>
        <v>25.935400000000001</v>
      </c>
      <c r="E522">
        <f>268</f>
        <v>268</v>
      </c>
      <c r="F522">
        <f>439.02</f>
        <v>439.02</v>
      </c>
      <c r="G522">
        <f>275.2179</f>
        <v>275.21789999999999</v>
      </c>
    </row>
    <row r="523" spans="1:7" x14ac:dyDescent="0.25">
      <c r="A523" s="1">
        <v>44270</v>
      </c>
      <c r="B523">
        <f>1731.67</f>
        <v>1731.67</v>
      </c>
      <c r="C523">
        <f>56414.61</f>
        <v>56414.61</v>
      </c>
      <c r="D523">
        <f>26.2422</f>
        <v>26.2422</v>
      </c>
      <c r="E523">
        <f>268</f>
        <v>268</v>
      </c>
      <c r="F523">
        <f>437.66</f>
        <v>437.66</v>
      </c>
      <c r="G523">
        <f>273.869</f>
        <v>273.86900000000003</v>
      </c>
    </row>
    <row r="524" spans="1:7" x14ac:dyDescent="0.25">
      <c r="A524" s="1">
        <v>44269</v>
      </c>
      <c r="B524" t="e">
        <f>NA()</f>
        <v>#N/A</v>
      </c>
      <c r="C524">
        <f>60273.94</f>
        <v>60273.94</v>
      </c>
      <c r="D524" t="e">
        <f>NA()</f>
        <v>#N/A</v>
      </c>
      <c r="E524" t="e">
        <f>NA()</f>
        <v>#N/A</v>
      </c>
      <c r="F524" t="e">
        <f>NA()</f>
        <v>#N/A</v>
      </c>
      <c r="G524" t="e">
        <f>NA()</f>
        <v>#N/A</v>
      </c>
    </row>
    <row r="525" spans="1:7" x14ac:dyDescent="0.25">
      <c r="A525" s="1">
        <v>44268</v>
      </c>
      <c r="B525" t="e">
        <f>NA()</f>
        <v>#N/A</v>
      </c>
      <c r="C525">
        <f>61078.03</f>
        <v>61078.03</v>
      </c>
      <c r="D525" t="e">
        <f>NA()</f>
        <v>#N/A</v>
      </c>
      <c r="E525" t="e">
        <f>NA()</f>
        <v>#N/A</v>
      </c>
      <c r="F525" t="e">
        <f>NA()</f>
        <v>#N/A</v>
      </c>
      <c r="G525" t="e">
        <f>NA()</f>
        <v>#N/A</v>
      </c>
    </row>
    <row r="526" spans="1:7" x14ac:dyDescent="0.25">
      <c r="A526" s="1">
        <v>44267</v>
      </c>
      <c r="B526">
        <f>1727.11</f>
        <v>1727.11</v>
      </c>
      <c r="C526">
        <f>56965.96</f>
        <v>56965.96</v>
      </c>
      <c r="D526">
        <f>25.9187</f>
        <v>25.918700000000001</v>
      </c>
      <c r="E526">
        <f>266</f>
        <v>266</v>
      </c>
      <c r="F526">
        <f>433.25</f>
        <v>433.25</v>
      </c>
      <c r="G526">
        <f>270.8804</f>
        <v>270.88040000000001</v>
      </c>
    </row>
    <row r="527" spans="1:7" x14ac:dyDescent="0.25">
      <c r="A527" s="1">
        <v>44266</v>
      </c>
      <c r="B527">
        <f>1722.6</f>
        <v>1722.6</v>
      </c>
      <c r="C527">
        <f>57624.02</f>
        <v>57624.02</v>
      </c>
      <c r="D527">
        <f>26.1219</f>
        <v>26.1219</v>
      </c>
      <c r="E527">
        <f>267</f>
        <v>267</v>
      </c>
      <c r="F527">
        <f>435.96</f>
        <v>435.96</v>
      </c>
      <c r="G527">
        <f>271.1308</f>
        <v>271.13080000000002</v>
      </c>
    </row>
    <row r="528" spans="1:7" x14ac:dyDescent="0.25">
      <c r="A528" s="1">
        <v>44265</v>
      </c>
      <c r="B528">
        <f>1726.71</f>
        <v>1726.71</v>
      </c>
      <c r="C528">
        <f>56931.78</f>
        <v>56931.78</v>
      </c>
      <c r="D528">
        <f>26.2127</f>
        <v>26.212700000000002</v>
      </c>
      <c r="E528">
        <f>268</f>
        <v>268</v>
      </c>
      <c r="F528">
        <f>442.75</f>
        <v>442.75</v>
      </c>
      <c r="G528">
        <f>271.2954</f>
        <v>271.29539999999997</v>
      </c>
    </row>
    <row r="529" spans="1:7" x14ac:dyDescent="0.25">
      <c r="A529" s="1">
        <v>44264</v>
      </c>
      <c r="B529">
        <f>1716.1</f>
        <v>1716.1</v>
      </c>
      <c r="C529">
        <f>54320.06</f>
        <v>54320.06</v>
      </c>
      <c r="D529">
        <f>25.936</f>
        <v>25.936</v>
      </c>
      <c r="E529">
        <f>269</f>
        <v>269</v>
      </c>
      <c r="F529">
        <f>445.46</f>
        <v>445.46</v>
      </c>
      <c r="G529">
        <f>276.2999</f>
        <v>276.29989999999998</v>
      </c>
    </row>
    <row r="530" spans="1:7" x14ac:dyDescent="0.25">
      <c r="A530" s="1">
        <v>44263</v>
      </c>
      <c r="B530">
        <f>1683.54</f>
        <v>1683.54</v>
      </c>
      <c r="C530">
        <f>51878.94</f>
        <v>51878.94</v>
      </c>
      <c r="D530">
        <f>25.1275</f>
        <v>25.127500000000001</v>
      </c>
      <c r="E530">
        <f>268</f>
        <v>268</v>
      </c>
      <c r="F530">
        <f>438.68</f>
        <v>438.68</v>
      </c>
      <c r="G530">
        <f>275.1573</f>
        <v>275.15730000000002</v>
      </c>
    </row>
    <row r="531" spans="1:7" x14ac:dyDescent="0.25">
      <c r="A531" s="1">
        <v>44262</v>
      </c>
      <c r="B531" t="e">
        <f>NA()</f>
        <v>#N/A</v>
      </c>
      <c r="C531">
        <f>50107.87</f>
        <v>50107.87</v>
      </c>
      <c r="D531" t="e">
        <f>NA()</f>
        <v>#N/A</v>
      </c>
      <c r="E531" t="e">
        <f>NA()</f>
        <v>#N/A</v>
      </c>
      <c r="F531" t="e">
        <f>NA()</f>
        <v>#N/A</v>
      </c>
      <c r="G531" t="e">
        <f>NA()</f>
        <v>#N/A</v>
      </c>
    </row>
    <row r="532" spans="1:7" x14ac:dyDescent="0.25">
      <c r="A532" s="1">
        <v>44261</v>
      </c>
      <c r="B532" t="e">
        <f>NA()</f>
        <v>#N/A</v>
      </c>
      <c r="C532">
        <f>48602.01</f>
        <v>48602.01</v>
      </c>
      <c r="D532" t="e">
        <f>NA()</f>
        <v>#N/A</v>
      </c>
      <c r="E532" t="e">
        <f>NA()</f>
        <v>#N/A</v>
      </c>
      <c r="F532" t="e">
        <f>NA()</f>
        <v>#N/A</v>
      </c>
      <c r="G532" t="e">
        <f>NA()</f>
        <v>#N/A</v>
      </c>
    </row>
    <row r="533" spans="1:7" x14ac:dyDescent="0.25">
      <c r="A533" s="1">
        <v>44260</v>
      </c>
      <c r="B533">
        <f>1700.64</f>
        <v>1700.64</v>
      </c>
      <c r="C533">
        <f>49053.13</f>
        <v>49053.13</v>
      </c>
      <c r="D533">
        <f>25.2463</f>
        <v>25.246300000000002</v>
      </c>
      <c r="E533">
        <f>268</f>
        <v>268</v>
      </c>
      <c r="F533">
        <f>443.09</f>
        <v>443.09</v>
      </c>
      <c r="G533">
        <f>275.2869</f>
        <v>275.2869</v>
      </c>
    </row>
    <row r="534" spans="1:7" x14ac:dyDescent="0.25">
      <c r="A534" s="1">
        <v>44259</v>
      </c>
      <c r="B534">
        <f>1697.52</f>
        <v>1697.52</v>
      </c>
      <c r="C534">
        <f>47918.88</f>
        <v>47918.879999999997</v>
      </c>
      <c r="D534">
        <f>25.3548</f>
        <v>25.354800000000001</v>
      </c>
      <c r="E534">
        <f>267</f>
        <v>267</v>
      </c>
      <c r="F534">
        <f>441.73</f>
        <v>441.73</v>
      </c>
      <c r="G534">
        <f>271.1541</f>
        <v>271.15410000000003</v>
      </c>
    </row>
    <row r="535" spans="1:7" x14ac:dyDescent="0.25">
      <c r="A535" s="1">
        <v>44258</v>
      </c>
      <c r="B535">
        <f>1711.23</f>
        <v>1711.23</v>
      </c>
      <c r="C535">
        <f>50952.74</f>
        <v>50952.74</v>
      </c>
      <c r="D535">
        <f>26.0955</f>
        <v>26.095500000000001</v>
      </c>
      <c r="E535">
        <f>267</f>
        <v>267</v>
      </c>
      <c r="F535">
        <f>445.12</f>
        <v>445.12</v>
      </c>
      <c r="G535">
        <f>272.0314</f>
        <v>272.03140000000002</v>
      </c>
    </row>
    <row r="536" spans="1:7" x14ac:dyDescent="0.25">
      <c r="A536" s="1">
        <v>44257</v>
      </c>
      <c r="B536">
        <f>1738.36</f>
        <v>1738.36</v>
      </c>
      <c r="C536">
        <f>47451.1</f>
        <v>47451.1</v>
      </c>
      <c r="D536">
        <f>26.7633</f>
        <v>26.763300000000001</v>
      </c>
      <c r="E536">
        <f>265</f>
        <v>265</v>
      </c>
      <c r="F536">
        <f>452.08</f>
        <v>452.08</v>
      </c>
      <c r="G536">
        <f>275.3257</f>
        <v>275.32569999999998</v>
      </c>
    </row>
    <row r="537" spans="1:7" x14ac:dyDescent="0.25">
      <c r="A537" s="1">
        <v>44256</v>
      </c>
      <c r="B537">
        <f>1725.04</f>
        <v>1725.04</v>
      </c>
      <c r="C537">
        <f>48856.4</f>
        <v>48856.4</v>
      </c>
      <c r="D537">
        <f>26.571</f>
        <v>26.571000000000002</v>
      </c>
      <c r="E537">
        <f>265</f>
        <v>265</v>
      </c>
      <c r="F537">
        <f>441.22</f>
        <v>441.22</v>
      </c>
      <c r="G537">
        <f>270.9085</f>
        <v>270.9085</v>
      </c>
    </row>
    <row r="538" spans="1:7" x14ac:dyDescent="0.25">
      <c r="A538" s="1">
        <v>44255</v>
      </c>
      <c r="B538" t="e">
        <f>NA()</f>
        <v>#N/A</v>
      </c>
      <c r="C538">
        <f>45248.24</f>
        <v>45248.24</v>
      </c>
      <c r="D538" t="e">
        <f>NA()</f>
        <v>#N/A</v>
      </c>
      <c r="E538" t="e">
        <f>NA()</f>
        <v>#N/A</v>
      </c>
      <c r="F538" t="e">
        <f>NA()</f>
        <v>#N/A</v>
      </c>
      <c r="G538" t="e">
        <f>NA()</f>
        <v>#N/A</v>
      </c>
    </row>
    <row r="539" spans="1:7" x14ac:dyDescent="0.25">
      <c r="A539" s="1">
        <v>44254</v>
      </c>
      <c r="B539" t="e">
        <f>NA()</f>
        <v>#N/A</v>
      </c>
      <c r="C539">
        <f>46864.06</f>
        <v>46864.06</v>
      </c>
      <c r="D539" t="e">
        <f>NA()</f>
        <v>#N/A</v>
      </c>
      <c r="E539" t="e">
        <f>NA()</f>
        <v>#N/A</v>
      </c>
      <c r="F539" t="e">
        <f>NA()</f>
        <v>#N/A</v>
      </c>
      <c r="G539" t="e">
        <f>NA()</f>
        <v>#N/A</v>
      </c>
    </row>
    <row r="540" spans="1:7" x14ac:dyDescent="0.25">
      <c r="A540" s="1">
        <v>44253</v>
      </c>
      <c r="B540">
        <f>1734.04</f>
        <v>1734.04</v>
      </c>
      <c r="C540">
        <f>45672.06</f>
        <v>45672.06</v>
      </c>
      <c r="D540">
        <f>26.6677</f>
        <v>26.6677</v>
      </c>
      <c r="E540">
        <f>265</f>
        <v>265</v>
      </c>
      <c r="F540">
        <f>448.01</f>
        <v>448.01</v>
      </c>
      <c r="G540">
        <f>274.7056</f>
        <v>274.7056</v>
      </c>
    </row>
    <row r="541" spans="1:7" x14ac:dyDescent="0.25">
      <c r="A541" s="1">
        <v>44252</v>
      </c>
      <c r="B541">
        <f>1770.56</f>
        <v>1770.56</v>
      </c>
      <c r="C541">
        <f>48083.51</f>
        <v>48083.51</v>
      </c>
      <c r="D541">
        <f>27.4258</f>
        <v>27.425799999999999</v>
      </c>
      <c r="E541">
        <f>242</f>
        <v>242</v>
      </c>
      <c r="F541">
        <f>458.52</f>
        <v>458.52</v>
      </c>
      <c r="G541">
        <f>277.2857</f>
        <v>277.28570000000002</v>
      </c>
    </row>
    <row r="542" spans="1:7" x14ac:dyDescent="0.25">
      <c r="A542" s="1">
        <v>44251</v>
      </c>
      <c r="B542">
        <f>1805.06</f>
        <v>1805.06</v>
      </c>
      <c r="C542">
        <f>48758.53</f>
        <v>48758.53</v>
      </c>
      <c r="D542">
        <f>27.9528</f>
        <v>27.9528</v>
      </c>
      <c r="E542">
        <f>242</f>
        <v>242</v>
      </c>
      <c r="F542">
        <f>465.14</f>
        <v>465.14</v>
      </c>
      <c r="G542">
        <f>281.0632</f>
        <v>281.06319999999999</v>
      </c>
    </row>
    <row r="543" spans="1:7" x14ac:dyDescent="0.25">
      <c r="A543" s="1">
        <v>44250</v>
      </c>
      <c r="B543">
        <f>1805.73</f>
        <v>1805.73</v>
      </c>
      <c r="C543">
        <f>47962.92</f>
        <v>47962.92</v>
      </c>
      <c r="D543">
        <f>27.6737</f>
        <v>27.6737</v>
      </c>
      <c r="E543">
        <f>242</f>
        <v>242</v>
      </c>
      <c r="F543">
        <f>454.79</f>
        <v>454.79</v>
      </c>
      <c r="G543">
        <f>277.2352</f>
        <v>277.23520000000002</v>
      </c>
    </row>
    <row r="544" spans="1:7" x14ac:dyDescent="0.25">
      <c r="A544" s="1">
        <v>44249</v>
      </c>
      <c r="B544">
        <f>1809.67</f>
        <v>1809.67</v>
      </c>
      <c r="C544">
        <f>54938.64</f>
        <v>54938.64</v>
      </c>
      <c r="D544">
        <f>28.1379</f>
        <v>28.137899999999998</v>
      </c>
      <c r="E544">
        <f>243</f>
        <v>243</v>
      </c>
      <c r="F544">
        <f>454.45</f>
        <v>454.45</v>
      </c>
      <c r="G544">
        <f>275.5207</f>
        <v>275.52069999999998</v>
      </c>
    </row>
    <row r="545" spans="1:7" x14ac:dyDescent="0.25">
      <c r="A545" s="1">
        <v>44248</v>
      </c>
      <c r="B545" t="e">
        <f>NA()</f>
        <v>#N/A</v>
      </c>
      <c r="C545">
        <f>57355.29</f>
        <v>57355.29</v>
      </c>
      <c r="D545" t="e">
        <f>NA()</f>
        <v>#N/A</v>
      </c>
      <c r="E545" t="e">
        <f>NA()</f>
        <v>#N/A</v>
      </c>
      <c r="F545" t="e">
        <f>NA()</f>
        <v>#N/A</v>
      </c>
      <c r="G545" t="e">
        <f>NA()</f>
        <v>#N/A</v>
      </c>
    </row>
    <row r="546" spans="1:7" x14ac:dyDescent="0.25">
      <c r="A546" s="1">
        <v>44247</v>
      </c>
      <c r="B546" t="e">
        <f>NA()</f>
        <v>#N/A</v>
      </c>
      <c r="C546">
        <f>56537.03</f>
        <v>56537.03</v>
      </c>
      <c r="D546" t="e">
        <f>NA()</f>
        <v>#N/A</v>
      </c>
      <c r="E546" t="e">
        <f>NA()</f>
        <v>#N/A</v>
      </c>
      <c r="F546" t="e">
        <f>NA()</f>
        <v>#N/A</v>
      </c>
      <c r="G546" t="e">
        <f>NA()</f>
        <v>#N/A</v>
      </c>
    </row>
    <row r="547" spans="1:7" x14ac:dyDescent="0.25">
      <c r="A547" s="1">
        <v>44246</v>
      </c>
      <c r="B547">
        <f>1784.25</f>
        <v>1784.25</v>
      </c>
      <c r="C547">
        <f>55629.08</f>
        <v>55629.08</v>
      </c>
      <c r="D547">
        <f>27.2899</f>
        <v>27.289899999999999</v>
      </c>
      <c r="E547">
        <f>243</f>
        <v>243</v>
      </c>
      <c r="F547">
        <f>444.78</f>
        <v>444.78</v>
      </c>
      <c r="G547">
        <f>271.7931</f>
        <v>271.79309999999998</v>
      </c>
    </row>
    <row r="548" spans="1:7" x14ac:dyDescent="0.25">
      <c r="A548" s="1">
        <v>44245</v>
      </c>
      <c r="B548">
        <f>1775.67</f>
        <v>1775.67</v>
      </c>
      <c r="C548">
        <f>52037.53</f>
        <v>52037.53</v>
      </c>
      <c r="D548">
        <f>27.0333</f>
        <v>27.033300000000001</v>
      </c>
      <c r="E548">
        <f>242</f>
        <v>242</v>
      </c>
      <c r="F548">
        <f>451.4</f>
        <v>451.4</v>
      </c>
      <c r="G548">
        <f>273.8023</f>
        <v>273.8023</v>
      </c>
    </row>
    <row r="549" spans="1:7" x14ac:dyDescent="0.25">
      <c r="A549" s="1">
        <v>44244</v>
      </c>
      <c r="B549">
        <f>1776.13</f>
        <v>1776.13</v>
      </c>
      <c r="C549">
        <f>52400.42</f>
        <v>52400.42</v>
      </c>
      <c r="D549">
        <f>27.3829</f>
        <v>27.382899999999999</v>
      </c>
      <c r="E549">
        <f>240</f>
        <v>240</v>
      </c>
      <c r="F549">
        <f>439.69</f>
        <v>439.69</v>
      </c>
      <c r="G549">
        <f>272.8932</f>
        <v>272.89319999999998</v>
      </c>
    </row>
    <row r="550" spans="1:7" x14ac:dyDescent="0.25">
      <c r="A550" s="1">
        <v>44243</v>
      </c>
      <c r="B550">
        <f>1794.47</f>
        <v>1794.47</v>
      </c>
      <c r="C550">
        <f>48585.51</f>
        <v>48585.51</v>
      </c>
      <c r="D550">
        <f>27.243</f>
        <v>27.242999999999999</v>
      </c>
      <c r="E550" t="e">
        <f>NA()</f>
        <v>#N/A</v>
      </c>
      <c r="F550">
        <f>448.85</f>
        <v>448.85</v>
      </c>
      <c r="G550">
        <f>274.324</f>
        <v>274.32400000000001</v>
      </c>
    </row>
    <row r="551" spans="1:7" x14ac:dyDescent="0.25">
      <c r="A551" s="1">
        <v>44242</v>
      </c>
      <c r="B551">
        <f>1818.86</f>
        <v>1818.86</v>
      </c>
      <c r="C551">
        <f>48203.45</f>
        <v>48203.45</v>
      </c>
      <c r="D551">
        <f>27.6176</f>
        <v>27.617599999999999</v>
      </c>
      <c r="E551" t="e">
        <f>NA()</f>
        <v>#N/A</v>
      </c>
      <c r="F551" t="e">
        <f>NA()</f>
        <v>#N/A</v>
      </c>
      <c r="G551" t="e">
        <f>NA()</f>
        <v>#N/A</v>
      </c>
    </row>
    <row r="552" spans="1:7" x14ac:dyDescent="0.25">
      <c r="A552" s="1">
        <v>44241</v>
      </c>
      <c r="B552" t="e">
        <f>NA()</f>
        <v>#N/A</v>
      </c>
      <c r="C552">
        <f>48865.24</f>
        <v>48865.24</v>
      </c>
      <c r="D552" t="e">
        <f>NA()</f>
        <v>#N/A</v>
      </c>
      <c r="E552" t="e">
        <f>NA()</f>
        <v>#N/A</v>
      </c>
      <c r="F552" t="e">
        <f>NA()</f>
        <v>#N/A</v>
      </c>
      <c r="G552" t="e">
        <f>NA()</f>
        <v>#N/A</v>
      </c>
    </row>
    <row r="553" spans="1:7" x14ac:dyDescent="0.25">
      <c r="A553" s="1">
        <v>44240</v>
      </c>
      <c r="B553" t="e">
        <f>NA()</f>
        <v>#N/A</v>
      </c>
      <c r="C553">
        <f>47177.95</f>
        <v>47177.95</v>
      </c>
      <c r="D553" t="e">
        <f>NA()</f>
        <v>#N/A</v>
      </c>
      <c r="E553" t="e">
        <f>NA()</f>
        <v>#N/A</v>
      </c>
      <c r="F553" t="e">
        <f>NA()</f>
        <v>#N/A</v>
      </c>
      <c r="G553" t="e">
        <f>NA()</f>
        <v>#N/A</v>
      </c>
    </row>
    <row r="554" spans="1:7" x14ac:dyDescent="0.25">
      <c r="A554" s="1">
        <v>44239</v>
      </c>
      <c r="B554">
        <f>1824.23</f>
        <v>1824.23</v>
      </c>
      <c r="C554">
        <f>47947.17</f>
        <v>47947.17</v>
      </c>
      <c r="D554">
        <f>27.36</f>
        <v>27.36</v>
      </c>
      <c r="E554">
        <f>240</f>
        <v>240</v>
      </c>
      <c r="F554">
        <f>435.11</f>
        <v>435.11</v>
      </c>
      <c r="G554">
        <f>268.4949</f>
        <v>268.49489999999997</v>
      </c>
    </row>
    <row r="555" spans="1:7" x14ac:dyDescent="0.25">
      <c r="A555" s="1">
        <v>44238</v>
      </c>
      <c r="B555">
        <f>1825.51</f>
        <v>1825.51</v>
      </c>
      <c r="C555">
        <f>46931.97</f>
        <v>46931.97</v>
      </c>
      <c r="D555">
        <f>26.9824</f>
        <v>26.982399999999998</v>
      </c>
      <c r="E555">
        <f>240</f>
        <v>240</v>
      </c>
      <c r="F555">
        <f>433.59</f>
        <v>433.59</v>
      </c>
      <c r="G555">
        <f>268.3036</f>
        <v>268.30360000000002</v>
      </c>
    </row>
    <row r="556" spans="1:7" x14ac:dyDescent="0.25">
      <c r="A556" s="1">
        <v>44237</v>
      </c>
      <c r="B556">
        <f>1842.89</f>
        <v>1842.89</v>
      </c>
      <c r="C556">
        <f>45039.51</f>
        <v>45039.51</v>
      </c>
      <c r="D556">
        <f>27.0266</f>
        <v>27.026599999999998</v>
      </c>
      <c r="E556">
        <f>240</f>
        <v>240</v>
      </c>
      <c r="F556">
        <f>434.2</f>
        <v>434.2</v>
      </c>
      <c r="G556">
        <f>266.2732</f>
        <v>266.27319999999997</v>
      </c>
    </row>
    <row r="557" spans="1:7" x14ac:dyDescent="0.25">
      <c r="A557" s="1">
        <v>44236</v>
      </c>
      <c r="B557">
        <f>1838.32</f>
        <v>1838.32</v>
      </c>
      <c r="C557">
        <f>47335.77</f>
        <v>47335.77</v>
      </c>
      <c r="D557">
        <f>27.2674</f>
        <v>27.267399999999999</v>
      </c>
      <c r="E557">
        <f>240</f>
        <v>240</v>
      </c>
      <c r="F557">
        <f>442.54</f>
        <v>442.54</v>
      </c>
      <c r="G557">
        <f>275.3319</f>
        <v>275.33190000000002</v>
      </c>
    </row>
    <row r="558" spans="1:7" x14ac:dyDescent="0.25">
      <c r="A558" s="1">
        <v>44235</v>
      </c>
      <c r="B558">
        <f>1830.81</f>
        <v>1830.81</v>
      </c>
      <c r="C558">
        <f>44691.74</f>
        <v>44691.74</v>
      </c>
      <c r="D558">
        <f>27.2725</f>
        <v>27.272500000000001</v>
      </c>
      <c r="E558">
        <f>240</f>
        <v>240</v>
      </c>
      <c r="F558">
        <f>445.97</f>
        <v>445.97</v>
      </c>
      <c r="G558">
        <f>276.4702</f>
        <v>276.47019999999998</v>
      </c>
    </row>
    <row r="559" spans="1:7" x14ac:dyDescent="0.25">
      <c r="A559" s="1">
        <v>44234</v>
      </c>
      <c r="B559" t="e">
        <f>NA()</f>
        <v>#N/A</v>
      </c>
      <c r="C559">
        <f>38590.04</f>
        <v>38590.04</v>
      </c>
      <c r="D559" t="e">
        <f>NA()</f>
        <v>#N/A</v>
      </c>
      <c r="E559" t="e">
        <f>NA()</f>
        <v>#N/A</v>
      </c>
      <c r="F559" t="e">
        <f>NA()</f>
        <v>#N/A</v>
      </c>
      <c r="G559" t="e">
        <f>NA()</f>
        <v>#N/A</v>
      </c>
    </row>
    <row r="560" spans="1:7" x14ac:dyDescent="0.25">
      <c r="A560" s="1">
        <v>44233</v>
      </c>
      <c r="B560" t="e">
        <f>NA()</f>
        <v>#N/A</v>
      </c>
      <c r="C560">
        <f>40093.11</f>
        <v>40093.11</v>
      </c>
      <c r="D560" t="e">
        <f>NA()</f>
        <v>#N/A</v>
      </c>
      <c r="E560" t="e">
        <f>NA()</f>
        <v>#N/A</v>
      </c>
      <c r="F560" t="e">
        <f>NA()</f>
        <v>#N/A</v>
      </c>
      <c r="G560" t="e">
        <f>NA()</f>
        <v>#N/A</v>
      </c>
    </row>
    <row r="561" spans="1:7" x14ac:dyDescent="0.25">
      <c r="A561" s="1">
        <v>44232</v>
      </c>
      <c r="B561">
        <f>1814.11</f>
        <v>1814.11</v>
      </c>
      <c r="C561">
        <f>37858.84</f>
        <v>37858.839999999997</v>
      </c>
      <c r="D561">
        <f>26.9205</f>
        <v>26.920500000000001</v>
      </c>
      <c r="E561">
        <f>240</f>
        <v>240</v>
      </c>
      <c r="F561">
        <f>435.72</f>
        <v>435.72</v>
      </c>
      <c r="G561">
        <f>270.5102</f>
        <v>270.5102</v>
      </c>
    </row>
    <row r="562" spans="1:7" x14ac:dyDescent="0.25">
      <c r="A562" s="1">
        <v>44231</v>
      </c>
      <c r="B562">
        <f>1794.03</f>
        <v>1794.03</v>
      </c>
      <c r="C562">
        <f>37681.13</f>
        <v>37681.129999999997</v>
      </c>
      <c r="D562">
        <f>26.3516</f>
        <v>26.351600000000001</v>
      </c>
      <c r="E562">
        <f>240</f>
        <v>240</v>
      </c>
      <c r="F562">
        <f>432.57</f>
        <v>432.57</v>
      </c>
      <c r="G562">
        <f>270.6363</f>
        <v>270.63630000000001</v>
      </c>
    </row>
    <row r="563" spans="1:7" x14ac:dyDescent="0.25">
      <c r="A563" s="1">
        <v>44230</v>
      </c>
      <c r="B563">
        <f>1834.04</f>
        <v>1834.04</v>
      </c>
      <c r="C563">
        <f>37294.95</f>
        <v>37294.949999999997</v>
      </c>
      <c r="D563">
        <f>26.8915</f>
        <v>26.891500000000001</v>
      </c>
      <c r="E563">
        <f>243</f>
        <v>243</v>
      </c>
      <c r="F563">
        <f>439.86</f>
        <v>439.86</v>
      </c>
      <c r="G563">
        <f>271.9939</f>
        <v>271.9939</v>
      </c>
    </row>
    <row r="564" spans="1:7" x14ac:dyDescent="0.25">
      <c r="A564" s="1">
        <v>44229</v>
      </c>
      <c r="B564">
        <f>1838.03</f>
        <v>1838.03</v>
      </c>
      <c r="C564">
        <f>35687.9</f>
        <v>35687.9</v>
      </c>
      <c r="D564">
        <f>26.6814</f>
        <v>26.6814</v>
      </c>
      <c r="E564">
        <f>245</f>
        <v>245</v>
      </c>
      <c r="F564">
        <f>437.49</f>
        <v>437.49</v>
      </c>
      <c r="G564">
        <f>268.6451</f>
        <v>268.64510000000001</v>
      </c>
    </row>
    <row r="565" spans="1:7" x14ac:dyDescent="0.25">
      <c r="A565" s="1">
        <v>44228</v>
      </c>
      <c r="B565">
        <f>1860.78</f>
        <v>1860.78</v>
      </c>
      <c r="C565">
        <f>33664.82</f>
        <v>33664.82</v>
      </c>
      <c r="D565">
        <f>29.0515</f>
        <v>29.051500000000001</v>
      </c>
      <c r="E565">
        <f>245</f>
        <v>245</v>
      </c>
      <c r="F565">
        <f>441.73</f>
        <v>441.73</v>
      </c>
      <c r="G565">
        <f>271.2576</f>
        <v>271.25760000000002</v>
      </c>
    </row>
    <row r="566" spans="1:7" x14ac:dyDescent="0.25">
      <c r="A566" s="1">
        <v>44227</v>
      </c>
      <c r="B566" t="e">
        <f>NA()</f>
        <v>#N/A</v>
      </c>
      <c r="C566">
        <f>32601.26</f>
        <v>32601.26</v>
      </c>
      <c r="D566" t="e">
        <f>NA()</f>
        <v>#N/A</v>
      </c>
      <c r="E566" t="e">
        <f>NA()</f>
        <v>#N/A</v>
      </c>
      <c r="F566" t="e">
        <f>NA()</f>
        <v>#N/A</v>
      </c>
      <c r="G566" t="e">
        <f>NA()</f>
        <v>#N/A</v>
      </c>
    </row>
    <row r="567" spans="1:7" x14ac:dyDescent="0.25">
      <c r="A567" s="1">
        <v>44226</v>
      </c>
      <c r="B567" t="e">
        <f>NA()</f>
        <v>#N/A</v>
      </c>
      <c r="C567">
        <f>34694.89</f>
        <v>34694.89</v>
      </c>
      <c r="D567" t="e">
        <f>NA()</f>
        <v>#N/A</v>
      </c>
      <c r="E567" t="e">
        <f>NA()</f>
        <v>#N/A</v>
      </c>
      <c r="F567" t="e">
        <f>NA()</f>
        <v>#N/A</v>
      </c>
      <c r="G567" t="e">
        <f>NA()</f>
        <v>#N/A</v>
      </c>
    </row>
    <row r="568" spans="1:7" x14ac:dyDescent="0.25">
      <c r="A568" s="1">
        <v>44225</v>
      </c>
      <c r="B568">
        <f>1847.65</f>
        <v>1847.65</v>
      </c>
      <c r="C568">
        <f>34641.09</f>
        <v>34641.089999999997</v>
      </c>
      <c r="D568">
        <f>26.9872</f>
        <v>26.987200000000001</v>
      </c>
      <c r="E568">
        <f>247</f>
        <v>247</v>
      </c>
      <c r="F568">
        <f>449.87</f>
        <v>449.87</v>
      </c>
      <c r="G568">
        <f>272.5998</f>
        <v>272.59980000000002</v>
      </c>
    </row>
    <row r="569" spans="1:7" x14ac:dyDescent="0.25">
      <c r="A569" s="1">
        <v>44224</v>
      </c>
      <c r="B569">
        <f>1843.17</f>
        <v>1843.17</v>
      </c>
      <c r="C569">
        <f>33248.02</f>
        <v>33248.019999999997</v>
      </c>
      <c r="D569">
        <f>26.5025</f>
        <v>26.502500000000001</v>
      </c>
      <c r="E569">
        <f>250</f>
        <v>250</v>
      </c>
      <c r="F569">
        <f>439.02</f>
        <v>439.02</v>
      </c>
      <c r="G569">
        <f>267.4374</f>
        <v>267.43740000000003</v>
      </c>
    </row>
    <row r="570" spans="1:7" x14ac:dyDescent="0.25">
      <c r="A570" s="1">
        <v>44223</v>
      </c>
      <c r="B570">
        <f>1843.98</f>
        <v>1843.98</v>
      </c>
      <c r="C570">
        <f>31005.85</f>
        <v>31005.85</v>
      </c>
      <c r="D570">
        <f>25.2666</f>
        <v>25.2666</v>
      </c>
      <c r="E570">
        <f>256</f>
        <v>256</v>
      </c>
      <c r="F570">
        <f>446.65</f>
        <v>446.65</v>
      </c>
      <c r="G570">
        <f>270.1339</f>
        <v>270.13389999999998</v>
      </c>
    </row>
    <row r="571" spans="1:7" x14ac:dyDescent="0.25">
      <c r="A571" s="1">
        <v>44222</v>
      </c>
      <c r="B571">
        <f>1850.92</f>
        <v>1850.92</v>
      </c>
      <c r="C571">
        <f>32017.04</f>
        <v>32017.040000000001</v>
      </c>
      <c r="D571">
        <f>25.4699</f>
        <v>25.469899999999999</v>
      </c>
      <c r="E571">
        <f>259</f>
        <v>259</v>
      </c>
      <c r="F571">
        <f>451.4</f>
        <v>451.4</v>
      </c>
      <c r="G571">
        <f>270.1909</f>
        <v>270.1909</v>
      </c>
    </row>
    <row r="572" spans="1:7" x14ac:dyDescent="0.25">
      <c r="A572" s="1">
        <v>44221</v>
      </c>
      <c r="B572">
        <f>1855.93</f>
        <v>1855.93</v>
      </c>
      <c r="C572">
        <f>32701.29</f>
        <v>32701.29</v>
      </c>
      <c r="D572">
        <f>25.3475</f>
        <v>25.3475</v>
      </c>
      <c r="E572">
        <f>259</f>
        <v>259</v>
      </c>
      <c r="F572">
        <f>440.03</f>
        <v>440.03</v>
      </c>
      <c r="G572">
        <f>262.6777</f>
        <v>262.67770000000002</v>
      </c>
    </row>
    <row r="573" spans="1:7" x14ac:dyDescent="0.25">
      <c r="A573" s="1">
        <v>44220</v>
      </c>
      <c r="B573" t="e">
        <f>NA()</f>
        <v>#N/A</v>
      </c>
      <c r="C573">
        <f>31932.47</f>
        <v>31932.47</v>
      </c>
      <c r="D573" t="e">
        <f>NA()</f>
        <v>#N/A</v>
      </c>
      <c r="E573" t="e">
        <f>NA()</f>
        <v>#N/A</v>
      </c>
      <c r="F573" t="e">
        <f>NA()</f>
        <v>#N/A</v>
      </c>
      <c r="G573" t="e">
        <f>NA()</f>
        <v>#N/A</v>
      </c>
    </row>
    <row r="574" spans="1:7" x14ac:dyDescent="0.25">
      <c r="A574" s="1">
        <v>44219</v>
      </c>
      <c r="B574" t="e">
        <f>NA()</f>
        <v>#N/A</v>
      </c>
      <c r="C574">
        <f>32366.47</f>
        <v>32366.47</v>
      </c>
      <c r="D574" t="e">
        <f>NA()</f>
        <v>#N/A</v>
      </c>
      <c r="E574" t="e">
        <f>NA()</f>
        <v>#N/A</v>
      </c>
      <c r="F574" t="e">
        <f>NA()</f>
        <v>#N/A</v>
      </c>
      <c r="G574" t="e">
        <f>NA()</f>
        <v>#N/A</v>
      </c>
    </row>
    <row r="575" spans="1:7" x14ac:dyDescent="0.25">
      <c r="A575" s="1">
        <v>44218</v>
      </c>
      <c r="B575">
        <f>1855.61</f>
        <v>1855.61</v>
      </c>
      <c r="C575">
        <f>33322.33</f>
        <v>33322.33</v>
      </c>
      <c r="D575">
        <f>25.4935</f>
        <v>25.493500000000001</v>
      </c>
      <c r="E575">
        <f>257</f>
        <v>257</v>
      </c>
      <c r="F575">
        <f>430.53</f>
        <v>430.53</v>
      </c>
      <c r="G575">
        <f>256.8029</f>
        <v>256.80290000000002</v>
      </c>
    </row>
    <row r="576" spans="1:7" x14ac:dyDescent="0.25">
      <c r="A576" s="1">
        <v>44217</v>
      </c>
      <c r="B576">
        <f>1870.02</f>
        <v>1870.02</v>
      </c>
      <c r="C576">
        <f>31217</f>
        <v>31217</v>
      </c>
      <c r="D576">
        <f>25.9365</f>
        <v>25.936499999999999</v>
      </c>
      <c r="E576">
        <f>257</f>
        <v>257</v>
      </c>
      <c r="F576">
        <f>448.35</f>
        <v>448.35</v>
      </c>
      <c r="G576">
        <f>268.1616</f>
        <v>268.16160000000002</v>
      </c>
    </row>
    <row r="577" spans="1:7" x14ac:dyDescent="0.25">
      <c r="A577" s="1">
        <v>44216</v>
      </c>
      <c r="B577">
        <f>1871.84</f>
        <v>1871.84</v>
      </c>
      <c r="C577">
        <f>34913.07</f>
        <v>34913.07</v>
      </c>
      <c r="D577">
        <f>25.8425</f>
        <v>25.842500000000001</v>
      </c>
      <c r="E577">
        <f>258</f>
        <v>258</v>
      </c>
      <c r="F577">
        <f>453.1</f>
        <v>453.1</v>
      </c>
      <c r="G577">
        <f>268.2604</f>
        <v>268.2604</v>
      </c>
    </row>
    <row r="578" spans="1:7" x14ac:dyDescent="0.25">
      <c r="A578" s="1">
        <v>44215</v>
      </c>
      <c r="B578">
        <f>1840.28</f>
        <v>1840.28</v>
      </c>
      <c r="C578">
        <f>36489.64</f>
        <v>36489.64</v>
      </c>
      <c r="D578">
        <f>25.2249</f>
        <v>25.224900000000002</v>
      </c>
      <c r="E578">
        <f>259</f>
        <v>259</v>
      </c>
      <c r="F578">
        <f>456.15</f>
        <v>456.15</v>
      </c>
      <c r="G578">
        <f>270.7644</f>
        <v>270.76440000000002</v>
      </c>
    </row>
    <row r="579" spans="1:7" x14ac:dyDescent="0.25">
      <c r="A579" s="1">
        <v>44214</v>
      </c>
      <c r="B579">
        <f>1841.26</f>
        <v>1841.26</v>
      </c>
      <c r="C579">
        <f>36234.13</f>
        <v>36234.129999999997</v>
      </c>
      <c r="D579">
        <f>25.3544</f>
        <v>25.354399999999998</v>
      </c>
      <c r="E579">
        <f>256</f>
        <v>256</v>
      </c>
      <c r="F579" t="e">
        <f>NA()</f>
        <v>#N/A</v>
      </c>
      <c r="G579" t="e">
        <f>NA()</f>
        <v>#N/A</v>
      </c>
    </row>
    <row r="580" spans="1:7" x14ac:dyDescent="0.25">
      <c r="A580" s="1">
        <v>44213</v>
      </c>
      <c r="B580" t="e">
        <f>NA()</f>
        <v>#N/A</v>
      </c>
      <c r="C580">
        <f>36533.95</f>
        <v>36533.949999999997</v>
      </c>
      <c r="D580" t="e">
        <f>NA()</f>
        <v>#N/A</v>
      </c>
      <c r="E580" t="e">
        <f>NA()</f>
        <v>#N/A</v>
      </c>
      <c r="F580" t="e">
        <f>NA()</f>
        <v>#N/A</v>
      </c>
      <c r="G580" t="e">
        <f>NA()</f>
        <v>#N/A</v>
      </c>
    </row>
    <row r="581" spans="1:7" x14ac:dyDescent="0.25">
      <c r="A581" s="1">
        <v>44212</v>
      </c>
      <c r="B581" t="e">
        <f>NA()</f>
        <v>#N/A</v>
      </c>
      <c r="C581">
        <f>35935.02</f>
        <v>35935.019999999997</v>
      </c>
      <c r="D581" t="e">
        <f>NA()</f>
        <v>#N/A</v>
      </c>
      <c r="E581" t="e">
        <f>NA()</f>
        <v>#N/A</v>
      </c>
      <c r="F581" t="e">
        <f>NA()</f>
        <v>#N/A</v>
      </c>
      <c r="G581" t="e">
        <f>NA()</f>
        <v>#N/A</v>
      </c>
    </row>
    <row r="582" spans="1:7" x14ac:dyDescent="0.25">
      <c r="A582" s="1">
        <v>44211</v>
      </c>
      <c r="B582">
        <f>1828.45</f>
        <v>1828.45</v>
      </c>
      <c r="C582">
        <f>36261.52</f>
        <v>36261.519999999997</v>
      </c>
      <c r="D582">
        <f>24.7693</f>
        <v>24.769300000000001</v>
      </c>
      <c r="E582">
        <f>257</f>
        <v>257</v>
      </c>
      <c r="F582">
        <f>458.35</f>
        <v>458.35</v>
      </c>
      <c r="G582">
        <f>274.3917</f>
        <v>274.39170000000001</v>
      </c>
    </row>
    <row r="583" spans="1:7" x14ac:dyDescent="0.25">
      <c r="A583" s="1">
        <v>44210</v>
      </c>
      <c r="B583">
        <f>1846.53</f>
        <v>1846.53</v>
      </c>
      <c r="C583">
        <f>38765.5</f>
        <v>38765.5</v>
      </c>
      <c r="D583">
        <f>25.5192</f>
        <v>25.519200000000001</v>
      </c>
      <c r="E583">
        <f>255</f>
        <v>255</v>
      </c>
      <c r="F583">
        <f>454.62</f>
        <v>454.62</v>
      </c>
      <c r="G583">
        <f>275.1913</f>
        <v>275.19130000000001</v>
      </c>
    </row>
    <row r="584" spans="1:7" x14ac:dyDescent="0.25">
      <c r="A584" s="1">
        <v>44209</v>
      </c>
      <c r="B584">
        <f>1845.51</f>
        <v>1845.51</v>
      </c>
      <c r="C584">
        <f>37283.48</f>
        <v>37283.480000000003</v>
      </c>
      <c r="D584">
        <f>25.2225</f>
        <v>25.2225</v>
      </c>
      <c r="E584">
        <f>250</f>
        <v>250</v>
      </c>
      <c r="F584">
        <f>448.18</f>
        <v>448.18</v>
      </c>
      <c r="G584">
        <f>270.5412</f>
        <v>270.5412</v>
      </c>
    </row>
    <row r="585" spans="1:7" x14ac:dyDescent="0.25">
      <c r="A585" s="1">
        <v>44208</v>
      </c>
      <c r="B585">
        <f>1854.77</f>
        <v>1854.77</v>
      </c>
      <c r="C585">
        <f>34712.73</f>
        <v>34712.730000000003</v>
      </c>
      <c r="D585">
        <f>25.5597</f>
        <v>25.559699999999999</v>
      </c>
      <c r="E585">
        <f>249</f>
        <v>249</v>
      </c>
      <c r="F585">
        <f>451.23</f>
        <v>451.23</v>
      </c>
      <c r="G585">
        <f>270.0066</f>
        <v>270.00659999999999</v>
      </c>
    </row>
    <row r="586" spans="1:7" x14ac:dyDescent="0.25">
      <c r="A586" s="1">
        <v>44207</v>
      </c>
      <c r="B586">
        <f>1843.89</f>
        <v>1843.89</v>
      </c>
      <c r="C586">
        <f>33964.38</f>
        <v>33964.379999999997</v>
      </c>
      <c r="D586">
        <f>24.9125</f>
        <v>24.912500000000001</v>
      </c>
      <c r="E586">
        <f>244</f>
        <v>244</v>
      </c>
      <c r="F586">
        <f>430.7</f>
        <v>430.7</v>
      </c>
      <c r="G586">
        <f>258.8193</f>
        <v>258.8193</v>
      </c>
    </row>
    <row r="587" spans="1:7" x14ac:dyDescent="0.25">
      <c r="A587" s="1">
        <v>44206</v>
      </c>
      <c r="B587" t="e">
        <f>NA()</f>
        <v>#N/A</v>
      </c>
      <c r="C587">
        <f>38048.82</f>
        <v>38048.82</v>
      </c>
      <c r="D587" t="e">
        <f>NA()</f>
        <v>#N/A</v>
      </c>
      <c r="E587" t="e">
        <f>NA()</f>
        <v>#N/A</v>
      </c>
      <c r="F587" t="e">
        <f>NA()</f>
        <v>#N/A</v>
      </c>
      <c r="G587" t="e">
        <f>NA()</f>
        <v>#N/A</v>
      </c>
    </row>
    <row r="588" spans="1:7" x14ac:dyDescent="0.25">
      <c r="A588" s="1">
        <v>44205</v>
      </c>
      <c r="B588" t="e">
        <f>NA()</f>
        <v>#N/A</v>
      </c>
      <c r="C588">
        <f>40858.59</f>
        <v>40858.589999999997</v>
      </c>
      <c r="D588" t="e">
        <f>NA()</f>
        <v>#N/A</v>
      </c>
      <c r="E588" t="e">
        <f>NA()</f>
        <v>#N/A</v>
      </c>
      <c r="F588" t="e">
        <f>NA()</f>
        <v>#N/A</v>
      </c>
      <c r="G588" t="e">
        <f>NA()</f>
        <v>#N/A</v>
      </c>
    </row>
    <row r="589" spans="1:7" x14ac:dyDescent="0.25">
      <c r="A589" s="1">
        <v>44204</v>
      </c>
      <c r="B589">
        <f>1849.01</f>
        <v>1849.01</v>
      </c>
      <c r="C589">
        <f>40040.7</f>
        <v>40040.699999999997</v>
      </c>
      <c r="D589">
        <f>25.4234</f>
        <v>25.423400000000001</v>
      </c>
      <c r="E589">
        <f>245</f>
        <v>245</v>
      </c>
      <c r="F589">
        <f>433.42</f>
        <v>433.42</v>
      </c>
      <c r="G589">
        <f>260.0556</f>
        <v>260.05560000000003</v>
      </c>
    </row>
    <row r="590" spans="1:7" x14ac:dyDescent="0.25">
      <c r="A590" s="1">
        <v>44203</v>
      </c>
      <c r="B590">
        <f>1913.95</f>
        <v>1913.95</v>
      </c>
      <c r="C590">
        <f>39733</f>
        <v>39733</v>
      </c>
      <c r="D590">
        <f>27.1407</f>
        <v>27.140699999999999</v>
      </c>
      <c r="E590">
        <f>242</f>
        <v>242</v>
      </c>
      <c r="F590">
        <f>435.79</f>
        <v>435.79</v>
      </c>
      <c r="G590">
        <f>258.5849</f>
        <v>258.5849</v>
      </c>
    </row>
    <row r="591" spans="1:7" x14ac:dyDescent="0.25">
      <c r="A591" s="1">
        <v>44202</v>
      </c>
      <c r="B591">
        <f>1918.61</f>
        <v>1918.61</v>
      </c>
      <c r="C591">
        <f>35939.27</f>
        <v>35939.269999999997</v>
      </c>
      <c r="D591">
        <f>27.29</f>
        <v>27.29</v>
      </c>
      <c r="E591">
        <f>242</f>
        <v>242</v>
      </c>
      <c r="F591">
        <f>439.36</f>
        <v>439.36</v>
      </c>
      <c r="G591">
        <f>259.7807</f>
        <v>259.78070000000002</v>
      </c>
    </row>
    <row r="592" spans="1:7" x14ac:dyDescent="0.25">
      <c r="A592" s="1">
        <v>44201</v>
      </c>
      <c r="B592">
        <f>1950.01</f>
        <v>1950.01</v>
      </c>
      <c r="C592">
        <f>33792.24</f>
        <v>33792.239999999998</v>
      </c>
      <c r="D592">
        <f>27.5525</f>
        <v>27.552499999999998</v>
      </c>
      <c r="E592">
        <f>242</f>
        <v>242</v>
      </c>
      <c r="F592">
        <f>443.77</f>
        <v>443.77</v>
      </c>
      <c r="G592">
        <f>258.772</f>
        <v>258.77199999999999</v>
      </c>
    </row>
    <row r="593" spans="1:7" x14ac:dyDescent="0.25">
      <c r="A593" s="1">
        <v>44200</v>
      </c>
      <c r="B593">
        <f>1942.9</f>
        <v>1942.9</v>
      </c>
      <c r="C593">
        <f>31037.38</f>
        <v>31037.38</v>
      </c>
      <c r="D593">
        <f>27.235</f>
        <v>27.234999999999999</v>
      </c>
      <c r="E593">
        <f>242</f>
        <v>242</v>
      </c>
      <c r="F593">
        <f>435.62</f>
        <v>435.62</v>
      </c>
      <c r="G593">
        <f>253.5876</f>
        <v>253.58760000000001</v>
      </c>
    </row>
    <row r="594" spans="1:7" x14ac:dyDescent="0.25">
      <c r="A594" s="1">
        <v>44199</v>
      </c>
      <c r="B594" t="e">
        <f>NA()</f>
        <v>#N/A</v>
      </c>
      <c r="C594">
        <f>33591.73</f>
        <v>33591.730000000003</v>
      </c>
      <c r="D594" t="e">
        <f>NA()</f>
        <v>#N/A</v>
      </c>
      <c r="E594" t="e">
        <f>NA()</f>
        <v>#N/A</v>
      </c>
      <c r="F594" t="e">
        <f>NA()</f>
        <v>#N/A</v>
      </c>
      <c r="G594" t="e">
        <f>NA()</f>
        <v>#N/A</v>
      </c>
    </row>
    <row r="595" spans="1:7" x14ac:dyDescent="0.25">
      <c r="A595" s="1">
        <v>44198</v>
      </c>
      <c r="B595" t="e">
        <f>NA()</f>
        <v>#N/A</v>
      </c>
      <c r="C595">
        <f>31702.36</f>
        <v>31702.36</v>
      </c>
      <c r="D595" t="e">
        <f>NA()</f>
        <v>#N/A</v>
      </c>
      <c r="E595" t="e">
        <f>NA()</f>
        <v>#N/A</v>
      </c>
      <c r="F595" t="e">
        <f>NA()</f>
        <v>#N/A</v>
      </c>
      <c r="G595" t="e">
        <f>NA()</f>
        <v>#N/A</v>
      </c>
    </row>
    <row r="596" spans="1:7" x14ac:dyDescent="0.25">
      <c r="A596" s="1">
        <v>44197</v>
      </c>
      <c r="B596">
        <f>1898.67</f>
        <v>1898.67</v>
      </c>
      <c r="C596">
        <f>29250.59</f>
        <v>29250.59</v>
      </c>
      <c r="D596">
        <f>26.4011</f>
        <v>26.4011</v>
      </c>
      <c r="E596" t="e">
        <f>NA()</f>
        <v>#N/A</v>
      </c>
      <c r="F596" t="e">
        <f>NA()</f>
        <v>#N/A</v>
      </c>
      <c r="G596" t="e">
        <f>NA()</f>
        <v>#N/A</v>
      </c>
    </row>
    <row r="597" spans="1:7" x14ac:dyDescent="0.25">
      <c r="A597" s="1">
        <v>44196</v>
      </c>
      <c r="B597">
        <f>1898.36</f>
        <v>1898.36</v>
      </c>
      <c r="C597">
        <f>28996.28</f>
        <v>28996.28</v>
      </c>
      <c r="D597">
        <f>26.4023</f>
        <v>26.4023</v>
      </c>
      <c r="E597" t="e">
        <f>NA()</f>
        <v>#N/A</v>
      </c>
      <c r="F597">
        <f>434.61</f>
        <v>434.61</v>
      </c>
      <c r="G597">
        <f>253.5392</f>
        <v>253.53919999999999</v>
      </c>
    </row>
    <row r="598" spans="1:7" x14ac:dyDescent="0.25">
      <c r="A598" s="1">
        <v>44195</v>
      </c>
      <c r="B598">
        <f>1894.39</f>
        <v>1894.39</v>
      </c>
      <c r="C598">
        <f>28904.39</f>
        <v>28904.39</v>
      </c>
      <c r="D598">
        <f>26.6669</f>
        <v>26.666899999999998</v>
      </c>
      <c r="E598">
        <f>250</f>
        <v>250</v>
      </c>
      <c r="F598">
        <f>434.77</f>
        <v>434.77</v>
      </c>
      <c r="G598">
        <f>250.9241</f>
        <v>250.92410000000001</v>
      </c>
    </row>
    <row r="599" spans="1:7" x14ac:dyDescent="0.25">
      <c r="A599" s="1">
        <v>44194</v>
      </c>
      <c r="B599">
        <f>1878.18</f>
        <v>1878.18</v>
      </c>
      <c r="C599">
        <f>26895.14</f>
        <v>26895.14</v>
      </c>
      <c r="D599">
        <f>26.2125</f>
        <v>26.212499999999999</v>
      </c>
      <c r="E599">
        <f>276</f>
        <v>276</v>
      </c>
      <c r="F599">
        <f>419.68</f>
        <v>419.68</v>
      </c>
      <c r="G599">
        <f>246.8666</f>
        <v>246.86660000000001</v>
      </c>
    </row>
    <row r="600" spans="1:7" x14ac:dyDescent="0.25">
      <c r="A600" s="1">
        <v>44193</v>
      </c>
      <c r="B600">
        <f>1873.69</f>
        <v>1873.69</v>
      </c>
      <c r="C600">
        <f>26599.22</f>
        <v>26599.22</v>
      </c>
      <c r="D600">
        <f>26.2456</f>
        <v>26.2456</v>
      </c>
      <c r="E600">
        <f>273</f>
        <v>273</v>
      </c>
      <c r="F600">
        <f>416.79</f>
        <v>416.79</v>
      </c>
      <c r="G600">
        <f>241.6477</f>
        <v>241.64769999999999</v>
      </c>
    </row>
    <row r="601" spans="1:7" x14ac:dyDescent="0.25">
      <c r="A601" s="1">
        <v>44192</v>
      </c>
      <c r="B601" t="e">
        <f>NA()</f>
        <v>#N/A</v>
      </c>
      <c r="C601">
        <f>26385.71</f>
        <v>26385.71</v>
      </c>
      <c r="D601" t="e">
        <f>NA()</f>
        <v>#N/A</v>
      </c>
      <c r="E601" t="e">
        <f>NA()</f>
        <v>#N/A</v>
      </c>
      <c r="F601" t="e">
        <f>NA()</f>
        <v>#N/A</v>
      </c>
      <c r="G601" t="e">
        <f>NA()</f>
        <v>#N/A</v>
      </c>
    </row>
    <row r="602" spans="1:7" x14ac:dyDescent="0.25">
      <c r="A602" s="1">
        <v>44191</v>
      </c>
      <c r="B602" t="e">
        <f>NA()</f>
        <v>#N/A</v>
      </c>
      <c r="C602">
        <f>26670.1</f>
        <v>26670.1</v>
      </c>
      <c r="D602" t="e">
        <f>NA()</f>
        <v>#N/A</v>
      </c>
      <c r="E602" t="e">
        <f>NA()</f>
        <v>#N/A</v>
      </c>
      <c r="F602" t="e">
        <f>NA()</f>
        <v>#N/A</v>
      </c>
      <c r="G602" t="e">
        <f>NA()</f>
        <v>#N/A</v>
      </c>
    </row>
    <row r="603" spans="1:7" x14ac:dyDescent="0.25">
      <c r="A603" s="1">
        <v>44190</v>
      </c>
      <c r="B603" t="e">
        <f>NA()</f>
        <v>#N/A</v>
      </c>
      <c r="C603">
        <f>24411.43</f>
        <v>24411.43</v>
      </c>
      <c r="D603" t="e">
        <f>NA()</f>
        <v>#N/A</v>
      </c>
      <c r="E603" t="e">
        <f>NA()</f>
        <v>#N/A</v>
      </c>
      <c r="F603" t="e">
        <f>NA()</f>
        <v>#N/A</v>
      </c>
      <c r="G603" t="e">
        <f>NA()</f>
        <v>#N/A</v>
      </c>
    </row>
    <row r="604" spans="1:7" x14ac:dyDescent="0.25">
      <c r="A604" s="1">
        <v>44189</v>
      </c>
      <c r="B604">
        <f>1883.46</f>
        <v>1883.46</v>
      </c>
      <c r="C604">
        <f>23405.27</f>
        <v>23405.27</v>
      </c>
      <c r="D604">
        <f>25.8297</f>
        <v>25.829699999999999</v>
      </c>
      <c r="E604" t="e">
        <f>NA()</f>
        <v>#N/A</v>
      </c>
      <c r="F604">
        <f>425.44</f>
        <v>425.44</v>
      </c>
      <c r="G604">
        <f>242.4832</f>
        <v>242.48320000000001</v>
      </c>
    </row>
    <row r="605" spans="1:7" x14ac:dyDescent="0.25">
      <c r="A605" s="1">
        <v>44188</v>
      </c>
      <c r="B605">
        <f>1872.89</f>
        <v>1872.89</v>
      </c>
      <c r="C605">
        <f>23297.72</f>
        <v>23297.72</v>
      </c>
      <c r="D605">
        <f>25.542</f>
        <v>25.542000000000002</v>
      </c>
      <c r="E605" t="e">
        <f>NA()</f>
        <v>#N/A</v>
      </c>
      <c r="F605">
        <f>427.31</f>
        <v>427.31</v>
      </c>
      <c r="G605">
        <f>241.601</f>
        <v>241.601</v>
      </c>
    </row>
    <row r="606" spans="1:7" x14ac:dyDescent="0.25">
      <c r="A606" s="1">
        <v>44187</v>
      </c>
      <c r="B606">
        <f>1860.84</f>
        <v>1860.84</v>
      </c>
      <c r="C606">
        <f>23437.95</f>
        <v>23437.95</v>
      </c>
      <c r="D606">
        <f>25.1869</f>
        <v>25.186900000000001</v>
      </c>
      <c r="E606">
        <f>273</f>
        <v>273</v>
      </c>
      <c r="F606">
        <f>418.66</f>
        <v>418.66</v>
      </c>
      <c r="G606">
        <f>238.9614</f>
        <v>238.9614</v>
      </c>
    </row>
    <row r="607" spans="1:7" x14ac:dyDescent="0.25">
      <c r="A607" s="1">
        <v>44186</v>
      </c>
      <c r="B607">
        <f>1876.89</f>
        <v>1876.89</v>
      </c>
      <c r="C607">
        <f>23142.45</f>
        <v>23142.45</v>
      </c>
      <c r="D607">
        <f>26.1697</f>
        <v>26.169699999999999</v>
      </c>
      <c r="E607">
        <f>276</f>
        <v>276</v>
      </c>
      <c r="F607">
        <f>414.76</f>
        <v>414.76</v>
      </c>
      <c r="G607">
        <f>237.55</f>
        <v>237.55</v>
      </c>
    </row>
    <row r="608" spans="1:7" x14ac:dyDescent="0.25">
      <c r="A608" s="1">
        <v>44185</v>
      </c>
      <c r="B608" t="e">
        <f>NA()</f>
        <v>#N/A</v>
      </c>
      <c r="C608">
        <f>23385.77</f>
        <v>23385.77</v>
      </c>
      <c r="D608" t="e">
        <f>NA()</f>
        <v>#N/A</v>
      </c>
      <c r="E608" t="e">
        <f>NA()</f>
        <v>#N/A</v>
      </c>
      <c r="F608" t="e">
        <f>NA()</f>
        <v>#N/A</v>
      </c>
      <c r="G608" t="e">
        <f>NA()</f>
        <v>#N/A</v>
      </c>
    </row>
    <row r="609" spans="1:7" x14ac:dyDescent="0.25">
      <c r="A609" s="1">
        <v>44184</v>
      </c>
      <c r="B609" t="e">
        <f>NA()</f>
        <v>#N/A</v>
      </c>
      <c r="C609">
        <f>23992.92</f>
        <v>23992.92</v>
      </c>
      <c r="D609" t="e">
        <f>NA()</f>
        <v>#N/A</v>
      </c>
      <c r="E609" t="e">
        <f>NA()</f>
        <v>#N/A</v>
      </c>
      <c r="F609" t="e">
        <f>NA()</f>
        <v>#N/A</v>
      </c>
      <c r="G609" t="e">
        <f>NA()</f>
        <v>#N/A</v>
      </c>
    </row>
    <row r="610" spans="1:7" x14ac:dyDescent="0.25">
      <c r="A610" s="1">
        <v>44183</v>
      </c>
      <c r="B610">
        <f>1881.35</f>
        <v>1881.35</v>
      </c>
      <c r="C610">
        <f>22901.2</f>
        <v>22901.200000000001</v>
      </c>
      <c r="D610">
        <f>25.8112</f>
        <v>25.811199999999999</v>
      </c>
      <c r="E610">
        <f>277</f>
        <v>277</v>
      </c>
      <c r="F610">
        <f>412.72</f>
        <v>412.72</v>
      </c>
      <c r="G610">
        <f>234.9498</f>
        <v>234.94980000000001</v>
      </c>
    </row>
    <row r="611" spans="1:7" x14ac:dyDescent="0.25">
      <c r="A611" s="1">
        <v>44182</v>
      </c>
      <c r="B611">
        <f>1885.42</f>
        <v>1885.42</v>
      </c>
      <c r="C611">
        <f>22779.13</f>
        <v>22779.13</v>
      </c>
      <c r="D611">
        <f>26.0624</f>
        <v>26.0624</v>
      </c>
      <c r="E611">
        <f>276</f>
        <v>276</v>
      </c>
      <c r="F611">
        <f>413.06</f>
        <v>413.06</v>
      </c>
      <c r="G611">
        <f>232.7196</f>
        <v>232.71960000000001</v>
      </c>
    </row>
    <row r="612" spans="1:7" x14ac:dyDescent="0.25">
      <c r="A612" s="1">
        <v>44181</v>
      </c>
      <c r="B612">
        <f>1864.8</f>
        <v>1864.8</v>
      </c>
      <c r="C612">
        <f>21206.36</f>
        <v>21206.36</v>
      </c>
      <c r="D612">
        <f>25.3279</f>
        <v>25.3279</v>
      </c>
      <c r="E612">
        <f>273</f>
        <v>273</v>
      </c>
      <c r="F612">
        <f>406.11</f>
        <v>406.11</v>
      </c>
      <c r="G612">
        <f>229.4284</f>
        <v>229.42840000000001</v>
      </c>
    </row>
    <row r="613" spans="1:7" x14ac:dyDescent="0.25">
      <c r="A613" s="1">
        <v>44180</v>
      </c>
      <c r="B613">
        <f>1853.64</f>
        <v>1853.64</v>
      </c>
      <c r="C613">
        <f>19424.24</f>
        <v>19424.240000000002</v>
      </c>
      <c r="D613">
        <f>24.4945</f>
        <v>24.494499999999999</v>
      </c>
      <c r="E613">
        <f>272</f>
        <v>272</v>
      </c>
      <c r="F613">
        <f>406.95</f>
        <v>406.95</v>
      </c>
      <c r="G613">
        <f>229.2751</f>
        <v>229.27510000000001</v>
      </c>
    </row>
    <row r="614" spans="1:7" x14ac:dyDescent="0.25">
      <c r="A614" s="1">
        <v>44179</v>
      </c>
      <c r="B614">
        <f>1827.35</f>
        <v>1827.35</v>
      </c>
      <c r="C614">
        <f>19199.17</f>
        <v>19199.169999999998</v>
      </c>
      <c r="D614">
        <f>23.8388</f>
        <v>23.838799999999999</v>
      </c>
      <c r="E614">
        <f>274</f>
        <v>274</v>
      </c>
      <c r="F614">
        <f>404.75</f>
        <v>404.75</v>
      </c>
      <c r="G614">
        <f>227.7223</f>
        <v>227.72229999999999</v>
      </c>
    </row>
    <row r="615" spans="1:7" x14ac:dyDescent="0.25">
      <c r="A615" s="1">
        <v>44178</v>
      </c>
      <c r="B615" t="e">
        <f>NA()</f>
        <v>#N/A</v>
      </c>
      <c r="C615">
        <f>19178.3</f>
        <v>19178.3</v>
      </c>
      <c r="D615" t="e">
        <f>NA()</f>
        <v>#N/A</v>
      </c>
      <c r="E615" t="e">
        <f>NA()</f>
        <v>#N/A</v>
      </c>
      <c r="F615" t="e">
        <f>NA()</f>
        <v>#N/A</v>
      </c>
      <c r="G615" t="e">
        <f>NA()</f>
        <v>#N/A</v>
      </c>
    </row>
    <row r="616" spans="1:7" x14ac:dyDescent="0.25">
      <c r="A616" s="1">
        <v>44177</v>
      </c>
      <c r="B616" t="e">
        <f>NA()</f>
        <v>#N/A</v>
      </c>
      <c r="C616">
        <f>18800.18</f>
        <v>18800.18</v>
      </c>
      <c r="D616" t="e">
        <f>NA()</f>
        <v>#N/A</v>
      </c>
      <c r="E616" t="e">
        <f>NA()</f>
        <v>#N/A</v>
      </c>
      <c r="F616" t="e">
        <f>NA()</f>
        <v>#N/A</v>
      </c>
      <c r="G616" t="e">
        <f>NA()</f>
        <v>#N/A</v>
      </c>
    </row>
    <row r="617" spans="1:7" x14ac:dyDescent="0.25">
      <c r="A617" s="1">
        <v>44176</v>
      </c>
      <c r="B617">
        <f>1839.85</f>
        <v>1839.85</v>
      </c>
      <c r="C617">
        <f>18101.38</f>
        <v>18101.38</v>
      </c>
      <c r="D617">
        <f>23.9505</f>
        <v>23.950500000000002</v>
      </c>
      <c r="E617">
        <f>273</f>
        <v>273</v>
      </c>
      <c r="F617">
        <f>416.96</f>
        <v>416.96</v>
      </c>
      <c r="G617">
        <f>228.8798</f>
        <v>228.87979999999999</v>
      </c>
    </row>
    <row r="618" spans="1:7" x14ac:dyDescent="0.25">
      <c r="A618" s="1">
        <v>44175</v>
      </c>
      <c r="B618">
        <f>1836.57</f>
        <v>1836.57</v>
      </c>
      <c r="C618">
        <f>18349.98</f>
        <v>18349.98</v>
      </c>
      <c r="D618">
        <f>24.0014</f>
        <v>24.0014</v>
      </c>
      <c r="E618">
        <f>273</f>
        <v>273</v>
      </c>
      <c r="F618">
        <f>404.75</f>
        <v>404.75</v>
      </c>
      <c r="G618">
        <f>225.923</f>
        <v>225.923</v>
      </c>
    </row>
    <row r="619" spans="1:7" x14ac:dyDescent="0.25">
      <c r="A619" s="1">
        <v>44174</v>
      </c>
      <c r="B619">
        <f>1839.55</f>
        <v>1839.55</v>
      </c>
      <c r="C619">
        <f>18520.56</f>
        <v>18520.560000000001</v>
      </c>
      <c r="D619">
        <f>23.9495</f>
        <v>23.9495</v>
      </c>
      <c r="E619">
        <f>261</f>
        <v>261</v>
      </c>
      <c r="F619">
        <f>395.76</f>
        <v>395.76</v>
      </c>
      <c r="G619">
        <f>225.3119</f>
        <v>225.31190000000001</v>
      </c>
    </row>
    <row r="620" spans="1:7" x14ac:dyDescent="0.25">
      <c r="A620" s="1">
        <v>44173</v>
      </c>
      <c r="B620">
        <f>1870.56</f>
        <v>1870.56</v>
      </c>
      <c r="C620">
        <f>18773.5</f>
        <v>18773.5</v>
      </c>
      <c r="D620">
        <f>24.554</f>
        <v>24.553999999999998</v>
      </c>
      <c r="E620" t="e">
        <f>NA()</f>
        <v>#N/A</v>
      </c>
      <c r="F620">
        <f>386.77</f>
        <v>386.77</v>
      </c>
      <c r="G620">
        <f>222.1249</f>
        <v>222.1249</v>
      </c>
    </row>
    <row r="621" spans="1:7" x14ac:dyDescent="0.25">
      <c r="A621" s="1">
        <v>44172</v>
      </c>
      <c r="B621">
        <f>1862.73</f>
        <v>1862.73</v>
      </c>
      <c r="C621">
        <f>19084.67</f>
        <v>19084.669999999998</v>
      </c>
      <c r="D621">
        <f>24.4851</f>
        <v>24.485099999999999</v>
      </c>
      <c r="E621" t="e">
        <f>NA()</f>
        <v>#N/A</v>
      </c>
      <c r="F621">
        <f>391.86</f>
        <v>391.86</v>
      </c>
      <c r="G621">
        <f>224.6086</f>
        <v>224.6086</v>
      </c>
    </row>
    <row r="622" spans="1:7" x14ac:dyDescent="0.25">
      <c r="A622" s="1">
        <v>44171</v>
      </c>
      <c r="B622" t="e">
        <f>NA()</f>
        <v>#N/A</v>
      </c>
      <c r="C622">
        <f>19248.35</f>
        <v>19248.349999999999</v>
      </c>
      <c r="D622" t="e">
        <f>NA()</f>
        <v>#N/A</v>
      </c>
      <c r="E622" t="e">
        <f>NA()</f>
        <v>#N/A</v>
      </c>
      <c r="F622" t="e">
        <f>NA()</f>
        <v>#N/A</v>
      </c>
      <c r="G622" t="e">
        <f>NA()</f>
        <v>#N/A</v>
      </c>
    </row>
    <row r="623" spans="1:7" x14ac:dyDescent="0.25">
      <c r="A623" s="1">
        <v>44170</v>
      </c>
      <c r="B623" t="e">
        <f>NA()</f>
        <v>#N/A</v>
      </c>
      <c r="C623">
        <f>19020.64</f>
        <v>19020.64</v>
      </c>
      <c r="D623" t="e">
        <f>NA()</f>
        <v>#N/A</v>
      </c>
      <c r="E623" t="e">
        <f>NA()</f>
        <v>#N/A</v>
      </c>
      <c r="F623" t="e">
        <f>NA()</f>
        <v>#N/A</v>
      </c>
      <c r="G623" t="e">
        <f>NA()</f>
        <v>#N/A</v>
      </c>
    </row>
    <row r="624" spans="1:7" x14ac:dyDescent="0.25">
      <c r="A624" s="1">
        <v>44169</v>
      </c>
      <c r="B624">
        <f>1838.86</f>
        <v>1838.86</v>
      </c>
      <c r="C624">
        <f>18825.45</f>
        <v>18825.45</v>
      </c>
      <c r="D624">
        <f>24.185</f>
        <v>24.184999999999999</v>
      </c>
      <c r="E624">
        <f>263</f>
        <v>263</v>
      </c>
      <c r="F624">
        <f>390.5</f>
        <v>390.5</v>
      </c>
      <c r="G624">
        <f>224.0438</f>
        <v>224.0438</v>
      </c>
    </row>
    <row r="625" spans="1:7" x14ac:dyDescent="0.25">
      <c r="A625" s="1">
        <v>44168</v>
      </c>
      <c r="B625">
        <f>1841.08</f>
        <v>1841.08</v>
      </c>
      <c r="C625">
        <f>19462.14</f>
        <v>19462.14</v>
      </c>
      <c r="D625">
        <f>24.065</f>
        <v>24.065000000000001</v>
      </c>
      <c r="E625">
        <f>263</f>
        <v>263</v>
      </c>
      <c r="F625">
        <f>396.61</f>
        <v>396.61</v>
      </c>
      <c r="G625">
        <f>226.4319</f>
        <v>226.43190000000001</v>
      </c>
    </row>
    <row r="626" spans="1:7" x14ac:dyDescent="0.25">
      <c r="A626" s="1">
        <v>44167</v>
      </c>
      <c r="B626">
        <f>1831.28</f>
        <v>1831.28</v>
      </c>
      <c r="C626">
        <f>19156.67</f>
        <v>19156.669999999998</v>
      </c>
      <c r="D626">
        <f>24.1028</f>
        <v>24.102799999999998</v>
      </c>
      <c r="E626">
        <f>264</f>
        <v>264</v>
      </c>
      <c r="F626">
        <f>399.32</f>
        <v>399.32</v>
      </c>
      <c r="G626">
        <f>225.2239</f>
        <v>225.22389999999999</v>
      </c>
    </row>
    <row r="627" spans="1:7" x14ac:dyDescent="0.25">
      <c r="A627" s="1">
        <v>44166</v>
      </c>
      <c r="B627">
        <f>1815.24</f>
        <v>1815.24</v>
      </c>
      <c r="C627">
        <f>19055.69</f>
        <v>19055.689999999999</v>
      </c>
      <c r="D627">
        <f>24.0021</f>
        <v>24.002099999999999</v>
      </c>
      <c r="E627">
        <f>263</f>
        <v>263</v>
      </c>
      <c r="F627">
        <f>391.69</f>
        <v>391.69</v>
      </c>
      <c r="G627">
        <f>223.9917</f>
        <v>223.99170000000001</v>
      </c>
    </row>
    <row r="628" spans="1:7" x14ac:dyDescent="0.25">
      <c r="A628" s="1">
        <v>44165</v>
      </c>
      <c r="B628">
        <f>1776.95</f>
        <v>1776.95</v>
      </c>
      <c r="C628">
        <f>19378.61</f>
        <v>19378.61</v>
      </c>
      <c r="D628">
        <f>22.644</f>
        <v>22.643999999999998</v>
      </c>
      <c r="E628">
        <f>259</f>
        <v>259</v>
      </c>
      <c r="F628">
        <f>396.95</f>
        <v>396.95</v>
      </c>
      <c r="G628">
        <f>226.285</f>
        <v>226.285</v>
      </c>
    </row>
    <row r="629" spans="1:7" x14ac:dyDescent="0.25">
      <c r="A629" s="1">
        <v>44164</v>
      </c>
      <c r="B629" t="e">
        <f>NA()</f>
        <v>#N/A</v>
      </c>
      <c r="C629">
        <f>18270.66</f>
        <v>18270.66</v>
      </c>
      <c r="D629" t="e">
        <f>NA()</f>
        <v>#N/A</v>
      </c>
      <c r="E629" t="e">
        <f>NA()</f>
        <v>#N/A</v>
      </c>
      <c r="F629" t="e">
        <f>NA()</f>
        <v>#N/A</v>
      </c>
      <c r="G629" t="e">
        <f>NA()</f>
        <v>#N/A</v>
      </c>
    </row>
    <row r="630" spans="1:7" x14ac:dyDescent="0.25">
      <c r="A630" s="1">
        <v>44163</v>
      </c>
      <c r="B630" t="e">
        <f>NA()</f>
        <v>#N/A</v>
      </c>
      <c r="C630">
        <f>17763.11</f>
        <v>17763.11</v>
      </c>
      <c r="D630" t="e">
        <f>NA()</f>
        <v>#N/A</v>
      </c>
      <c r="E630" t="e">
        <f>NA()</f>
        <v>#N/A</v>
      </c>
      <c r="F630" t="e">
        <f>NA()</f>
        <v>#N/A</v>
      </c>
      <c r="G630" t="e">
        <f>NA()</f>
        <v>#N/A</v>
      </c>
    </row>
    <row r="631" spans="1:7" x14ac:dyDescent="0.25">
      <c r="A631" s="1">
        <v>44162</v>
      </c>
      <c r="B631">
        <f>1787.79</f>
        <v>1787.79</v>
      </c>
      <c r="C631">
        <f>17005.85</f>
        <v>17005.849999999999</v>
      </c>
      <c r="D631">
        <f>22.5739</f>
        <v>22.573899999999998</v>
      </c>
      <c r="E631">
        <f>261</f>
        <v>261</v>
      </c>
      <c r="F631">
        <f>411.2</f>
        <v>411.2</v>
      </c>
      <c r="G631">
        <f>231.5724</f>
        <v>231.57239999999999</v>
      </c>
    </row>
    <row r="632" spans="1:7" x14ac:dyDescent="0.25">
      <c r="A632" s="1">
        <v>44161</v>
      </c>
      <c r="B632">
        <f>1815.8</f>
        <v>1815.8</v>
      </c>
      <c r="C632">
        <f>17055.5</f>
        <v>17055.5</v>
      </c>
      <c r="D632">
        <f>23.4193</f>
        <v>23.4193</v>
      </c>
      <c r="E632">
        <f>255</f>
        <v>255</v>
      </c>
      <c r="F632" t="e">
        <f>NA()</f>
        <v>#N/A</v>
      </c>
      <c r="G632" t="e">
        <f>NA()</f>
        <v>#N/A</v>
      </c>
    </row>
    <row r="633" spans="1:7" x14ac:dyDescent="0.25">
      <c r="A633" s="1">
        <v>44160</v>
      </c>
      <c r="B633">
        <f>1807.56</f>
        <v>1807.56</v>
      </c>
      <c r="C633">
        <f>18880.69</f>
        <v>18880.689999999999</v>
      </c>
      <c r="D633">
        <f>23.3568</f>
        <v>23.3568</v>
      </c>
      <c r="E633">
        <f>255</f>
        <v>255</v>
      </c>
      <c r="F633">
        <f>404.75</f>
        <v>404.75</v>
      </c>
      <c r="G633">
        <f>228.6215</f>
        <v>228.6215</v>
      </c>
    </row>
    <row r="634" spans="1:7" x14ac:dyDescent="0.25">
      <c r="A634" s="1">
        <v>44159</v>
      </c>
      <c r="B634">
        <f>1807.59</f>
        <v>1807.59</v>
      </c>
      <c r="C634">
        <f>18944.86</f>
        <v>18944.86</v>
      </c>
      <c r="D634">
        <f>23.269</f>
        <v>23.268999999999998</v>
      </c>
      <c r="E634">
        <f>256</f>
        <v>256</v>
      </c>
      <c r="F634">
        <f>419</f>
        <v>419</v>
      </c>
      <c r="G634">
        <f>232.2966</f>
        <v>232.29660000000001</v>
      </c>
    </row>
    <row r="635" spans="1:7" x14ac:dyDescent="0.25">
      <c r="A635" s="1">
        <v>44158</v>
      </c>
      <c r="B635">
        <f>1837.86</f>
        <v>1837.86</v>
      </c>
      <c r="C635">
        <f>18422.02</f>
        <v>18422.02</v>
      </c>
      <c r="D635">
        <f>23.5957</f>
        <v>23.595700000000001</v>
      </c>
      <c r="E635" t="e">
        <f>NA()</f>
        <v>#N/A</v>
      </c>
      <c r="F635">
        <f>410.18</f>
        <v>410.18</v>
      </c>
      <c r="G635">
        <f>231.1757</f>
        <v>231.17570000000001</v>
      </c>
    </row>
    <row r="636" spans="1:7" x14ac:dyDescent="0.25">
      <c r="A636" s="1">
        <v>44157</v>
      </c>
      <c r="B636" t="e">
        <f>NA()</f>
        <v>#N/A</v>
      </c>
      <c r="C636">
        <f>18597.77</f>
        <v>18597.77</v>
      </c>
      <c r="D636" t="e">
        <f>NA()</f>
        <v>#N/A</v>
      </c>
      <c r="E636" t="e">
        <f>NA()</f>
        <v>#N/A</v>
      </c>
      <c r="F636" t="e">
        <f>NA()</f>
        <v>#N/A</v>
      </c>
      <c r="G636" t="e">
        <f>NA()</f>
        <v>#N/A</v>
      </c>
    </row>
    <row r="637" spans="1:7" x14ac:dyDescent="0.25">
      <c r="A637" s="1">
        <v>44156</v>
      </c>
      <c r="B637" t="e">
        <f>NA()</f>
        <v>#N/A</v>
      </c>
      <c r="C637">
        <f>18670.93</f>
        <v>18670.93</v>
      </c>
      <c r="D637" t="e">
        <f>NA()</f>
        <v>#N/A</v>
      </c>
      <c r="E637" t="e">
        <f>NA()</f>
        <v>#N/A</v>
      </c>
      <c r="F637" t="e">
        <f>NA()</f>
        <v>#N/A</v>
      </c>
      <c r="G637" t="e">
        <f>NA()</f>
        <v>#N/A</v>
      </c>
    </row>
    <row r="638" spans="1:7" x14ac:dyDescent="0.25">
      <c r="A638" s="1">
        <v>44155</v>
      </c>
      <c r="B638">
        <f>1870.99</f>
        <v>1870.99</v>
      </c>
      <c r="C638">
        <f>18589.49</f>
        <v>18589.490000000002</v>
      </c>
      <c r="D638">
        <f>24.1759</f>
        <v>24.175899999999999</v>
      </c>
      <c r="E638">
        <f>260</f>
        <v>260</v>
      </c>
      <c r="F638">
        <f>406.79</f>
        <v>406.79</v>
      </c>
      <c r="G638">
        <f>229.0821</f>
        <v>229.0821</v>
      </c>
    </row>
    <row r="639" spans="1:7" x14ac:dyDescent="0.25">
      <c r="A639" s="1">
        <v>44154</v>
      </c>
      <c r="B639">
        <f>1866.54</f>
        <v>1866.54</v>
      </c>
      <c r="C639">
        <f>17946.04</f>
        <v>17946.04</v>
      </c>
      <c r="D639">
        <f>24.0519</f>
        <v>24.0519</v>
      </c>
      <c r="E639">
        <f>262</f>
        <v>262</v>
      </c>
      <c r="F639">
        <f>406.28</f>
        <v>406.28</v>
      </c>
      <c r="G639">
        <f>228.5005</f>
        <v>228.50049999999999</v>
      </c>
    </row>
    <row r="640" spans="1:7" x14ac:dyDescent="0.25">
      <c r="A640" s="1">
        <v>44153</v>
      </c>
      <c r="B640">
        <f>1872.24</f>
        <v>1872.24</v>
      </c>
      <c r="C640">
        <f>17786.57</f>
        <v>17786.57</v>
      </c>
      <c r="D640">
        <f>24.3365</f>
        <v>24.336500000000001</v>
      </c>
      <c r="E640">
        <f>262</f>
        <v>262</v>
      </c>
      <c r="F640">
        <f>411.53</f>
        <v>411.53</v>
      </c>
      <c r="G640">
        <f>229.8623</f>
        <v>229.8623</v>
      </c>
    </row>
    <row r="641" spans="1:7" x14ac:dyDescent="0.25">
      <c r="A641" s="1">
        <v>44152</v>
      </c>
      <c r="B641">
        <f>1880.38</f>
        <v>1880.38</v>
      </c>
      <c r="C641">
        <f>17639.21</f>
        <v>17639.21</v>
      </c>
      <c r="D641">
        <f>24.491</f>
        <v>24.491</v>
      </c>
      <c r="E641">
        <f>265</f>
        <v>265</v>
      </c>
      <c r="F641">
        <f>409.16</f>
        <v>409.16</v>
      </c>
      <c r="G641">
        <f>228.3001</f>
        <v>228.30009999999999</v>
      </c>
    </row>
    <row r="642" spans="1:7" x14ac:dyDescent="0.25">
      <c r="A642" s="1">
        <v>44151</v>
      </c>
      <c r="B642">
        <f>1888.95</f>
        <v>1888.95</v>
      </c>
      <c r="C642">
        <f>16704.72</f>
        <v>16704.72</v>
      </c>
      <c r="D642">
        <f>24.7705</f>
        <v>24.770499999999998</v>
      </c>
      <c r="E642">
        <f>266</f>
        <v>266</v>
      </c>
      <c r="F642">
        <f>410.35</f>
        <v>410.35</v>
      </c>
      <c r="G642">
        <f>226.9603</f>
        <v>226.96029999999999</v>
      </c>
    </row>
    <row r="643" spans="1:7" x14ac:dyDescent="0.25">
      <c r="A643" s="1">
        <v>44150</v>
      </c>
      <c r="B643" t="e">
        <f>NA()</f>
        <v>#N/A</v>
      </c>
      <c r="C643">
        <f>15857.79</f>
        <v>15857.79</v>
      </c>
      <c r="D643" t="e">
        <f>NA()</f>
        <v>#N/A</v>
      </c>
      <c r="E643" t="e">
        <f>NA()</f>
        <v>#N/A</v>
      </c>
      <c r="F643" t="e">
        <f>NA()</f>
        <v>#N/A</v>
      </c>
      <c r="G643" t="e">
        <f>NA()</f>
        <v>#N/A</v>
      </c>
    </row>
    <row r="644" spans="1:7" x14ac:dyDescent="0.25">
      <c r="A644" s="1">
        <v>44149</v>
      </c>
      <c r="B644" t="e">
        <f>NA()</f>
        <v>#N/A</v>
      </c>
      <c r="C644">
        <f>16008.29</f>
        <v>16008.29</v>
      </c>
      <c r="D644" t="e">
        <f>NA()</f>
        <v>#N/A</v>
      </c>
      <c r="E644" t="e">
        <f>NA()</f>
        <v>#N/A</v>
      </c>
      <c r="F644" t="e">
        <f>NA()</f>
        <v>#N/A</v>
      </c>
      <c r="G644" t="e">
        <f>NA()</f>
        <v>#N/A</v>
      </c>
    </row>
    <row r="645" spans="1:7" x14ac:dyDescent="0.25">
      <c r="A645" s="1">
        <v>44148</v>
      </c>
      <c r="B645">
        <f>1889.2</f>
        <v>1889.2</v>
      </c>
      <c r="C645">
        <f>16294.47</f>
        <v>16294.47</v>
      </c>
      <c r="D645">
        <f>24.67</f>
        <v>24.67</v>
      </c>
      <c r="E645">
        <f>267</f>
        <v>267</v>
      </c>
      <c r="F645">
        <f>408.48</f>
        <v>408.48</v>
      </c>
      <c r="G645">
        <f>225.2414</f>
        <v>225.2414</v>
      </c>
    </row>
    <row r="646" spans="1:7" x14ac:dyDescent="0.25">
      <c r="A646" s="1">
        <v>44147</v>
      </c>
      <c r="B646">
        <f>1876.83</f>
        <v>1876.83</v>
      </c>
      <c r="C646">
        <f>16159.74</f>
        <v>16159.74</v>
      </c>
      <c r="D646">
        <f>24.2818</f>
        <v>24.2818</v>
      </c>
      <c r="E646">
        <f>266</f>
        <v>266</v>
      </c>
      <c r="F646">
        <f>405.26</f>
        <v>405.26</v>
      </c>
      <c r="G646">
        <f>223.6393</f>
        <v>223.63929999999999</v>
      </c>
    </row>
    <row r="647" spans="1:7" x14ac:dyDescent="0.25">
      <c r="A647" s="1">
        <v>44146</v>
      </c>
      <c r="B647">
        <f>1865.73</f>
        <v>1865.73</v>
      </c>
      <c r="C647">
        <f>15831.57</f>
        <v>15831.57</v>
      </c>
      <c r="D647">
        <f>24.2778</f>
        <v>24.277799999999999</v>
      </c>
      <c r="E647">
        <f>268</f>
        <v>268</v>
      </c>
      <c r="F647">
        <f>410.11</f>
        <v>410.11</v>
      </c>
      <c r="G647">
        <f>226.2487</f>
        <v>226.24870000000001</v>
      </c>
    </row>
    <row r="648" spans="1:7" x14ac:dyDescent="0.25">
      <c r="A648" s="1">
        <v>44145</v>
      </c>
      <c r="B648">
        <f>1877.32</f>
        <v>1877.32</v>
      </c>
      <c r="C648">
        <f>15389.01</f>
        <v>15389.01</v>
      </c>
      <c r="D648">
        <f>24.234</f>
        <v>24.234000000000002</v>
      </c>
      <c r="E648">
        <f>266</f>
        <v>266</v>
      </c>
      <c r="F648">
        <f>416.05</f>
        <v>416.05</v>
      </c>
      <c r="G648">
        <f>227.1604</f>
        <v>227.16040000000001</v>
      </c>
    </row>
    <row r="649" spans="1:7" x14ac:dyDescent="0.25">
      <c r="A649" s="1">
        <v>44144</v>
      </c>
      <c r="B649">
        <f>1863.04</f>
        <v>1863.04</v>
      </c>
      <c r="C649">
        <f>15387.48</f>
        <v>15387.48</v>
      </c>
      <c r="D649">
        <f>24.106</f>
        <v>24.106000000000002</v>
      </c>
      <c r="E649">
        <f>261</f>
        <v>261</v>
      </c>
      <c r="F649">
        <f>407.6</f>
        <v>407.6</v>
      </c>
      <c r="G649">
        <f>220.0886</f>
        <v>220.08860000000001</v>
      </c>
    </row>
    <row r="650" spans="1:7" x14ac:dyDescent="0.25">
      <c r="A650" s="1">
        <v>44143</v>
      </c>
      <c r="B650" t="e">
        <f>NA()</f>
        <v>#N/A</v>
      </c>
      <c r="C650">
        <f>15342.02</f>
        <v>15342.02</v>
      </c>
      <c r="D650" t="e">
        <f>NA()</f>
        <v>#N/A</v>
      </c>
      <c r="E650" t="e">
        <f>NA()</f>
        <v>#N/A</v>
      </c>
      <c r="F650" t="e">
        <f>NA()</f>
        <v>#N/A</v>
      </c>
      <c r="G650" t="e">
        <f>NA()</f>
        <v>#N/A</v>
      </c>
    </row>
    <row r="651" spans="1:7" x14ac:dyDescent="0.25">
      <c r="A651" s="1">
        <v>44142</v>
      </c>
      <c r="B651" t="e">
        <f>NA()</f>
        <v>#N/A</v>
      </c>
      <c r="C651">
        <f>14837</f>
        <v>14837</v>
      </c>
      <c r="D651" t="e">
        <f>NA()</f>
        <v>#N/A</v>
      </c>
      <c r="E651" t="e">
        <f>NA()</f>
        <v>#N/A</v>
      </c>
      <c r="F651" t="e">
        <f>NA()</f>
        <v>#N/A</v>
      </c>
      <c r="G651" t="e">
        <f>NA()</f>
        <v>#N/A</v>
      </c>
    </row>
    <row r="652" spans="1:7" x14ac:dyDescent="0.25">
      <c r="A652" s="1">
        <v>44141</v>
      </c>
      <c r="B652">
        <f>1951.35</f>
        <v>1951.35</v>
      </c>
      <c r="C652">
        <f>15553.32</f>
        <v>15553.32</v>
      </c>
      <c r="D652">
        <f>25.612</f>
        <v>25.611999999999998</v>
      </c>
      <c r="E652">
        <f>257</f>
        <v>257</v>
      </c>
      <c r="F652">
        <f>409.43</f>
        <v>409.43</v>
      </c>
      <c r="G652">
        <f>219.2413</f>
        <v>219.2413</v>
      </c>
    </row>
    <row r="653" spans="1:7" x14ac:dyDescent="0.25">
      <c r="A653" s="1">
        <v>44140</v>
      </c>
      <c r="B653">
        <f>1949.66</f>
        <v>1949.66</v>
      </c>
      <c r="C653">
        <f>15243.85</f>
        <v>15243.85</v>
      </c>
      <c r="D653">
        <f>25.374</f>
        <v>25.373999999999999</v>
      </c>
      <c r="E653">
        <f>260</f>
        <v>260</v>
      </c>
      <c r="F653">
        <f>413.4</f>
        <v>413.4</v>
      </c>
      <c r="G653">
        <f>220.6652</f>
        <v>220.6652</v>
      </c>
    </row>
    <row r="654" spans="1:7" x14ac:dyDescent="0.25">
      <c r="A654" s="1">
        <v>44139</v>
      </c>
      <c r="B654">
        <f>1902.92</f>
        <v>1902.92</v>
      </c>
      <c r="C654">
        <f>14008.75</f>
        <v>14008.75</v>
      </c>
      <c r="D654">
        <f>23.9011</f>
        <v>23.9011</v>
      </c>
      <c r="E654">
        <f>259</f>
        <v>259</v>
      </c>
      <c r="F654">
        <f>411.2</f>
        <v>411.2</v>
      </c>
      <c r="G654">
        <f>218.2859</f>
        <v>218.2859</v>
      </c>
    </row>
    <row r="655" spans="1:7" x14ac:dyDescent="0.25">
      <c r="A655" s="1">
        <v>44138</v>
      </c>
      <c r="B655">
        <f>1909.17</f>
        <v>1909.17</v>
      </c>
      <c r="C655">
        <f>13741.48</f>
        <v>13741.48</v>
      </c>
      <c r="D655">
        <f>24.2258</f>
        <v>24.2258</v>
      </c>
      <c r="E655">
        <f>255</f>
        <v>255</v>
      </c>
      <c r="F655">
        <f>412.55</f>
        <v>412.55</v>
      </c>
      <c r="G655">
        <f>215.9058</f>
        <v>215.9058</v>
      </c>
    </row>
    <row r="656" spans="1:7" x14ac:dyDescent="0.25">
      <c r="A656" s="1">
        <v>44137</v>
      </c>
      <c r="B656">
        <f>1895.48</f>
        <v>1895.48</v>
      </c>
      <c r="C656">
        <f>13619.76</f>
        <v>13619.76</v>
      </c>
      <c r="D656">
        <f>24.089</f>
        <v>24.088999999999999</v>
      </c>
      <c r="E656">
        <f>254</f>
        <v>254</v>
      </c>
      <c r="F656">
        <f>412.21</f>
        <v>412.21</v>
      </c>
      <c r="G656">
        <f>214.1823</f>
        <v>214.1823</v>
      </c>
    </row>
    <row r="657" spans="1:7" x14ac:dyDescent="0.25">
      <c r="A657" s="1">
        <v>44136</v>
      </c>
      <c r="B657" t="e">
        <f>NA()</f>
        <v>#N/A</v>
      </c>
      <c r="C657">
        <f>13823.15</f>
        <v>13823.15</v>
      </c>
      <c r="D657" t="e">
        <f>NA()</f>
        <v>#N/A</v>
      </c>
      <c r="E657" t="e">
        <f>NA()</f>
        <v>#N/A</v>
      </c>
      <c r="F657" t="e">
        <f>NA()</f>
        <v>#N/A</v>
      </c>
      <c r="G657" t="e">
        <f>NA()</f>
        <v>#N/A</v>
      </c>
    </row>
    <row r="658" spans="1:7" x14ac:dyDescent="0.25">
      <c r="A658" s="1">
        <v>44135</v>
      </c>
      <c r="B658" t="e">
        <f>NA()</f>
        <v>#N/A</v>
      </c>
      <c r="C658">
        <f>13850.1</f>
        <v>13850.1</v>
      </c>
      <c r="D658" t="e">
        <f>NA()</f>
        <v>#N/A</v>
      </c>
      <c r="E658" t="e">
        <f>NA()</f>
        <v>#N/A</v>
      </c>
      <c r="F658" t="e">
        <f>NA()</f>
        <v>#N/A</v>
      </c>
      <c r="G658" t="e">
        <f>NA()</f>
        <v>#N/A</v>
      </c>
    </row>
    <row r="659" spans="1:7" x14ac:dyDescent="0.25">
      <c r="A659" s="1">
        <v>44134</v>
      </c>
      <c r="B659">
        <f>1878.81</f>
        <v>1878.81</v>
      </c>
      <c r="C659">
        <f>13639.46</f>
        <v>13639.46</v>
      </c>
      <c r="D659">
        <f>23.6567</f>
        <v>23.656700000000001</v>
      </c>
      <c r="E659">
        <f>253</f>
        <v>253</v>
      </c>
      <c r="F659">
        <f>406.11</f>
        <v>406.11</v>
      </c>
      <c r="G659">
        <f>213.5982</f>
        <v>213.59819999999999</v>
      </c>
    </row>
    <row r="660" spans="1:7" x14ac:dyDescent="0.25">
      <c r="A660" s="1">
        <v>44133</v>
      </c>
      <c r="B660">
        <f>1867.59</f>
        <v>1867.59</v>
      </c>
      <c r="C660">
        <f>13486.71</f>
        <v>13486.71</v>
      </c>
      <c r="D660">
        <f>23.2585</f>
        <v>23.258500000000002</v>
      </c>
      <c r="E660">
        <f>255</f>
        <v>255</v>
      </c>
      <c r="F660">
        <f>409.67</f>
        <v>409.67</v>
      </c>
      <c r="G660">
        <f>213.5617</f>
        <v>213.5617</v>
      </c>
    </row>
    <row r="661" spans="1:7" x14ac:dyDescent="0.25">
      <c r="A661" s="1">
        <v>44132</v>
      </c>
      <c r="B661">
        <f>1877.19</f>
        <v>1877.19</v>
      </c>
      <c r="C661">
        <f>13213.48</f>
        <v>13213.48</v>
      </c>
      <c r="D661">
        <f>23.3848</f>
        <v>23.384799999999998</v>
      </c>
      <c r="E661">
        <f>258</f>
        <v>258</v>
      </c>
      <c r="F661">
        <f>413.06</f>
        <v>413.06</v>
      </c>
      <c r="G661">
        <f>214.8226</f>
        <v>214.82259999999999</v>
      </c>
    </row>
    <row r="662" spans="1:7" x14ac:dyDescent="0.25">
      <c r="A662" s="1">
        <v>44131</v>
      </c>
      <c r="B662">
        <f>1907.99</f>
        <v>1907.99</v>
      </c>
      <c r="C662">
        <f>13620.54</f>
        <v>13620.54</v>
      </c>
      <c r="D662">
        <f>24.373</f>
        <v>24.373000000000001</v>
      </c>
      <c r="E662">
        <f>264</f>
        <v>264</v>
      </c>
      <c r="F662">
        <f>417.81</f>
        <v>417.81</v>
      </c>
      <c r="G662">
        <f>219.8358</f>
        <v>219.83580000000001</v>
      </c>
    </row>
    <row r="663" spans="1:7" x14ac:dyDescent="0.25">
      <c r="A663" s="1">
        <v>44130</v>
      </c>
      <c r="B663">
        <f>1902.08</f>
        <v>1902.08</v>
      </c>
      <c r="C663">
        <f>13019.83</f>
        <v>13019.83</v>
      </c>
      <c r="D663">
        <f>24.2802</f>
        <v>24.280200000000001</v>
      </c>
      <c r="E663">
        <f>264</f>
        <v>264</v>
      </c>
      <c r="F663">
        <f>420.7</f>
        <v>420.7</v>
      </c>
      <c r="G663">
        <f>221.072</f>
        <v>221.072</v>
      </c>
    </row>
    <row r="664" spans="1:7" x14ac:dyDescent="0.25">
      <c r="A664" s="1">
        <v>44129</v>
      </c>
      <c r="B664" t="e">
        <f>NA()</f>
        <v>#N/A</v>
      </c>
      <c r="C664">
        <f>13036.88</f>
        <v>13036.88</v>
      </c>
      <c r="D664" t="e">
        <f>NA()</f>
        <v>#N/A</v>
      </c>
      <c r="E664" t="e">
        <f>NA()</f>
        <v>#N/A</v>
      </c>
      <c r="F664" t="e">
        <f>NA()</f>
        <v>#N/A</v>
      </c>
      <c r="G664" t="e">
        <f>NA()</f>
        <v>#N/A</v>
      </c>
    </row>
    <row r="665" spans="1:7" x14ac:dyDescent="0.25">
      <c r="A665" s="1">
        <v>44128</v>
      </c>
      <c r="B665" t="e">
        <f>NA()</f>
        <v>#N/A</v>
      </c>
      <c r="C665">
        <f>13113.04</f>
        <v>13113.04</v>
      </c>
      <c r="D665" t="e">
        <f>NA()</f>
        <v>#N/A</v>
      </c>
      <c r="E665" t="e">
        <f>NA()</f>
        <v>#N/A</v>
      </c>
      <c r="F665" t="e">
        <f>NA()</f>
        <v>#N/A</v>
      </c>
      <c r="G665" t="e">
        <f>NA()</f>
        <v>#N/A</v>
      </c>
    </row>
    <row r="666" spans="1:7" x14ac:dyDescent="0.25">
      <c r="A666" s="1">
        <v>44127</v>
      </c>
      <c r="B666">
        <f>1902.05</f>
        <v>1902.05</v>
      </c>
      <c r="C666">
        <f>12942.9</f>
        <v>12942.9</v>
      </c>
      <c r="D666">
        <f>24.607</f>
        <v>24.606999999999999</v>
      </c>
      <c r="E666">
        <f>268</f>
        <v>268</v>
      </c>
      <c r="F666">
        <f>429.35</f>
        <v>429.35</v>
      </c>
      <c r="G666">
        <f>222.7194</f>
        <v>222.71940000000001</v>
      </c>
    </row>
    <row r="667" spans="1:7" x14ac:dyDescent="0.25">
      <c r="A667" s="1">
        <v>44126</v>
      </c>
      <c r="B667">
        <f>1904.11</f>
        <v>1904.11</v>
      </c>
      <c r="C667">
        <f>13124.02</f>
        <v>13124.02</v>
      </c>
      <c r="D667">
        <f>24.7088</f>
        <v>24.7088</v>
      </c>
      <c r="E667">
        <f>272</f>
        <v>272</v>
      </c>
      <c r="F667">
        <f>422.56</f>
        <v>422.56</v>
      </c>
      <c r="G667">
        <f>220.47</f>
        <v>220.47</v>
      </c>
    </row>
    <row r="668" spans="1:7" x14ac:dyDescent="0.25">
      <c r="A668" s="1">
        <v>44125</v>
      </c>
      <c r="B668">
        <f>1924.33</f>
        <v>1924.33</v>
      </c>
      <c r="C668">
        <f>12855.5</f>
        <v>12855.5</v>
      </c>
      <c r="D668">
        <f>25.0472</f>
        <v>25.0472</v>
      </c>
      <c r="E668">
        <f>269</f>
        <v>269</v>
      </c>
      <c r="F668">
        <f>427.31</f>
        <v>427.31</v>
      </c>
      <c r="G668">
        <f>220.7902</f>
        <v>220.7902</v>
      </c>
    </row>
    <row r="669" spans="1:7" x14ac:dyDescent="0.25">
      <c r="A669" s="1">
        <v>44124</v>
      </c>
      <c r="B669">
        <f>1906.95</f>
        <v>1906.95</v>
      </c>
      <c r="C669">
        <f>11904.78</f>
        <v>11904.78</v>
      </c>
      <c r="D669">
        <f>24.6418</f>
        <v>24.6418</v>
      </c>
      <c r="E669">
        <f>266</f>
        <v>266</v>
      </c>
      <c r="F669">
        <f>428.84</f>
        <v>428.84</v>
      </c>
      <c r="G669">
        <f>219.4883</f>
        <v>219.48830000000001</v>
      </c>
    </row>
    <row r="670" spans="1:7" x14ac:dyDescent="0.25">
      <c r="A670" s="1">
        <v>44123</v>
      </c>
      <c r="B670">
        <f>1904.08</f>
        <v>1904.08</v>
      </c>
      <c r="C670">
        <f>11735.13</f>
        <v>11735.13</v>
      </c>
      <c r="D670">
        <f>24.3889</f>
        <v>24.3889</v>
      </c>
      <c r="E670">
        <f>260</f>
        <v>260</v>
      </c>
      <c r="F670">
        <f>425.44</f>
        <v>425.44</v>
      </c>
      <c r="G670">
        <f>217.4699</f>
        <v>217.4699</v>
      </c>
    </row>
    <row r="671" spans="1:7" x14ac:dyDescent="0.25">
      <c r="A671" s="1">
        <v>44122</v>
      </c>
      <c r="B671" t="e">
        <f>NA()</f>
        <v>#N/A</v>
      </c>
      <c r="C671">
        <f>11445.83</f>
        <v>11445.83</v>
      </c>
      <c r="D671" t="e">
        <f>NA()</f>
        <v>#N/A</v>
      </c>
      <c r="E671" t="e">
        <f>NA()</f>
        <v>#N/A</v>
      </c>
      <c r="F671" t="e">
        <f>NA()</f>
        <v>#N/A</v>
      </c>
      <c r="G671" t="e">
        <f>NA()</f>
        <v>#N/A</v>
      </c>
    </row>
    <row r="672" spans="1:7" x14ac:dyDescent="0.25">
      <c r="A672" s="1">
        <v>44121</v>
      </c>
      <c r="B672" t="e">
        <f>NA()</f>
        <v>#N/A</v>
      </c>
      <c r="C672">
        <f>11354.91</f>
        <v>11354.91</v>
      </c>
      <c r="D672" t="e">
        <f>NA()</f>
        <v>#N/A</v>
      </c>
      <c r="E672" t="e">
        <f>NA()</f>
        <v>#N/A</v>
      </c>
      <c r="F672" t="e">
        <f>NA()</f>
        <v>#N/A</v>
      </c>
      <c r="G672" t="e">
        <f>NA()</f>
        <v>#N/A</v>
      </c>
    </row>
    <row r="673" spans="1:7" x14ac:dyDescent="0.25">
      <c r="A673" s="1">
        <v>44120</v>
      </c>
      <c r="B673">
        <f>1899.29</f>
        <v>1899.29</v>
      </c>
      <c r="C673">
        <f>11319.41</f>
        <v>11319.41</v>
      </c>
      <c r="D673">
        <f>24.1577</f>
        <v>24.157699999999998</v>
      </c>
      <c r="E673">
        <f>259</f>
        <v>259</v>
      </c>
      <c r="F673">
        <f>424.26</f>
        <v>424.26</v>
      </c>
      <c r="G673">
        <f>216.3048</f>
        <v>216.3048</v>
      </c>
    </row>
    <row r="674" spans="1:7" x14ac:dyDescent="0.25">
      <c r="A674" s="1">
        <v>44119</v>
      </c>
      <c r="B674">
        <f>1908.71</f>
        <v>1908.71</v>
      </c>
      <c r="C674">
        <f>11545.26</f>
        <v>11545.26</v>
      </c>
      <c r="D674">
        <f>24.3018</f>
        <v>24.3018</v>
      </c>
      <c r="E674">
        <f>249</f>
        <v>249</v>
      </c>
      <c r="F674">
        <f>419.51</f>
        <v>419.51</v>
      </c>
      <c r="G674">
        <f>216.9899</f>
        <v>216.98990000000001</v>
      </c>
    </row>
    <row r="675" spans="1:7" x14ac:dyDescent="0.25">
      <c r="A675" s="1">
        <v>44118</v>
      </c>
      <c r="B675">
        <f>1901.52</f>
        <v>1901.52</v>
      </c>
      <c r="C675">
        <f>11393.36</f>
        <v>11393.36</v>
      </c>
      <c r="D675">
        <f>24.2653</f>
        <v>24.2653</v>
      </c>
      <c r="E675">
        <f>249</f>
        <v>249</v>
      </c>
      <c r="F675">
        <f>404.92</f>
        <v>404.92</v>
      </c>
      <c r="G675">
        <f>212.9481</f>
        <v>212.94810000000001</v>
      </c>
    </row>
    <row r="676" spans="1:7" x14ac:dyDescent="0.25">
      <c r="A676" s="1">
        <v>44117</v>
      </c>
      <c r="B676">
        <f>1891.36</f>
        <v>1891.36</v>
      </c>
      <c r="C676">
        <f>11434.88</f>
        <v>11434.88</v>
      </c>
      <c r="D676">
        <f>24.1385</f>
        <v>24.138500000000001</v>
      </c>
      <c r="E676">
        <f>251</f>
        <v>251</v>
      </c>
      <c r="F676">
        <f>403.05</f>
        <v>403.05</v>
      </c>
      <c r="G676">
        <f>210.8293</f>
        <v>210.82929999999999</v>
      </c>
    </row>
    <row r="677" spans="1:7" x14ac:dyDescent="0.25">
      <c r="A677" s="1">
        <v>44116</v>
      </c>
      <c r="B677">
        <f>1922.77</f>
        <v>1922.77</v>
      </c>
      <c r="C677">
        <f>11568.4</f>
        <v>11568.4</v>
      </c>
      <c r="D677">
        <f>25.103</f>
        <v>25.103000000000002</v>
      </c>
      <c r="E677" t="e">
        <f>NA()</f>
        <v>#N/A</v>
      </c>
      <c r="F677">
        <f>403.22</f>
        <v>403.22</v>
      </c>
      <c r="G677">
        <f>209.6</f>
        <v>209.6</v>
      </c>
    </row>
    <row r="678" spans="1:7" x14ac:dyDescent="0.25">
      <c r="A678" s="1">
        <v>44115</v>
      </c>
      <c r="B678" t="e">
        <f>NA()</f>
        <v>#N/A</v>
      </c>
      <c r="C678">
        <f>11332.36</f>
        <v>11332.36</v>
      </c>
      <c r="D678" t="e">
        <f>NA()</f>
        <v>#N/A</v>
      </c>
      <c r="E678" t="e">
        <f>NA()</f>
        <v>#N/A</v>
      </c>
      <c r="F678" t="e">
        <f>NA()</f>
        <v>#N/A</v>
      </c>
      <c r="G678" t="e">
        <f>NA()</f>
        <v>#N/A</v>
      </c>
    </row>
    <row r="679" spans="1:7" x14ac:dyDescent="0.25">
      <c r="A679" s="1">
        <v>44114</v>
      </c>
      <c r="B679" t="e">
        <f>NA()</f>
        <v>#N/A</v>
      </c>
      <c r="C679">
        <f>11367.8</f>
        <v>11367.8</v>
      </c>
      <c r="D679" t="e">
        <f>NA()</f>
        <v>#N/A</v>
      </c>
      <c r="E679" t="e">
        <f>NA()</f>
        <v>#N/A</v>
      </c>
      <c r="F679" t="e">
        <f>NA()</f>
        <v>#N/A</v>
      </c>
      <c r="G679" t="e">
        <f>NA()</f>
        <v>#N/A</v>
      </c>
    </row>
    <row r="680" spans="1:7" x14ac:dyDescent="0.25">
      <c r="A680" s="1">
        <v>44113</v>
      </c>
      <c r="B680">
        <f>1930.4</f>
        <v>1930.4</v>
      </c>
      <c r="C680">
        <f>11041.96</f>
        <v>11041.96</v>
      </c>
      <c r="D680">
        <f>25.1539</f>
        <v>25.1539</v>
      </c>
      <c r="E680">
        <f>251</f>
        <v>251</v>
      </c>
      <c r="F680">
        <f>402.88</f>
        <v>402.88</v>
      </c>
      <c r="G680">
        <f>213.0872</f>
        <v>213.0872</v>
      </c>
    </row>
    <row r="681" spans="1:7" x14ac:dyDescent="0.25">
      <c r="A681" s="1">
        <v>44112</v>
      </c>
      <c r="B681">
        <f>1893.82</f>
        <v>1893.82</v>
      </c>
      <c r="C681">
        <f>10898.05</f>
        <v>10898.05</v>
      </c>
      <c r="D681">
        <f>23.8382</f>
        <v>23.838200000000001</v>
      </c>
      <c r="E681">
        <f>248</f>
        <v>248</v>
      </c>
      <c r="F681">
        <f>403.9</f>
        <v>403.9</v>
      </c>
      <c r="G681">
        <f>210.2598</f>
        <v>210.25980000000001</v>
      </c>
    </row>
    <row r="682" spans="1:7" x14ac:dyDescent="0.25">
      <c r="A682" s="1">
        <v>44111</v>
      </c>
      <c r="B682">
        <f>1887.42</f>
        <v>1887.42</v>
      </c>
      <c r="C682">
        <f>10661.08</f>
        <v>10661.08</v>
      </c>
      <c r="D682">
        <f>23.8029</f>
        <v>23.802900000000001</v>
      </c>
      <c r="E682">
        <f>247</f>
        <v>247</v>
      </c>
      <c r="F682">
        <f>412.21</f>
        <v>412.21</v>
      </c>
      <c r="G682">
        <f>212.1294</f>
        <v>212.1294</v>
      </c>
    </row>
    <row r="683" spans="1:7" x14ac:dyDescent="0.25">
      <c r="A683" s="1">
        <v>44110</v>
      </c>
      <c r="B683">
        <f>1878.18</f>
        <v>1878.18</v>
      </c>
      <c r="C683">
        <f>10549.5</f>
        <v>10549.5</v>
      </c>
      <c r="D683">
        <f>23.0675</f>
        <v>23.067499999999999</v>
      </c>
      <c r="E683">
        <f>247</f>
        <v>247</v>
      </c>
      <c r="F683">
        <f>402.2</f>
        <v>402.2</v>
      </c>
      <c r="G683">
        <f>209.5164</f>
        <v>209.5164</v>
      </c>
    </row>
    <row r="684" spans="1:7" x14ac:dyDescent="0.25">
      <c r="A684" s="1">
        <v>44109</v>
      </c>
      <c r="B684">
        <f>1913.53</f>
        <v>1913.53</v>
      </c>
      <c r="C684">
        <f>10741.28</f>
        <v>10741.28</v>
      </c>
      <c r="D684">
        <f>24.38</f>
        <v>24.38</v>
      </c>
      <c r="E684">
        <f>244</f>
        <v>244</v>
      </c>
      <c r="F684">
        <f>396.44</f>
        <v>396.44</v>
      </c>
      <c r="G684">
        <f>205.8725</f>
        <v>205.8725</v>
      </c>
    </row>
    <row r="685" spans="1:7" x14ac:dyDescent="0.25">
      <c r="A685" s="1">
        <v>44108</v>
      </c>
      <c r="B685" t="e">
        <f>NA()</f>
        <v>#N/A</v>
      </c>
      <c r="C685">
        <f>10650.02</f>
        <v>10650.02</v>
      </c>
      <c r="D685" t="e">
        <f>NA()</f>
        <v>#N/A</v>
      </c>
      <c r="E685" t="e">
        <f>NA()</f>
        <v>#N/A</v>
      </c>
      <c r="F685" t="e">
        <f>NA()</f>
        <v>#N/A</v>
      </c>
      <c r="G685" t="e">
        <f>NA()</f>
        <v>#N/A</v>
      </c>
    </row>
    <row r="686" spans="1:7" x14ac:dyDescent="0.25">
      <c r="A686" s="1">
        <v>44107</v>
      </c>
      <c r="B686" t="e">
        <f>NA()</f>
        <v>#N/A</v>
      </c>
      <c r="C686">
        <f>10572.62</f>
        <v>10572.62</v>
      </c>
      <c r="D686" t="e">
        <f>NA()</f>
        <v>#N/A</v>
      </c>
      <c r="E686" t="e">
        <f>NA()</f>
        <v>#N/A</v>
      </c>
      <c r="F686" t="e">
        <f>NA()</f>
        <v>#N/A</v>
      </c>
      <c r="G686" t="e">
        <f>NA()</f>
        <v>#N/A</v>
      </c>
    </row>
    <row r="687" spans="1:7" x14ac:dyDescent="0.25">
      <c r="A687" s="1">
        <v>44106</v>
      </c>
      <c r="B687">
        <f>1899.84</f>
        <v>1899.84</v>
      </c>
      <c r="C687">
        <f>10547.65</f>
        <v>10547.65</v>
      </c>
      <c r="D687">
        <f>23.7361</f>
        <v>23.7361</v>
      </c>
      <c r="E687">
        <f>240</f>
        <v>240</v>
      </c>
      <c r="F687">
        <f>388.97</f>
        <v>388.97</v>
      </c>
      <c r="G687">
        <f>204.5476</f>
        <v>204.54759999999999</v>
      </c>
    </row>
    <row r="688" spans="1:7" x14ac:dyDescent="0.25">
      <c r="A688" s="1">
        <v>44105</v>
      </c>
      <c r="B688">
        <f>1906.01</f>
        <v>1906.01</v>
      </c>
      <c r="C688">
        <f>10606.06</f>
        <v>10606.06</v>
      </c>
      <c r="D688">
        <f>23.7929</f>
        <v>23.792899999999999</v>
      </c>
      <c r="E688">
        <f>238</f>
        <v>238</v>
      </c>
      <c r="F688">
        <f>386.94</f>
        <v>386.94</v>
      </c>
      <c r="G688">
        <f>204.9902</f>
        <v>204.99019999999999</v>
      </c>
    </row>
    <row r="689" spans="1:7" x14ac:dyDescent="0.25">
      <c r="A689" s="1">
        <v>44104</v>
      </c>
      <c r="B689">
        <f>1885.82</f>
        <v>1885.82</v>
      </c>
      <c r="C689">
        <f>10706.95</f>
        <v>10706.95</v>
      </c>
      <c r="D689">
        <f>23.2352</f>
        <v>23.235199999999999</v>
      </c>
      <c r="E689">
        <f>238</f>
        <v>238</v>
      </c>
      <c r="F689">
        <f>392.2</f>
        <v>392.2</v>
      </c>
      <c r="G689">
        <f>204.9425</f>
        <v>204.9425</v>
      </c>
    </row>
    <row r="690" spans="1:7" x14ac:dyDescent="0.25">
      <c r="A690" s="1">
        <v>44103</v>
      </c>
      <c r="B690">
        <f>1898.07</f>
        <v>1898.07</v>
      </c>
      <c r="C690">
        <f>10756.95</f>
        <v>10756.95</v>
      </c>
      <c r="D690">
        <f>24.189</f>
        <v>24.189</v>
      </c>
      <c r="E690">
        <f>230</f>
        <v>230</v>
      </c>
      <c r="F690">
        <f>372.86</f>
        <v>372.86</v>
      </c>
      <c r="G690">
        <f>196.8015</f>
        <v>196.8015</v>
      </c>
    </row>
    <row r="691" spans="1:7" x14ac:dyDescent="0.25">
      <c r="A691" s="1">
        <v>44102</v>
      </c>
      <c r="B691">
        <f>1881.48</f>
        <v>1881.48</v>
      </c>
      <c r="C691">
        <f>10871.25</f>
        <v>10871.25</v>
      </c>
      <c r="D691">
        <f>23.6753</f>
        <v>23.6753</v>
      </c>
      <c r="E691">
        <f>229</f>
        <v>229</v>
      </c>
      <c r="F691">
        <f>373.37</f>
        <v>373.37</v>
      </c>
      <c r="G691">
        <f>197.7247</f>
        <v>197.72470000000001</v>
      </c>
    </row>
    <row r="692" spans="1:7" x14ac:dyDescent="0.25">
      <c r="A692" s="1">
        <v>44101</v>
      </c>
      <c r="B692" t="e">
        <f>NA()</f>
        <v>#N/A</v>
      </c>
      <c r="C692">
        <f>10725.25</f>
        <v>10725.25</v>
      </c>
      <c r="D692" t="e">
        <f>NA()</f>
        <v>#N/A</v>
      </c>
      <c r="E692" t="e">
        <f>NA()</f>
        <v>#N/A</v>
      </c>
      <c r="F692" t="e">
        <f>NA()</f>
        <v>#N/A</v>
      </c>
      <c r="G692" t="e">
        <f>NA()</f>
        <v>#N/A</v>
      </c>
    </row>
    <row r="693" spans="1:7" x14ac:dyDescent="0.25">
      <c r="A693" s="1">
        <v>44100</v>
      </c>
      <c r="B693" t="e">
        <f>NA()</f>
        <v>#N/A</v>
      </c>
      <c r="C693">
        <f>10720.88</f>
        <v>10720.88</v>
      </c>
      <c r="D693" t="e">
        <f>NA()</f>
        <v>#N/A</v>
      </c>
      <c r="E693" t="e">
        <f>NA()</f>
        <v>#N/A</v>
      </c>
      <c r="F693" t="e">
        <f>NA()</f>
        <v>#N/A</v>
      </c>
      <c r="G693" t="e">
        <f>NA()</f>
        <v>#N/A</v>
      </c>
    </row>
    <row r="694" spans="1:7" x14ac:dyDescent="0.25">
      <c r="A694" s="1">
        <v>44099</v>
      </c>
      <c r="B694">
        <f>1861.58</f>
        <v>1861.58</v>
      </c>
      <c r="C694">
        <f>10717.46</f>
        <v>10717.46</v>
      </c>
      <c r="D694">
        <f>22.8885</f>
        <v>22.888500000000001</v>
      </c>
      <c r="E694">
        <f>229</f>
        <v>229</v>
      </c>
      <c r="F694">
        <f>369.3</f>
        <v>369.3</v>
      </c>
      <c r="G694">
        <f>197.2069</f>
        <v>197.20689999999999</v>
      </c>
    </row>
    <row r="695" spans="1:7" x14ac:dyDescent="0.25">
      <c r="A695" s="1">
        <v>44098</v>
      </c>
      <c r="B695">
        <f>1868.07</f>
        <v>1868.07</v>
      </c>
      <c r="C695">
        <f>10631.74</f>
        <v>10631.74</v>
      </c>
      <c r="D695">
        <f>23.1475</f>
        <v>23.147500000000001</v>
      </c>
      <c r="E695">
        <f>230</f>
        <v>230</v>
      </c>
      <c r="F695">
        <f>373.03</f>
        <v>373.03</v>
      </c>
      <c r="G695">
        <f>197.3691</f>
        <v>197.3691</v>
      </c>
    </row>
    <row r="696" spans="1:7" x14ac:dyDescent="0.25">
      <c r="A696" s="1">
        <v>44097</v>
      </c>
      <c r="B696">
        <f>1863.34</f>
        <v>1863.34</v>
      </c>
      <c r="C696">
        <f>10224.14</f>
        <v>10224.14</v>
      </c>
      <c r="D696">
        <f>22.7784</f>
        <v>22.778400000000001</v>
      </c>
      <c r="E696">
        <f>230</f>
        <v>230</v>
      </c>
      <c r="F696">
        <f>372.52</f>
        <v>372.52</v>
      </c>
      <c r="G696">
        <f>199.3654</f>
        <v>199.36539999999999</v>
      </c>
    </row>
    <row r="697" spans="1:7" x14ac:dyDescent="0.25">
      <c r="A697" s="1">
        <v>44096</v>
      </c>
      <c r="B697">
        <f>1900.21</f>
        <v>1900.21</v>
      </c>
      <c r="C697">
        <f>10516.06</f>
        <v>10516.06</v>
      </c>
      <c r="D697">
        <f>24.399</f>
        <v>24.399000000000001</v>
      </c>
      <c r="E697">
        <f>230</f>
        <v>230</v>
      </c>
      <c r="F697">
        <f>378.63</f>
        <v>378.63</v>
      </c>
      <c r="G697">
        <f>200.7924</f>
        <v>200.79239999999999</v>
      </c>
    </row>
    <row r="698" spans="1:7" x14ac:dyDescent="0.25">
      <c r="A698" s="1">
        <v>44095</v>
      </c>
      <c r="B698">
        <f>1912.51</f>
        <v>1912.51</v>
      </c>
      <c r="C698">
        <f>10479.79</f>
        <v>10479.790000000001</v>
      </c>
      <c r="D698">
        <f>24.7156</f>
        <v>24.715599999999998</v>
      </c>
      <c r="E698">
        <f>230</f>
        <v>230</v>
      </c>
      <c r="F698">
        <f>376.42</f>
        <v>376.42</v>
      </c>
      <c r="G698">
        <f>200.6935</f>
        <v>200.6935</v>
      </c>
    </row>
    <row r="699" spans="1:7" x14ac:dyDescent="0.25">
      <c r="A699" s="1">
        <v>44094</v>
      </c>
      <c r="B699" t="e">
        <f>NA()</f>
        <v>#N/A</v>
      </c>
      <c r="C699">
        <f>10858</f>
        <v>10858</v>
      </c>
      <c r="D699" t="e">
        <f>NA()</f>
        <v>#N/A</v>
      </c>
      <c r="E699" t="e">
        <f>NA()</f>
        <v>#N/A</v>
      </c>
      <c r="F699" t="e">
        <f>NA()</f>
        <v>#N/A</v>
      </c>
      <c r="G699" t="e">
        <f>NA()</f>
        <v>#N/A</v>
      </c>
    </row>
    <row r="700" spans="1:7" x14ac:dyDescent="0.25">
      <c r="A700" s="1">
        <v>44093</v>
      </c>
      <c r="B700" t="e">
        <f>NA()</f>
        <v>#N/A</v>
      </c>
      <c r="C700">
        <f>11093.84</f>
        <v>11093.84</v>
      </c>
      <c r="D700" t="e">
        <f>NA()</f>
        <v>#N/A</v>
      </c>
      <c r="E700" t="e">
        <f>NA()</f>
        <v>#N/A</v>
      </c>
      <c r="F700" t="e">
        <f>NA()</f>
        <v>#N/A</v>
      </c>
      <c r="G700" t="e">
        <f>NA()</f>
        <v>#N/A</v>
      </c>
    </row>
    <row r="701" spans="1:7" x14ac:dyDescent="0.25">
      <c r="A701" s="1">
        <v>44092</v>
      </c>
      <c r="B701">
        <f>1950.86</f>
        <v>1950.86</v>
      </c>
      <c r="C701">
        <f>10890.68</f>
        <v>10890.68</v>
      </c>
      <c r="D701">
        <f>26.7845</f>
        <v>26.784500000000001</v>
      </c>
      <c r="E701">
        <f>230</f>
        <v>230</v>
      </c>
      <c r="F701">
        <f>390.16</f>
        <v>390.16</v>
      </c>
      <c r="G701">
        <f>205.9031</f>
        <v>205.90309999999999</v>
      </c>
    </row>
    <row r="702" spans="1:7" x14ac:dyDescent="0.25">
      <c r="A702" s="1">
        <v>44091</v>
      </c>
      <c r="B702">
        <f>1944.44</f>
        <v>1944.44</v>
      </c>
      <c r="C702">
        <f>10937.41</f>
        <v>10937.41</v>
      </c>
      <c r="D702">
        <f>27.0364</f>
        <v>27.0364</v>
      </c>
      <c r="E702">
        <f>225</f>
        <v>225</v>
      </c>
      <c r="F702">
        <f>377.44</f>
        <v>377.44</v>
      </c>
      <c r="G702">
        <f>202.2731</f>
        <v>202.2731</v>
      </c>
    </row>
    <row r="703" spans="1:7" x14ac:dyDescent="0.25">
      <c r="A703" s="1">
        <v>44090</v>
      </c>
      <c r="B703">
        <f>1959.26</f>
        <v>1959.26</v>
      </c>
      <c r="C703">
        <f>10998.05</f>
        <v>10998.05</v>
      </c>
      <c r="D703">
        <f>27.1595</f>
        <v>27.159500000000001</v>
      </c>
      <c r="E703">
        <f>222</f>
        <v>222</v>
      </c>
      <c r="F703">
        <f>367.77</f>
        <v>367.77</v>
      </c>
      <c r="G703">
        <f>198.9009</f>
        <v>198.90090000000001</v>
      </c>
    </row>
    <row r="704" spans="1:7" x14ac:dyDescent="0.25">
      <c r="A704" s="1">
        <v>44089</v>
      </c>
      <c r="B704">
        <f>1954.15</f>
        <v>1954.15</v>
      </c>
      <c r="C704">
        <f>10867.34</f>
        <v>10867.34</v>
      </c>
      <c r="D704">
        <f>27.138</f>
        <v>27.138000000000002</v>
      </c>
      <c r="E704">
        <f>222</f>
        <v>222</v>
      </c>
      <c r="F704">
        <f>365.22</f>
        <v>365.22</v>
      </c>
      <c r="G704">
        <f>195.8511</f>
        <v>195.8511</v>
      </c>
    </row>
    <row r="705" spans="1:7" x14ac:dyDescent="0.25">
      <c r="A705" s="1">
        <v>44088</v>
      </c>
      <c r="B705">
        <f>1956.86</f>
        <v>1956.86</v>
      </c>
      <c r="C705">
        <f>10694.29</f>
        <v>10694.29</v>
      </c>
      <c r="D705">
        <f>27.1231</f>
        <v>27.123100000000001</v>
      </c>
      <c r="E705">
        <f>224</f>
        <v>224</v>
      </c>
      <c r="F705">
        <f>370.31</f>
        <v>370.31</v>
      </c>
      <c r="G705">
        <f>197.8147</f>
        <v>197.81469999999999</v>
      </c>
    </row>
    <row r="706" spans="1:7" x14ac:dyDescent="0.25">
      <c r="A706" s="1">
        <v>44087</v>
      </c>
      <c r="B706" t="e">
        <f>NA()</f>
        <v>#N/A</v>
      </c>
      <c r="C706">
        <f>10318.18</f>
        <v>10318.18</v>
      </c>
      <c r="D706" t="e">
        <f>NA()</f>
        <v>#N/A</v>
      </c>
      <c r="E706" t="e">
        <f>NA()</f>
        <v>#N/A</v>
      </c>
      <c r="F706" t="e">
        <f>NA()</f>
        <v>#N/A</v>
      </c>
      <c r="G706" t="e">
        <f>NA()</f>
        <v>#N/A</v>
      </c>
    </row>
    <row r="707" spans="1:7" x14ac:dyDescent="0.25">
      <c r="A707" s="1">
        <v>44086</v>
      </c>
      <c r="B707" t="e">
        <f>NA()</f>
        <v>#N/A</v>
      </c>
      <c r="C707">
        <f>10441.8</f>
        <v>10441.799999999999</v>
      </c>
      <c r="D707" t="e">
        <f>NA()</f>
        <v>#N/A</v>
      </c>
      <c r="E707" t="e">
        <f>NA()</f>
        <v>#N/A</v>
      </c>
      <c r="F707" t="e">
        <f>NA()</f>
        <v>#N/A</v>
      </c>
      <c r="G707" t="e">
        <f>NA()</f>
        <v>#N/A</v>
      </c>
    </row>
    <row r="708" spans="1:7" x14ac:dyDescent="0.25">
      <c r="A708" s="1">
        <v>44085</v>
      </c>
      <c r="B708">
        <f>1940.55</f>
        <v>1940.55</v>
      </c>
      <c r="C708">
        <f>10329.82</f>
        <v>10329.82</v>
      </c>
      <c r="D708">
        <f>26.73</f>
        <v>26.73</v>
      </c>
      <c r="E708">
        <f>224</f>
        <v>224</v>
      </c>
      <c r="F708">
        <f>367.77</f>
        <v>367.77</v>
      </c>
      <c r="G708">
        <f>197.0289</f>
        <v>197.02889999999999</v>
      </c>
    </row>
    <row r="709" spans="1:7" x14ac:dyDescent="0.25">
      <c r="A709" s="1">
        <v>44084</v>
      </c>
      <c r="B709">
        <f>1946.09</f>
        <v>1946.09</v>
      </c>
      <c r="C709">
        <f>10307.29</f>
        <v>10307.290000000001</v>
      </c>
      <c r="D709">
        <f>26.8771</f>
        <v>26.877099999999999</v>
      </c>
      <c r="E709">
        <f>224</f>
        <v>224</v>
      </c>
      <c r="F709">
        <f>372.01</f>
        <v>372.01</v>
      </c>
      <c r="G709">
        <f>195.547</f>
        <v>195.547</v>
      </c>
    </row>
    <row r="710" spans="1:7" x14ac:dyDescent="0.25">
      <c r="A710" s="1">
        <v>44083</v>
      </c>
      <c r="B710">
        <f>1946.84</f>
        <v>1946.84</v>
      </c>
      <c r="C710">
        <f>10259.62</f>
        <v>10259.620000000001</v>
      </c>
      <c r="D710">
        <f>26.9798</f>
        <v>26.979800000000001</v>
      </c>
      <c r="E710">
        <f>223</f>
        <v>223</v>
      </c>
      <c r="F710">
        <f>368.96</f>
        <v>368.96</v>
      </c>
      <c r="G710">
        <f>194.3302</f>
        <v>194.33019999999999</v>
      </c>
    </row>
    <row r="711" spans="1:7" x14ac:dyDescent="0.25">
      <c r="A711" s="1">
        <v>44082</v>
      </c>
      <c r="B711">
        <f>1932.03</f>
        <v>1932.03</v>
      </c>
      <c r="C711">
        <f>10016.81</f>
        <v>10016.81</v>
      </c>
      <c r="D711">
        <f>26.6705</f>
        <v>26.670500000000001</v>
      </c>
      <c r="E711">
        <f>223</f>
        <v>223</v>
      </c>
      <c r="F711">
        <f>369.3</f>
        <v>369.3</v>
      </c>
      <c r="G711">
        <f>194.164</f>
        <v>194.16399999999999</v>
      </c>
    </row>
    <row r="712" spans="1:7" x14ac:dyDescent="0.25">
      <c r="A712" s="1">
        <v>44081</v>
      </c>
      <c r="B712">
        <f>1933.64</f>
        <v>1933.64</v>
      </c>
      <c r="C712">
        <f>10154.11</f>
        <v>10154.11</v>
      </c>
      <c r="D712">
        <f>26.8322</f>
        <v>26.8322</v>
      </c>
      <c r="E712">
        <f>223</f>
        <v>223</v>
      </c>
      <c r="F712" t="e">
        <f>NA()</f>
        <v>#N/A</v>
      </c>
      <c r="G712" t="e">
        <f>NA()</f>
        <v>#N/A</v>
      </c>
    </row>
    <row r="713" spans="1:7" x14ac:dyDescent="0.25">
      <c r="A713" s="1">
        <v>44080</v>
      </c>
      <c r="B713" t="e">
        <f>NA()</f>
        <v>#N/A</v>
      </c>
      <c r="C713">
        <f>10236.79</f>
        <v>10236.790000000001</v>
      </c>
      <c r="D713" t="e">
        <f>NA()</f>
        <v>#N/A</v>
      </c>
      <c r="E713" t="e">
        <f>NA()</f>
        <v>#N/A</v>
      </c>
      <c r="F713" t="e">
        <f>NA()</f>
        <v>#N/A</v>
      </c>
      <c r="G713" t="e">
        <f>NA()</f>
        <v>#N/A</v>
      </c>
    </row>
    <row r="714" spans="1:7" x14ac:dyDescent="0.25">
      <c r="A714" s="1">
        <v>44079</v>
      </c>
      <c r="B714" t="e">
        <f>NA()</f>
        <v>#N/A</v>
      </c>
      <c r="C714">
        <f>10086.94</f>
        <v>10086.94</v>
      </c>
      <c r="D714" t="e">
        <f>NA()</f>
        <v>#N/A</v>
      </c>
      <c r="E714" t="e">
        <f>NA()</f>
        <v>#N/A</v>
      </c>
      <c r="F714" t="e">
        <f>NA()</f>
        <v>#N/A</v>
      </c>
      <c r="G714" t="e">
        <f>NA()</f>
        <v>#N/A</v>
      </c>
    </row>
    <row r="715" spans="1:7" x14ac:dyDescent="0.25">
      <c r="A715" s="1">
        <v>44078</v>
      </c>
      <c r="B715">
        <f>1933.94</f>
        <v>1933.94</v>
      </c>
      <c r="C715">
        <f>10606.46</f>
        <v>10606.46</v>
      </c>
      <c r="D715">
        <f>26.9105</f>
        <v>26.910499999999999</v>
      </c>
      <c r="E715">
        <f>223</f>
        <v>223</v>
      </c>
      <c r="F715">
        <f>373.37</f>
        <v>373.37</v>
      </c>
      <c r="G715">
        <f>193.6201</f>
        <v>193.62010000000001</v>
      </c>
    </row>
    <row r="716" spans="1:7" x14ac:dyDescent="0.25">
      <c r="A716" s="1">
        <v>44077</v>
      </c>
      <c r="B716">
        <f>1930.91</f>
        <v>1930.91</v>
      </c>
      <c r="C716">
        <f>10785.86</f>
        <v>10785.86</v>
      </c>
      <c r="D716">
        <f>26.586</f>
        <v>26.585999999999999</v>
      </c>
      <c r="E716">
        <f>225</f>
        <v>225</v>
      </c>
      <c r="F716">
        <f>375.4</f>
        <v>375.4</v>
      </c>
      <c r="G716">
        <f>193.0089</f>
        <v>193.00890000000001</v>
      </c>
    </row>
    <row r="717" spans="1:7" x14ac:dyDescent="0.25">
      <c r="A717" s="1">
        <v>44076</v>
      </c>
      <c r="B717">
        <f>1942.92</f>
        <v>1942.92</v>
      </c>
      <c r="C717">
        <f>11375.47</f>
        <v>11375.47</v>
      </c>
      <c r="D717">
        <f>27.4475</f>
        <v>27.447500000000002</v>
      </c>
      <c r="E717">
        <f>228</f>
        <v>228</v>
      </c>
      <c r="F717">
        <f>378.8</f>
        <v>378.8</v>
      </c>
      <c r="G717">
        <f>194.1235</f>
        <v>194.12350000000001</v>
      </c>
    </row>
    <row r="718" spans="1:7" x14ac:dyDescent="0.25">
      <c r="A718" s="1">
        <v>44075</v>
      </c>
      <c r="B718">
        <f>1970.18</f>
        <v>1970.18</v>
      </c>
      <c r="C718">
        <f>12022.35</f>
        <v>12022.35</v>
      </c>
      <c r="D718">
        <f>28.111</f>
        <v>28.111000000000001</v>
      </c>
      <c r="E718">
        <f>228</f>
        <v>228</v>
      </c>
      <c r="F718">
        <f>382.7</f>
        <v>382.7</v>
      </c>
      <c r="G718">
        <f>194.0826</f>
        <v>194.08260000000001</v>
      </c>
    </row>
    <row r="719" spans="1:7" x14ac:dyDescent="0.25">
      <c r="A719" s="1">
        <v>44074</v>
      </c>
      <c r="B719">
        <f>1967.8</f>
        <v>1967.8</v>
      </c>
      <c r="C719">
        <f>11678.6</f>
        <v>11678.6</v>
      </c>
      <c r="D719">
        <f>28.1428</f>
        <v>28.142800000000001</v>
      </c>
      <c r="E719">
        <f>228</f>
        <v>228</v>
      </c>
      <c r="F719">
        <f>374.72</f>
        <v>374.72</v>
      </c>
      <c r="G719">
        <f>192.7498</f>
        <v>192.74979999999999</v>
      </c>
    </row>
    <row r="720" spans="1:7" x14ac:dyDescent="0.25">
      <c r="A720" s="1">
        <v>44073</v>
      </c>
      <c r="B720" t="e">
        <f>NA()</f>
        <v>#N/A</v>
      </c>
      <c r="C720">
        <f>11640.79</f>
        <v>11640.79</v>
      </c>
      <c r="D720" t="e">
        <f>NA()</f>
        <v>#N/A</v>
      </c>
      <c r="E720" t="e">
        <f>NA()</f>
        <v>#N/A</v>
      </c>
      <c r="F720" t="e">
        <f>NA()</f>
        <v>#N/A</v>
      </c>
      <c r="G720" t="e">
        <f>NA()</f>
        <v>#N/A</v>
      </c>
    </row>
    <row r="721" spans="1:7" x14ac:dyDescent="0.25">
      <c r="A721" s="1">
        <v>44072</v>
      </c>
      <c r="B721" t="e">
        <f>NA()</f>
        <v>#N/A</v>
      </c>
      <c r="C721">
        <f>11518.05</f>
        <v>11518.05</v>
      </c>
      <c r="D721" t="e">
        <f>NA()</f>
        <v>#N/A</v>
      </c>
      <c r="E721" t="e">
        <f>NA()</f>
        <v>#N/A</v>
      </c>
      <c r="F721" t="e">
        <f>NA()</f>
        <v>#N/A</v>
      </c>
      <c r="G721" t="e">
        <f>NA()</f>
        <v>#N/A</v>
      </c>
    </row>
    <row r="722" spans="1:7" x14ac:dyDescent="0.25">
      <c r="A722" s="1">
        <v>44071</v>
      </c>
      <c r="B722">
        <f>1964.83</f>
        <v>1964.83</v>
      </c>
      <c r="C722">
        <f>11502.58</f>
        <v>11502.58</v>
      </c>
      <c r="D722">
        <f>27.503</f>
        <v>27.503</v>
      </c>
      <c r="E722">
        <f>228</f>
        <v>228</v>
      </c>
      <c r="F722">
        <f>372.35</f>
        <v>372.35</v>
      </c>
      <c r="G722">
        <f>192.4557</f>
        <v>192.45570000000001</v>
      </c>
    </row>
    <row r="723" spans="1:7" x14ac:dyDescent="0.25">
      <c r="A723" s="1">
        <v>44070</v>
      </c>
      <c r="B723">
        <f>1929.54</f>
        <v>1929.54</v>
      </c>
      <c r="C723">
        <f>11267.05</f>
        <v>11267.05</v>
      </c>
      <c r="D723">
        <f>27.0161</f>
        <v>27.016100000000002</v>
      </c>
      <c r="E723">
        <f>228</f>
        <v>228</v>
      </c>
      <c r="F723">
        <f>373.71</f>
        <v>373.71</v>
      </c>
      <c r="G723">
        <f>191.8271</f>
        <v>191.8271</v>
      </c>
    </row>
    <row r="724" spans="1:7" x14ac:dyDescent="0.25">
      <c r="A724" s="1">
        <v>44069</v>
      </c>
      <c r="B724">
        <f>1954.46</f>
        <v>1954.46</v>
      </c>
      <c r="C724">
        <f>11513.5</f>
        <v>11513.5</v>
      </c>
      <c r="D724">
        <f>27.4998</f>
        <v>27.4998</v>
      </c>
      <c r="E724">
        <f>222</f>
        <v>222</v>
      </c>
      <c r="F724">
        <f>366.24</f>
        <v>366.24</v>
      </c>
      <c r="G724">
        <f>188.5571</f>
        <v>188.55709999999999</v>
      </c>
    </row>
    <row r="725" spans="1:7" x14ac:dyDescent="0.25">
      <c r="A725" s="1">
        <v>44068</v>
      </c>
      <c r="B725">
        <f>1928.18</f>
        <v>1928.18</v>
      </c>
      <c r="C725">
        <f>11265.47</f>
        <v>11265.47</v>
      </c>
      <c r="D725">
        <f>26.5342</f>
        <v>26.534199999999998</v>
      </c>
      <c r="E725">
        <f>222</f>
        <v>222</v>
      </c>
      <c r="F725">
        <f>363.36</f>
        <v>363.36</v>
      </c>
      <c r="G725">
        <f>187.7992</f>
        <v>187.79920000000001</v>
      </c>
    </row>
    <row r="726" spans="1:7" x14ac:dyDescent="0.25">
      <c r="A726" s="1">
        <v>44067</v>
      </c>
      <c r="B726">
        <f>1928.88</f>
        <v>1928.88</v>
      </c>
      <c r="C726">
        <f>11731.2</f>
        <v>11731.2</v>
      </c>
      <c r="D726">
        <f>26.605</f>
        <v>26.605</v>
      </c>
      <c r="E726">
        <f>220</f>
        <v>220</v>
      </c>
      <c r="F726">
        <f>358.1</f>
        <v>358.1</v>
      </c>
      <c r="G726">
        <f>184.0762</f>
        <v>184.0762</v>
      </c>
    </row>
    <row r="727" spans="1:7" x14ac:dyDescent="0.25">
      <c r="A727" s="1">
        <v>44066</v>
      </c>
      <c r="B727" t="e">
        <f>NA()</f>
        <v>#N/A</v>
      </c>
      <c r="C727">
        <f>11669.22</f>
        <v>11669.22</v>
      </c>
      <c r="D727" t="e">
        <f>NA()</f>
        <v>#N/A</v>
      </c>
      <c r="E727" t="e">
        <f>NA()</f>
        <v>#N/A</v>
      </c>
      <c r="F727" t="e">
        <f>NA()</f>
        <v>#N/A</v>
      </c>
      <c r="G727" t="e">
        <f>NA()</f>
        <v>#N/A</v>
      </c>
    </row>
    <row r="728" spans="1:7" x14ac:dyDescent="0.25">
      <c r="A728" s="1">
        <v>44065</v>
      </c>
      <c r="B728" t="e">
        <f>NA()</f>
        <v>#N/A</v>
      </c>
      <c r="C728">
        <f>11608.04</f>
        <v>11608.04</v>
      </c>
      <c r="D728" t="e">
        <f>NA()</f>
        <v>#N/A</v>
      </c>
      <c r="E728" t="e">
        <f>NA()</f>
        <v>#N/A</v>
      </c>
      <c r="F728" t="e">
        <f>NA()</f>
        <v>#N/A</v>
      </c>
      <c r="G728" t="e">
        <f>NA()</f>
        <v>#N/A</v>
      </c>
    </row>
    <row r="729" spans="1:7" x14ac:dyDescent="0.25">
      <c r="A729" s="1">
        <v>44064</v>
      </c>
      <c r="B729">
        <f>1940.48</f>
        <v>1940.48</v>
      </c>
      <c r="C729">
        <f>11621.41</f>
        <v>11621.41</v>
      </c>
      <c r="D729">
        <f>26.7905</f>
        <v>26.790500000000002</v>
      </c>
      <c r="E729">
        <f>221</f>
        <v>221</v>
      </c>
      <c r="F729">
        <f>363.02</f>
        <v>363.02</v>
      </c>
      <c r="G729">
        <f>184.0601</f>
        <v>184.06010000000001</v>
      </c>
    </row>
    <row r="730" spans="1:7" x14ac:dyDescent="0.25">
      <c r="A730" s="1">
        <v>44063</v>
      </c>
      <c r="B730">
        <f>1947.26</f>
        <v>1947.26</v>
      </c>
      <c r="C730">
        <f>11863.08</f>
        <v>11863.08</v>
      </c>
      <c r="D730">
        <f>27.248</f>
        <v>27.248000000000001</v>
      </c>
      <c r="E730">
        <f>220</f>
        <v>220</v>
      </c>
      <c r="F730">
        <f>358.61</f>
        <v>358.61</v>
      </c>
      <c r="G730">
        <f>183.2671</f>
        <v>183.2671</v>
      </c>
    </row>
    <row r="731" spans="1:7" x14ac:dyDescent="0.25">
      <c r="A731" s="1">
        <v>44062</v>
      </c>
      <c r="B731">
        <f>1928.98</f>
        <v>1928.98</v>
      </c>
      <c r="C731">
        <f>11715.31</f>
        <v>11715.31</v>
      </c>
      <c r="D731">
        <f>26.7005</f>
        <v>26.700500000000002</v>
      </c>
      <c r="E731">
        <f>220</f>
        <v>220</v>
      </c>
      <c r="F731">
        <f>354.2</f>
        <v>354.2</v>
      </c>
      <c r="G731">
        <f>183.4169</f>
        <v>183.4169</v>
      </c>
    </row>
    <row r="732" spans="1:7" x14ac:dyDescent="0.25">
      <c r="A732" s="1">
        <v>44061</v>
      </c>
      <c r="B732">
        <f>2002.44</f>
        <v>2002.44</v>
      </c>
      <c r="C732">
        <f>12030.11</f>
        <v>12030.11</v>
      </c>
      <c r="D732">
        <f>27.6715</f>
        <v>27.671500000000002</v>
      </c>
      <c r="E732">
        <f>219</f>
        <v>219</v>
      </c>
      <c r="F732">
        <f>351.14</f>
        <v>351.14</v>
      </c>
      <c r="G732">
        <f>183.1769</f>
        <v>183.17689999999999</v>
      </c>
    </row>
    <row r="733" spans="1:7" x14ac:dyDescent="0.25">
      <c r="A733" s="1">
        <v>44060</v>
      </c>
      <c r="B733">
        <f>1985.3</f>
        <v>1985.3</v>
      </c>
      <c r="C733">
        <f>12327.23</f>
        <v>12327.23</v>
      </c>
      <c r="D733">
        <f>27.486</f>
        <v>27.486000000000001</v>
      </c>
      <c r="E733" t="e">
        <f>NA()</f>
        <v>#N/A</v>
      </c>
      <c r="F733">
        <f>357.08</f>
        <v>357.08</v>
      </c>
      <c r="G733">
        <f>184.7123</f>
        <v>184.7123</v>
      </c>
    </row>
    <row r="734" spans="1:7" x14ac:dyDescent="0.25">
      <c r="A734" s="1">
        <v>44059</v>
      </c>
      <c r="B734" t="e">
        <f>NA()</f>
        <v>#N/A</v>
      </c>
      <c r="C734">
        <f>11849.5</f>
        <v>11849.5</v>
      </c>
      <c r="D734" t="e">
        <f>NA()</f>
        <v>#N/A</v>
      </c>
      <c r="E734" t="e">
        <f>NA()</f>
        <v>#N/A</v>
      </c>
      <c r="F734" t="e">
        <f>NA()</f>
        <v>#N/A</v>
      </c>
      <c r="G734" t="e">
        <f>NA()</f>
        <v>#N/A</v>
      </c>
    </row>
    <row r="735" spans="1:7" x14ac:dyDescent="0.25">
      <c r="A735" s="1">
        <v>44058</v>
      </c>
      <c r="B735" t="e">
        <f>NA()</f>
        <v>#N/A</v>
      </c>
      <c r="C735">
        <f>11870.5</f>
        <v>11870.5</v>
      </c>
      <c r="D735" t="e">
        <f>NA()</f>
        <v>#N/A</v>
      </c>
      <c r="E735" t="e">
        <f>NA()</f>
        <v>#N/A</v>
      </c>
      <c r="F735" t="e">
        <f>NA()</f>
        <v>#N/A</v>
      </c>
      <c r="G735" t="e">
        <f>NA()</f>
        <v>#N/A</v>
      </c>
    </row>
    <row r="736" spans="1:7" x14ac:dyDescent="0.25">
      <c r="A736" s="1">
        <v>44057</v>
      </c>
      <c r="B736">
        <f>1945.12</f>
        <v>1945.12</v>
      </c>
      <c r="C736">
        <f>11770.13</f>
        <v>11770.13</v>
      </c>
      <c r="D736">
        <f>26.4463</f>
        <v>26.446300000000001</v>
      </c>
      <c r="E736">
        <f>216</f>
        <v>216</v>
      </c>
      <c r="F736">
        <f>345.72</f>
        <v>345.72</v>
      </c>
      <c r="G736">
        <f>180.6086</f>
        <v>180.6086</v>
      </c>
    </row>
    <row r="737" spans="1:7" x14ac:dyDescent="0.25">
      <c r="A737" s="1">
        <v>44056</v>
      </c>
      <c r="B737">
        <f>1953.71</f>
        <v>1953.71</v>
      </c>
      <c r="C737">
        <f>11615.32</f>
        <v>11615.32</v>
      </c>
      <c r="D737">
        <f>27.505</f>
        <v>27.504999999999999</v>
      </c>
      <c r="E737">
        <f>216</f>
        <v>216</v>
      </c>
      <c r="F737">
        <f>343.68</f>
        <v>343.68</v>
      </c>
      <c r="G737">
        <f>179.8877</f>
        <v>179.8877</v>
      </c>
    </row>
    <row r="738" spans="1:7" x14ac:dyDescent="0.25">
      <c r="A738" s="1">
        <v>44055</v>
      </c>
      <c r="B738">
        <f>1915.83</f>
        <v>1915.83</v>
      </c>
      <c r="C738">
        <f>11565.95</f>
        <v>11565.95</v>
      </c>
      <c r="D738">
        <f>25.512</f>
        <v>25.512</v>
      </c>
      <c r="E738">
        <f>212</f>
        <v>212</v>
      </c>
      <c r="F738">
        <f>338.08</f>
        <v>338.08</v>
      </c>
      <c r="G738">
        <f>175.1739</f>
        <v>175.1739</v>
      </c>
    </row>
    <row r="739" spans="1:7" x14ac:dyDescent="0.25">
      <c r="A739" s="1">
        <v>44054</v>
      </c>
      <c r="B739">
        <f>1911.89</f>
        <v>1911.89</v>
      </c>
      <c r="C739">
        <f>11212.89</f>
        <v>11212.89</v>
      </c>
      <c r="D739">
        <f>24.7931</f>
        <v>24.793099999999999</v>
      </c>
      <c r="E739">
        <f>213</f>
        <v>213</v>
      </c>
      <c r="F739">
        <f>339.44</f>
        <v>339.44</v>
      </c>
      <c r="G739">
        <f>173.3982</f>
        <v>173.3982</v>
      </c>
    </row>
    <row r="740" spans="1:7" x14ac:dyDescent="0.25">
      <c r="A740" s="1">
        <v>44053</v>
      </c>
      <c r="B740">
        <f>2027.34</f>
        <v>2027.34</v>
      </c>
      <c r="C740">
        <f>11859.27</f>
        <v>11859.27</v>
      </c>
      <c r="D740">
        <f>29.1295</f>
        <v>29.1295</v>
      </c>
      <c r="E740">
        <f>211</f>
        <v>211</v>
      </c>
      <c r="F740">
        <f>335.54</f>
        <v>335.54</v>
      </c>
      <c r="G740">
        <f>172.1818</f>
        <v>172.18180000000001</v>
      </c>
    </row>
    <row r="741" spans="1:7" x14ac:dyDescent="0.25">
      <c r="A741" s="1">
        <v>44052</v>
      </c>
      <c r="B741" t="e">
        <f>NA()</f>
        <v>#N/A</v>
      </c>
      <c r="C741">
        <f>11679.9</f>
        <v>11679.9</v>
      </c>
      <c r="D741" t="e">
        <f>NA()</f>
        <v>#N/A</v>
      </c>
      <c r="E741" t="e">
        <f>NA()</f>
        <v>#N/A</v>
      </c>
      <c r="F741" t="e">
        <f>NA()</f>
        <v>#N/A</v>
      </c>
      <c r="G741" t="e">
        <f>NA()</f>
        <v>#N/A</v>
      </c>
    </row>
    <row r="742" spans="1:7" x14ac:dyDescent="0.25">
      <c r="A742" s="1">
        <v>44051</v>
      </c>
      <c r="B742" t="e">
        <f>NA()</f>
        <v>#N/A</v>
      </c>
      <c r="C742">
        <f>11716.3</f>
        <v>11716.3</v>
      </c>
      <c r="D742" t="e">
        <f>NA()</f>
        <v>#N/A</v>
      </c>
      <c r="E742" t="e">
        <f>NA()</f>
        <v>#N/A</v>
      </c>
      <c r="F742" t="e">
        <f>NA()</f>
        <v>#N/A</v>
      </c>
      <c r="G742" t="e">
        <f>NA()</f>
        <v>#N/A</v>
      </c>
    </row>
    <row r="743" spans="1:7" x14ac:dyDescent="0.25">
      <c r="A743" s="1">
        <v>44050</v>
      </c>
      <c r="B743">
        <f>2035.55</f>
        <v>2035.55</v>
      </c>
      <c r="C743">
        <f>11575.83</f>
        <v>11575.83</v>
      </c>
      <c r="D743">
        <f>28.3009</f>
        <v>28.300899999999999</v>
      </c>
      <c r="E743">
        <f>211</f>
        <v>211</v>
      </c>
      <c r="F743">
        <f>337.3</f>
        <v>337.3</v>
      </c>
      <c r="G743">
        <f>170.9315</f>
        <v>170.9315</v>
      </c>
    </row>
    <row r="744" spans="1:7" x14ac:dyDescent="0.25">
      <c r="A744" s="1">
        <v>44049</v>
      </c>
      <c r="B744">
        <f>2063.54</f>
        <v>2063.54</v>
      </c>
      <c r="C744">
        <f>11851.58</f>
        <v>11851.58</v>
      </c>
      <c r="D744">
        <f>28.9215</f>
        <v>28.921500000000002</v>
      </c>
      <c r="E744">
        <f>211</f>
        <v>211</v>
      </c>
      <c r="F744">
        <f>340.12</f>
        <v>340.12</v>
      </c>
      <c r="G744">
        <f>172.8153</f>
        <v>172.81530000000001</v>
      </c>
    </row>
    <row r="745" spans="1:7" x14ac:dyDescent="0.25">
      <c r="A745" s="1">
        <v>44048</v>
      </c>
      <c r="B745">
        <f>2038.12</f>
        <v>2038.12</v>
      </c>
      <c r="C745">
        <f>11692.68</f>
        <v>11692.68</v>
      </c>
      <c r="D745">
        <f>26.9588</f>
        <v>26.9588</v>
      </c>
      <c r="E745">
        <f>211</f>
        <v>211</v>
      </c>
      <c r="F745">
        <f>346.56</f>
        <v>346.56</v>
      </c>
      <c r="G745">
        <f>173.8263</f>
        <v>173.8263</v>
      </c>
    </row>
    <row r="746" spans="1:7" x14ac:dyDescent="0.25">
      <c r="A746" s="1">
        <v>44047</v>
      </c>
      <c r="B746">
        <f>2019.21</f>
        <v>2019.21</v>
      </c>
      <c r="C746">
        <f>11214.45</f>
        <v>11214.45</v>
      </c>
      <c r="D746">
        <f>26.006</f>
        <v>26.006</v>
      </c>
      <c r="E746">
        <f>211</f>
        <v>211</v>
      </c>
      <c r="F746">
        <f>344.87</f>
        <v>344.87</v>
      </c>
      <c r="G746">
        <f>173.1996</f>
        <v>173.1996</v>
      </c>
    </row>
    <row r="747" spans="1:7" x14ac:dyDescent="0.25">
      <c r="A747" s="1">
        <v>44046</v>
      </c>
      <c r="B747">
        <f>1976.98</f>
        <v>1976.98</v>
      </c>
      <c r="C747">
        <f>11383.53</f>
        <v>11383.53</v>
      </c>
      <c r="D747">
        <f>24.2996</f>
        <v>24.299600000000002</v>
      </c>
      <c r="E747">
        <f>213</f>
        <v>213</v>
      </c>
      <c r="F747">
        <f>353.52</f>
        <v>353.52</v>
      </c>
      <c r="G747">
        <f>177.1872</f>
        <v>177.18719999999999</v>
      </c>
    </row>
    <row r="748" spans="1:7" x14ac:dyDescent="0.25">
      <c r="A748" s="1">
        <v>44045</v>
      </c>
      <c r="B748" t="e">
        <f>NA()</f>
        <v>#N/A</v>
      </c>
      <c r="C748">
        <f>11090.63</f>
        <v>11090.63</v>
      </c>
      <c r="D748" t="e">
        <f>NA()</f>
        <v>#N/A</v>
      </c>
      <c r="E748" t="e">
        <f>NA()</f>
        <v>#N/A</v>
      </c>
      <c r="F748" t="e">
        <f>NA()</f>
        <v>#N/A</v>
      </c>
      <c r="G748" t="e">
        <f>NA()</f>
        <v>#N/A</v>
      </c>
    </row>
    <row r="749" spans="1:7" x14ac:dyDescent="0.25">
      <c r="A749" s="1">
        <v>44044</v>
      </c>
      <c r="B749" t="e">
        <f>NA()</f>
        <v>#N/A</v>
      </c>
      <c r="C749">
        <f>11847.66</f>
        <v>11847.66</v>
      </c>
      <c r="D749" t="e">
        <f>NA()</f>
        <v>#N/A</v>
      </c>
      <c r="E749" t="e">
        <f>NA()</f>
        <v>#N/A</v>
      </c>
      <c r="F749" t="e">
        <f>NA()</f>
        <v>#N/A</v>
      </c>
      <c r="G749" t="e">
        <f>NA()</f>
        <v>#N/A</v>
      </c>
    </row>
    <row r="750" spans="1:7" x14ac:dyDescent="0.25">
      <c r="A750" s="1">
        <v>44043</v>
      </c>
      <c r="B750">
        <f>1975.86</f>
        <v>1975.86</v>
      </c>
      <c r="C750">
        <f>11345.63</f>
        <v>11345.63</v>
      </c>
      <c r="D750">
        <f>24.389</f>
        <v>24.388999999999999</v>
      </c>
      <c r="E750">
        <f>213</f>
        <v>213</v>
      </c>
      <c r="F750">
        <f>360.47</f>
        <v>360.47</v>
      </c>
      <c r="G750">
        <f>177.7814</f>
        <v>177.78139999999999</v>
      </c>
    </row>
    <row r="751" spans="1:7" x14ac:dyDescent="0.25">
      <c r="A751" s="1">
        <v>44042</v>
      </c>
      <c r="B751">
        <f>1956.64</f>
        <v>1956.64</v>
      </c>
      <c r="C751">
        <f>11150.47</f>
        <v>11150.47</v>
      </c>
      <c r="D751">
        <f>23.4975</f>
        <v>23.497499999999999</v>
      </c>
      <c r="E751">
        <f>215</f>
        <v>215</v>
      </c>
      <c r="F751">
        <f>359.29</f>
        <v>359.29</v>
      </c>
      <c r="G751">
        <f>177.2071</f>
        <v>177.2071</v>
      </c>
    </row>
    <row r="752" spans="1:7" x14ac:dyDescent="0.25">
      <c r="A752" s="1">
        <v>44041</v>
      </c>
      <c r="B752">
        <f>1970.79</f>
        <v>1970.79</v>
      </c>
      <c r="C752">
        <f>11222.15</f>
        <v>11222.15</v>
      </c>
      <c r="D752">
        <f>24.309</f>
        <v>24.309000000000001</v>
      </c>
      <c r="E752">
        <f>216</f>
        <v>216</v>
      </c>
      <c r="F752">
        <f>361.49</f>
        <v>361.49</v>
      </c>
      <c r="G752">
        <f>177.3825</f>
        <v>177.38249999999999</v>
      </c>
    </row>
    <row r="753" spans="1:7" x14ac:dyDescent="0.25">
      <c r="A753" s="1">
        <v>44040</v>
      </c>
      <c r="B753">
        <f>1958.43</f>
        <v>1958.43</v>
      </c>
      <c r="C753">
        <f>10981.18</f>
        <v>10981.18</v>
      </c>
      <c r="D753">
        <f>24.402</f>
        <v>24.402000000000001</v>
      </c>
      <c r="E753">
        <f>215</f>
        <v>215</v>
      </c>
      <c r="F753">
        <f>355.22</f>
        <v>355.22</v>
      </c>
      <c r="G753">
        <f>177.4121</f>
        <v>177.41210000000001</v>
      </c>
    </row>
    <row r="754" spans="1:7" x14ac:dyDescent="0.25">
      <c r="A754" s="1">
        <v>44039</v>
      </c>
      <c r="B754">
        <f>1942.24</f>
        <v>1942.24</v>
      </c>
      <c r="C754">
        <f>10891.81</f>
        <v>10891.81</v>
      </c>
      <c r="D754">
        <f>24.5882</f>
        <v>24.588200000000001</v>
      </c>
      <c r="E754">
        <f>216</f>
        <v>216</v>
      </c>
      <c r="F754">
        <f>358.1</f>
        <v>358.1</v>
      </c>
      <c r="G754">
        <f>179.641</f>
        <v>179.64099999999999</v>
      </c>
    </row>
    <row r="755" spans="1:7" x14ac:dyDescent="0.25">
      <c r="A755" s="1">
        <v>44038</v>
      </c>
      <c r="B755" t="e">
        <f>NA()</f>
        <v>#N/A</v>
      </c>
      <c r="C755">
        <f>9895.63</f>
        <v>9895.6299999999992</v>
      </c>
      <c r="D755" t="e">
        <f>NA()</f>
        <v>#N/A</v>
      </c>
      <c r="E755" t="e">
        <f>NA()</f>
        <v>#N/A</v>
      </c>
      <c r="F755" t="e">
        <f>NA()</f>
        <v>#N/A</v>
      </c>
      <c r="G755" t="e">
        <f>NA()</f>
        <v>#N/A</v>
      </c>
    </row>
    <row r="756" spans="1:7" x14ac:dyDescent="0.25">
      <c r="A756" s="1">
        <v>44037</v>
      </c>
      <c r="B756" t="e">
        <f>NA()</f>
        <v>#N/A</v>
      </c>
      <c r="C756">
        <f>9729.45</f>
        <v>9729.4500000000007</v>
      </c>
      <c r="D756" t="e">
        <f>NA()</f>
        <v>#N/A</v>
      </c>
      <c r="E756" t="e">
        <f>NA()</f>
        <v>#N/A</v>
      </c>
      <c r="F756" t="e">
        <f>NA()</f>
        <v>#N/A</v>
      </c>
      <c r="G756" t="e">
        <f>NA()</f>
        <v>#N/A</v>
      </c>
    </row>
    <row r="757" spans="1:7" x14ac:dyDescent="0.25">
      <c r="A757" s="1">
        <v>44036</v>
      </c>
      <c r="B757">
        <f>1902.02</f>
        <v>1902.02</v>
      </c>
      <c r="C757">
        <f>9629.62</f>
        <v>9629.6200000000008</v>
      </c>
      <c r="D757">
        <f>22.7664</f>
        <v>22.766400000000001</v>
      </c>
      <c r="E757">
        <f>216</f>
        <v>216</v>
      </c>
      <c r="F757">
        <f>366.07</f>
        <v>366.07</v>
      </c>
      <c r="G757">
        <f>181.0223</f>
        <v>181.0223</v>
      </c>
    </row>
    <row r="758" spans="1:7" x14ac:dyDescent="0.25">
      <c r="A758" s="1">
        <v>44035</v>
      </c>
      <c r="B758">
        <f>1887.44</f>
        <v>1887.44</v>
      </c>
      <c r="C758">
        <f>9593.77</f>
        <v>9593.77</v>
      </c>
      <c r="D758">
        <f>22.59</f>
        <v>22.59</v>
      </c>
      <c r="E758">
        <f>214</f>
        <v>214</v>
      </c>
      <c r="F758">
        <f>359.29</f>
        <v>359.29</v>
      </c>
      <c r="G758">
        <f>180.406</f>
        <v>180.40600000000001</v>
      </c>
    </row>
    <row r="759" spans="1:7" x14ac:dyDescent="0.25">
      <c r="A759" s="1">
        <v>44034</v>
      </c>
      <c r="B759">
        <f>1871.41</f>
        <v>1871.41</v>
      </c>
      <c r="C759">
        <f>9377.3</f>
        <v>9377.2999999999993</v>
      </c>
      <c r="D759">
        <f>22.996</f>
        <v>22.995999999999999</v>
      </c>
      <c r="E759" t="e">
        <f>NA()</f>
        <v>#N/A</v>
      </c>
      <c r="F759">
        <f>362.68</f>
        <v>362.68</v>
      </c>
      <c r="G759">
        <f>180.6013</f>
        <v>180.60130000000001</v>
      </c>
    </row>
    <row r="760" spans="1:7" x14ac:dyDescent="0.25">
      <c r="A760" s="1">
        <v>44033</v>
      </c>
      <c r="B760">
        <f>1841.91</f>
        <v>1841.91</v>
      </c>
      <c r="C760">
        <f>9376.53</f>
        <v>9376.5300000000007</v>
      </c>
      <c r="D760">
        <f>21.3037</f>
        <v>21.303699999999999</v>
      </c>
      <c r="E760">
        <f>213</f>
        <v>213</v>
      </c>
      <c r="F760">
        <f>358.1</f>
        <v>358.1</v>
      </c>
      <c r="G760">
        <f>178.8404</f>
        <v>178.84039999999999</v>
      </c>
    </row>
    <row r="761" spans="1:7" x14ac:dyDescent="0.25">
      <c r="A761" s="1">
        <v>44032</v>
      </c>
      <c r="B761">
        <f>1817.77</f>
        <v>1817.77</v>
      </c>
      <c r="C761">
        <f>9175.47</f>
        <v>9175.4699999999993</v>
      </c>
      <c r="D761">
        <f>19.9084</f>
        <v>19.9084</v>
      </c>
      <c r="E761">
        <f>213</f>
        <v>213</v>
      </c>
      <c r="F761">
        <f>354.2</f>
        <v>354.2</v>
      </c>
      <c r="G761">
        <f>179.7017</f>
        <v>179.70169999999999</v>
      </c>
    </row>
    <row r="762" spans="1:7" x14ac:dyDescent="0.25">
      <c r="A762" s="1">
        <v>44031</v>
      </c>
      <c r="B762" t="e">
        <f>NA()</f>
        <v>#N/A</v>
      </c>
      <c r="C762">
        <f>9171.94</f>
        <v>9171.94</v>
      </c>
      <c r="D762" t="e">
        <f>NA()</f>
        <v>#N/A</v>
      </c>
      <c r="E762" t="e">
        <f>NA()</f>
        <v>#N/A</v>
      </c>
      <c r="F762" t="e">
        <f>NA()</f>
        <v>#N/A</v>
      </c>
      <c r="G762" t="e">
        <f>NA()</f>
        <v>#N/A</v>
      </c>
    </row>
    <row r="763" spans="1:7" x14ac:dyDescent="0.25">
      <c r="A763" s="1">
        <v>44030</v>
      </c>
      <c r="B763" t="e">
        <f>NA()</f>
        <v>#N/A</v>
      </c>
      <c r="C763">
        <f>9179.26</f>
        <v>9179.26</v>
      </c>
      <c r="D763" t="e">
        <f>NA()</f>
        <v>#N/A</v>
      </c>
      <c r="E763" t="e">
        <f>NA()</f>
        <v>#N/A</v>
      </c>
      <c r="F763" t="e">
        <f>NA()</f>
        <v>#N/A</v>
      </c>
      <c r="G763" t="e">
        <f>NA()</f>
        <v>#N/A</v>
      </c>
    </row>
    <row r="764" spans="1:7" x14ac:dyDescent="0.25">
      <c r="A764" s="1">
        <v>44029</v>
      </c>
      <c r="B764">
        <f>1810.42</f>
        <v>1810.42</v>
      </c>
      <c r="C764">
        <f>9157.69</f>
        <v>9157.69</v>
      </c>
      <c r="D764">
        <f>19.3274</f>
        <v>19.327400000000001</v>
      </c>
      <c r="E764" t="e">
        <f>NA()</f>
        <v>#N/A</v>
      </c>
      <c r="F764">
        <f>362.85</f>
        <v>362.85</v>
      </c>
      <c r="G764">
        <f>181.6182</f>
        <v>181.6182</v>
      </c>
    </row>
    <row r="765" spans="1:7" x14ac:dyDescent="0.25">
      <c r="A765" s="1">
        <v>44028</v>
      </c>
      <c r="B765">
        <f>1797.16</f>
        <v>1797.16</v>
      </c>
      <c r="C765">
        <f>9103.61</f>
        <v>9103.61</v>
      </c>
      <c r="D765">
        <f>19.156</f>
        <v>19.155999999999999</v>
      </c>
      <c r="E765">
        <f>216</f>
        <v>216</v>
      </c>
      <c r="F765">
        <f>363.19</f>
        <v>363.19</v>
      </c>
      <c r="G765">
        <f>180.8448</f>
        <v>180.84479999999999</v>
      </c>
    </row>
    <row r="766" spans="1:7" x14ac:dyDescent="0.25">
      <c r="A766" s="1">
        <v>44027</v>
      </c>
      <c r="B766">
        <f>1810.29</f>
        <v>1810.29</v>
      </c>
      <c r="C766">
        <f>9213.7</f>
        <v>9213.7000000000007</v>
      </c>
      <c r="D766">
        <f>19.4168</f>
        <v>19.416799999999999</v>
      </c>
      <c r="E766">
        <f>214</f>
        <v>214</v>
      </c>
      <c r="F766">
        <f>373.71</f>
        <v>373.71</v>
      </c>
      <c r="G766">
        <f>180.9602</f>
        <v>180.96019999999999</v>
      </c>
    </row>
    <row r="767" spans="1:7" x14ac:dyDescent="0.25">
      <c r="A767" s="1">
        <v>44026</v>
      </c>
      <c r="B767">
        <f>1809.36</f>
        <v>1809.36</v>
      </c>
      <c r="C767">
        <f>9272.83</f>
        <v>9272.83</v>
      </c>
      <c r="D767">
        <f>19.2164</f>
        <v>19.2164</v>
      </c>
      <c r="E767">
        <f>211</f>
        <v>211</v>
      </c>
      <c r="F767">
        <f>357.42</f>
        <v>357.42</v>
      </c>
      <c r="G767">
        <f>178.2304</f>
        <v>178.2304</v>
      </c>
    </row>
    <row r="768" spans="1:7" x14ac:dyDescent="0.25">
      <c r="A768" s="1">
        <v>44025</v>
      </c>
      <c r="B768">
        <f>1802.76</f>
        <v>1802.76</v>
      </c>
      <c r="C768">
        <f>9249.8</f>
        <v>9249.7999999999993</v>
      </c>
      <c r="D768">
        <f>19.0751</f>
        <v>19.075099999999999</v>
      </c>
      <c r="E768">
        <f>211</f>
        <v>211</v>
      </c>
      <c r="F768">
        <f>356.06</f>
        <v>356.06</v>
      </c>
      <c r="G768">
        <f>178.7023</f>
        <v>178.70230000000001</v>
      </c>
    </row>
    <row r="769" spans="1:7" x14ac:dyDescent="0.25">
      <c r="A769" s="1">
        <v>44024</v>
      </c>
      <c r="B769" t="e">
        <f>NA()</f>
        <v>#N/A</v>
      </c>
      <c r="C769">
        <f>9232.34</f>
        <v>9232.34</v>
      </c>
      <c r="D769" t="e">
        <f>NA()</f>
        <v>#N/A</v>
      </c>
      <c r="E769" t="e">
        <f>NA()</f>
        <v>#N/A</v>
      </c>
      <c r="F769" t="e">
        <f>NA()</f>
        <v>#N/A</v>
      </c>
      <c r="G769" t="e">
        <f>NA()</f>
        <v>#N/A</v>
      </c>
    </row>
    <row r="770" spans="1:7" x14ac:dyDescent="0.25">
      <c r="A770" s="1">
        <v>44023</v>
      </c>
      <c r="B770" t="e">
        <f>NA()</f>
        <v>#N/A</v>
      </c>
      <c r="C770">
        <f>9217.05</f>
        <v>9217.0499999999993</v>
      </c>
      <c r="D770" t="e">
        <f>NA()</f>
        <v>#N/A</v>
      </c>
      <c r="E770" t="e">
        <f>NA()</f>
        <v>#N/A</v>
      </c>
      <c r="F770" t="e">
        <f>NA()</f>
        <v>#N/A</v>
      </c>
      <c r="G770" t="e">
        <f>NA()</f>
        <v>#N/A</v>
      </c>
    </row>
    <row r="771" spans="1:7" x14ac:dyDescent="0.25">
      <c r="A771" s="1">
        <v>44022</v>
      </c>
      <c r="B771">
        <f>1798.7</f>
        <v>1798.7</v>
      </c>
      <c r="C771">
        <f>9235.1</f>
        <v>9235.1</v>
      </c>
      <c r="D771">
        <f>18.7202</f>
        <v>18.720199999999998</v>
      </c>
      <c r="E771" t="e">
        <f>NA()</f>
        <v>#N/A</v>
      </c>
      <c r="F771">
        <f>362.34</f>
        <v>362.34</v>
      </c>
      <c r="G771">
        <f>182.1735</f>
        <v>182.17349999999999</v>
      </c>
    </row>
    <row r="772" spans="1:7" x14ac:dyDescent="0.25">
      <c r="A772" s="1">
        <v>44021</v>
      </c>
      <c r="B772">
        <f>1803.55</f>
        <v>1803.55</v>
      </c>
      <c r="C772">
        <f>9237.04</f>
        <v>9237.0400000000009</v>
      </c>
      <c r="D772">
        <f>18.6505</f>
        <v>18.650500000000001</v>
      </c>
      <c r="E772" t="e">
        <f>NA()</f>
        <v>#N/A</v>
      </c>
      <c r="F772">
        <f>356.23</f>
        <v>356.23</v>
      </c>
      <c r="G772">
        <f>184.6812</f>
        <v>184.68119999999999</v>
      </c>
    </row>
    <row r="773" spans="1:7" x14ac:dyDescent="0.25">
      <c r="A773" s="1">
        <v>44020</v>
      </c>
      <c r="B773">
        <f>1808.89</f>
        <v>1808.89</v>
      </c>
      <c r="C773">
        <f>9430.25</f>
        <v>9430.25</v>
      </c>
      <c r="D773">
        <f>18.7204</f>
        <v>18.720400000000001</v>
      </c>
      <c r="E773">
        <f>211</f>
        <v>211</v>
      </c>
      <c r="F773">
        <f>350.47</f>
        <v>350.47</v>
      </c>
      <c r="G773">
        <f>183.3237</f>
        <v>183.3237</v>
      </c>
    </row>
    <row r="774" spans="1:7" x14ac:dyDescent="0.25">
      <c r="A774" s="1">
        <v>44019</v>
      </c>
      <c r="B774">
        <f>1794.86</f>
        <v>1794.86</v>
      </c>
      <c r="C774">
        <f>9254.79</f>
        <v>9254.7900000000009</v>
      </c>
      <c r="D774">
        <f>18.2726</f>
        <v>18.272600000000001</v>
      </c>
      <c r="E774">
        <f>209</f>
        <v>209</v>
      </c>
      <c r="F774">
        <f>336.05</f>
        <v>336.05</v>
      </c>
      <c r="G774">
        <f>181.134</f>
        <v>181.13399999999999</v>
      </c>
    </row>
    <row r="775" spans="1:7" x14ac:dyDescent="0.25">
      <c r="A775" s="1">
        <v>44018</v>
      </c>
      <c r="B775">
        <f>1784.68</f>
        <v>1784.68</v>
      </c>
      <c r="C775">
        <f>9277.06</f>
        <v>9277.06</v>
      </c>
      <c r="D775">
        <f>18.2727</f>
        <v>18.2727</v>
      </c>
      <c r="E775">
        <f>208</f>
        <v>208</v>
      </c>
      <c r="F775">
        <f>334.69</f>
        <v>334.69</v>
      </c>
      <c r="G775">
        <f>181.747</f>
        <v>181.74700000000001</v>
      </c>
    </row>
    <row r="776" spans="1:7" x14ac:dyDescent="0.25">
      <c r="A776" s="1">
        <v>44017</v>
      </c>
      <c r="B776" t="e">
        <f>NA()</f>
        <v>#N/A</v>
      </c>
      <c r="C776">
        <f>9013.96</f>
        <v>9013.9599999999991</v>
      </c>
      <c r="D776" t="e">
        <f>NA()</f>
        <v>#N/A</v>
      </c>
      <c r="E776" t="e">
        <f>NA()</f>
        <v>#N/A</v>
      </c>
      <c r="F776" t="e">
        <f>NA()</f>
        <v>#N/A</v>
      </c>
      <c r="G776" t="e">
        <f>NA()</f>
        <v>#N/A</v>
      </c>
    </row>
    <row r="777" spans="1:7" x14ac:dyDescent="0.25">
      <c r="A777" s="1">
        <v>44016</v>
      </c>
      <c r="B777" t="e">
        <f>NA()</f>
        <v>#N/A</v>
      </c>
      <c r="C777">
        <f>9131.21</f>
        <v>9131.2099999999991</v>
      </c>
      <c r="D777" t="e">
        <f>NA()</f>
        <v>#N/A</v>
      </c>
      <c r="E777" t="e">
        <f>NA()</f>
        <v>#N/A</v>
      </c>
      <c r="F777" t="e">
        <f>NA()</f>
        <v>#N/A</v>
      </c>
      <c r="G777" t="e">
        <f>NA()</f>
        <v>#N/A</v>
      </c>
    </row>
    <row r="778" spans="1:7" x14ac:dyDescent="0.25">
      <c r="A778" s="1">
        <v>44015</v>
      </c>
      <c r="B778">
        <f>1775.95</f>
        <v>1775.95</v>
      </c>
      <c r="C778">
        <f>9092.7</f>
        <v>9092.7000000000007</v>
      </c>
      <c r="D778">
        <f>18.0214</f>
        <v>18.0214</v>
      </c>
      <c r="E778">
        <f>207</f>
        <v>207</v>
      </c>
      <c r="F778" t="e">
        <f>NA()</f>
        <v>#N/A</v>
      </c>
      <c r="G778" t="e">
        <f>NA()</f>
        <v>#N/A</v>
      </c>
    </row>
    <row r="779" spans="1:7" x14ac:dyDescent="0.25">
      <c r="A779" s="1">
        <v>44014</v>
      </c>
      <c r="B779">
        <f>1775.38</f>
        <v>1775.38</v>
      </c>
      <c r="C779">
        <f>9082.38</f>
        <v>9082.3799999999992</v>
      </c>
      <c r="D779">
        <f>17.9566</f>
        <v>17.956600000000002</v>
      </c>
      <c r="E779">
        <f>206</f>
        <v>206</v>
      </c>
      <c r="F779">
        <f>333.84</f>
        <v>333.84</v>
      </c>
      <c r="G779">
        <f>180.2304</f>
        <v>180.2304</v>
      </c>
    </row>
    <row r="780" spans="1:7" x14ac:dyDescent="0.25">
      <c r="A780" s="1">
        <v>44013</v>
      </c>
      <c r="B780">
        <f>1770.09</f>
        <v>1770.09</v>
      </c>
      <c r="C780">
        <f>9239.05</f>
        <v>9239.0499999999993</v>
      </c>
      <c r="D780">
        <f>18.0119</f>
        <v>18.011900000000001</v>
      </c>
      <c r="E780">
        <f>206</f>
        <v>206</v>
      </c>
      <c r="F780">
        <f>338.42</f>
        <v>338.42</v>
      </c>
      <c r="G780">
        <f>182.4989</f>
        <v>182.49889999999999</v>
      </c>
    </row>
    <row r="781" spans="1:7" x14ac:dyDescent="0.25">
      <c r="A781" s="1">
        <v>44012</v>
      </c>
      <c r="B781">
        <f>1780.96</f>
        <v>1780.96</v>
      </c>
      <c r="C781">
        <f>9147.09</f>
        <v>9147.09</v>
      </c>
      <c r="D781">
        <f>18.207</f>
        <v>18.207000000000001</v>
      </c>
      <c r="E781" t="e">
        <f>NA()</f>
        <v>#N/A</v>
      </c>
      <c r="F781">
        <f>333.67</f>
        <v>333.67</v>
      </c>
      <c r="G781">
        <f>178.9957</f>
        <v>178.9957</v>
      </c>
    </row>
    <row r="782" spans="1:7" x14ac:dyDescent="0.25">
      <c r="A782" s="1">
        <v>44011</v>
      </c>
      <c r="B782">
        <f>1772.82</f>
        <v>1772.82</v>
      </c>
      <c r="C782">
        <f>9180.36</f>
        <v>9180.36</v>
      </c>
      <c r="D782">
        <f>17.8581</f>
        <v>17.8581</v>
      </c>
      <c r="E782">
        <f>206</f>
        <v>206</v>
      </c>
      <c r="F782">
        <f>330.11</f>
        <v>330.11</v>
      </c>
      <c r="G782">
        <f>174.6077</f>
        <v>174.60769999999999</v>
      </c>
    </row>
    <row r="783" spans="1:7" x14ac:dyDescent="0.25">
      <c r="A783" s="1">
        <v>44010</v>
      </c>
      <c r="B783" t="e">
        <f>NA()</f>
        <v>#N/A</v>
      </c>
      <c r="C783">
        <f>9109.76</f>
        <v>9109.76</v>
      </c>
      <c r="D783" t="e">
        <f>NA()</f>
        <v>#N/A</v>
      </c>
      <c r="E783" t="e">
        <f>NA()</f>
        <v>#N/A</v>
      </c>
      <c r="F783" t="e">
        <f>NA()</f>
        <v>#N/A</v>
      </c>
      <c r="G783" t="e">
        <f>NA()</f>
        <v>#N/A</v>
      </c>
    </row>
    <row r="784" spans="1:7" x14ac:dyDescent="0.25">
      <c r="A784" s="1">
        <v>44009</v>
      </c>
      <c r="B784" t="e">
        <f>NA()</f>
        <v>#N/A</v>
      </c>
      <c r="C784">
        <f>8946.51</f>
        <v>8946.51</v>
      </c>
      <c r="D784" t="e">
        <f>NA()</f>
        <v>#N/A</v>
      </c>
      <c r="E784" t="e">
        <f>NA()</f>
        <v>#N/A</v>
      </c>
      <c r="F784" t="e">
        <f>NA()</f>
        <v>#N/A</v>
      </c>
      <c r="G784" t="e">
        <f>NA()</f>
        <v>#N/A</v>
      </c>
    </row>
    <row r="785" spans="1:7" x14ac:dyDescent="0.25">
      <c r="A785" s="1">
        <v>44008</v>
      </c>
      <c r="B785">
        <f>1771.29</f>
        <v>1771.29</v>
      </c>
      <c r="C785">
        <f>9190.26</f>
        <v>9190.26</v>
      </c>
      <c r="D785">
        <f>17.805</f>
        <v>17.805</v>
      </c>
      <c r="E785" t="e">
        <f>NA()</f>
        <v>#N/A</v>
      </c>
      <c r="F785">
        <f>322.82</f>
        <v>322.82</v>
      </c>
      <c r="G785">
        <f>171.7471</f>
        <v>171.74709999999999</v>
      </c>
    </row>
    <row r="786" spans="1:7" x14ac:dyDescent="0.25">
      <c r="A786" s="1">
        <v>44007</v>
      </c>
      <c r="B786">
        <f>1763.79</f>
        <v>1763.79</v>
      </c>
      <c r="C786">
        <f>9275.81</f>
        <v>9275.81</v>
      </c>
      <c r="D786">
        <f>17.8025</f>
        <v>17.802499999999998</v>
      </c>
      <c r="E786">
        <f>207</f>
        <v>207</v>
      </c>
      <c r="F786">
        <f>331.3</f>
        <v>331.3</v>
      </c>
      <c r="G786">
        <f>173.7306</f>
        <v>173.73060000000001</v>
      </c>
    </row>
    <row r="787" spans="1:7" x14ac:dyDescent="0.25">
      <c r="A787" s="1">
        <v>44006</v>
      </c>
      <c r="B787">
        <f>1761.17</f>
        <v>1761.17</v>
      </c>
      <c r="C787">
        <f>9288.58</f>
        <v>9288.58</v>
      </c>
      <c r="D787">
        <f>17.5011</f>
        <v>17.501100000000001</v>
      </c>
      <c r="E787">
        <f>208</f>
        <v>208</v>
      </c>
      <c r="F787">
        <f>329.6</f>
        <v>329.6</v>
      </c>
      <c r="G787">
        <f>174.9797</f>
        <v>174.97970000000001</v>
      </c>
    </row>
    <row r="788" spans="1:7" x14ac:dyDescent="0.25">
      <c r="A788" s="1">
        <v>44005</v>
      </c>
      <c r="B788">
        <f>1768.41</f>
        <v>1768.41</v>
      </c>
      <c r="C788">
        <f>9629.89</f>
        <v>9629.89</v>
      </c>
      <c r="D788">
        <f>17.9449</f>
        <v>17.944900000000001</v>
      </c>
      <c r="E788">
        <f>207</f>
        <v>207</v>
      </c>
      <c r="F788">
        <f>333.16</f>
        <v>333.16</v>
      </c>
      <c r="G788">
        <f>176.1488</f>
        <v>176.14879999999999</v>
      </c>
    </row>
    <row r="789" spans="1:7" x14ac:dyDescent="0.25">
      <c r="A789" s="1">
        <v>44004</v>
      </c>
      <c r="B789">
        <f>1754.43</f>
        <v>1754.43</v>
      </c>
      <c r="C789">
        <f>9645.06</f>
        <v>9645.06</v>
      </c>
      <c r="D789">
        <f>17.712</f>
        <v>17.712</v>
      </c>
      <c r="E789">
        <f>207</f>
        <v>207</v>
      </c>
      <c r="F789">
        <f>332.15</f>
        <v>332.15</v>
      </c>
      <c r="G789">
        <f>177.035</f>
        <v>177.035</v>
      </c>
    </row>
    <row r="790" spans="1:7" x14ac:dyDescent="0.25">
      <c r="A790" s="1">
        <v>44003</v>
      </c>
      <c r="B790" t="e">
        <f>NA()</f>
        <v>#N/A</v>
      </c>
      <c r="C790">
        <f>9310.9</f>
        <v>9310.9</v>
      </c>
      <c r="D790" t="e">
        <f>NA()</f>
        <v>#N/A</v>
      </c>
      <c r="E790" t="e">
        <f>NA()</f>
        <v>#N/A</v>
      </c>
      <c r="F790" t="e">
        <f>NA()</f>
        <v>#N/A</v>
      </c>
      <c r="G790" t="e">
        <f>NA()</f>
        <v>#N/A</v>
      </c>
    </row>
    <row r="791" spans="1:7" x14ac:dyDescent="0.25">
      <c r="A791" s="1">
        <v>44002</v>
      </c>
      <c r="B791" t="e">
        <f>NA()</f>
        <v>#N/A</v>
      </c>
      <c r="C791">
        <f>9318.47</f>
        <v>9318.4699999999993</v>
      </c>
      <c r="D791" t="e">
        <f>NA()</f>
        <v>#N/A</v>
      </c>
      <c r="E791" t="e">
        <f>NA()</f>
        <v>#N/A</v>
      </c>
      <c r="F791" t="e">
        <f>NA()</f>
        <v>#N/A</v>
      </c>
      <c r="G791" t="e">
        <f>NA()</f>
        <v>#N/A</v>
      </c>
    </row>
    <row r="792" spans="1:7" x14ac:dyDescent="0.25">
      <c r="A792" s="1">
        <v>44001</v>
      </c>
      <c r="B792">
        <f>1743.87</f>
        <v>1743.87</v>
      </c>
      <c r="C792">
        <f>9315.35</f>
        <v>9315.35</v>
      </c>
      <c r="D792">
        <f>17.6245</f>
        <v>17.624500000000001</v>
      </c>
      <c r="E792">
        <f>207</f>
        <v>207</v>
      </c>
      <c r="F792">
        <f>329.26</f>
        <v>329.26</v>
      </c>
      <c r="G792">
        <f>177.5148</f>
        <v>177.51480000000001</v>
      </c>
    </row>
    <row r="793" spans="1:7" x14ac:dyDescent="0.25">
      <c r="A793" s="1">
        <v>44000</v>
      </c>
      <c r="B793">
        <f>1722.93</f>
        <v>1722.93</v>
      </c>
      <c r="C793">
        <f>9343.09</f>
        <v>9343.09</v>
      </c>
      <c r="D793">
        <f>17.383</f>
        <v>17.382999999999999</v>
      </c>
      <c r="E793">
        <f>207</f>
        <v>207</v>
      </c>
      <c r="F793">
        <f>331.64</f>
        <v>331.64</v>
      </c>
      <c r="G793">
        <f>177.0964</f>
        <v>177.09639999999999</v>
      </c>
    </row>
    <row r="794" spans="1:7" x14ac:dyDescent="0.25">
      <c r="A794" s="1">
        <v>43999</v>
      </c>
      <c r="B794">
        <f>1726.95</f>
        <v>1726.95</v>
      </c>
      <c r="C794">
        <f>9374.04</f>
        <v>9374.0400000000009</v>
      </c>
      <c r="D794">
        <f>17.505</f>
        <v>17.504999999999999</v>
      </c>
      <c r="E794">
        <f>207</f>
        <v>207</v>
      </c>
      <c r="F794">
        <f>335.2</f>
        <v>335.2</v>
      </c>
      <c r="G794">
        <f>177.5607</f>
        <v>177.5607</v>
      </c>
    </row>
    <row r="795" spans="1:7" x14ac:dyDescent="0.25">
      <c r="A795" s="1">
        <v>43998</v>
      </c>
      <c r="B795">
        <f>1726.53</f>
        <v>1726.53</v>
      </c>
      <c r="C795">
        <f>9494.7</f>
        <v>9494.7000000000007</v>
      </c>
      <c r="D795">
        <f>17.4569</f>
        <v>17.456900000000001</v>
      </c>
      <c r="E795">
        <f>208</f>
        <v>208</v>
      </c>
      <c r="F795">
        <f>340.12</f>
        <v>340.12</v>
      </c>
      <c r="G795">
        <f>177.8878</f>
        <v>177.8878</v>
      </c>
    </row>
    <row r="796" spans="1:7" x14ac:dyDescent="0.25">
      <c r="A796" s="1">
        <v>43997</v>
      </c>
      <c r="B796">
        <f>1725.16</f>
        <v>1725.16</v>
      </c>
      <c r="C796">
        <f>9481.06</f>
        <v>9481.06</v>
      </c>
      <c r="D796">
        <f>17.3828</f>
        <v>17.3828</v>
      </c>
      <c r="E796" t="e">
        <f>NA()</f>
        <v>#N/A</v>
      </c>
      <c r="F796">
        <f>345.89</f>
        <v>345.89</v>
      </c>
      <c r="G796">
        <f>178.8724</f>
        <v>178.8724</v>
      </c>
    </row>
    <row r="797" spans="1:7" x14ac:dyDescent="0.25">
      <c r="A797" s="1">
        <v>43996</v>
      </c>
      <c r="B797" t="e">
        <f>NA()</f>
        <v>#N/A</v>
      </c>
      <c r="C797">
        <f>9382.05</f>
        <v>9382.0499999999993</v>
      </c>
      <c r="D797" t="e">
        <f>NA()</f>
        <v>#N/A</v>
      </c>
      <c r="E797" t="e">
        <f>NA()</f>
        <v>#N/A</v>
      </c>
      <c r="F797" t="e">
        <f>NA()</f>
        <v>#N/A</v>
      </c>
      <c r="G797" t="e">
        <f>NA()</f>
        <v>#N/A</v>
      </c>
    </row>
    <row r="798" spans="1:7" x14ac:dyDescent="0.25">
      <c r="A798" s="1">
        <v>43995</v>
      </c>
      <c r="B798" t="e">
        <f>NA()</f>
        <v>#N/A</v>
      </c>
      <c r="C798">
        <f>9403.53</f>
        <v>9403.5300000000007</v>
      </c>
      <c r="D798" t="e">
        <f>NA()</f>
        <v>#N/A</v>
      </c>
      <c r="E798" t="e">
        <f>NA()</f>
        <v>#N/A</v>
      </c>
      <c r="F798" t="e">
        <f>NA()</f>
        <v>#N/A</v>
      </c>
      <c r="G798" t="e">
        <f>NA()</f>
        <v>#N/A</v>
      </c>
    </row>
    <row r="799" spans="1:7" x14ac:dyDescent="0.25">
      <c r="A799" s="1">
        <v>43994</v>
      </c>
      <c r="B799">
        <f>1730.75</f>
        <v>1730.75</v>
      </c>
      <c r="C799">
        <f>9463.3</f>
        <v>9463.2999999999993</v>
      </c>
      <c r="D799">
        <f>17.4916</f>
        <v>17.491599999999998</v>
      </c>
      <c r="E799">
        <f>209</f>
        <v>209</v>
      </c>
      <c r="F799">
        <f>344.53</f>
        <v>344.53</v>
      </c>
      <c r="G799">
        <f>179.2579</f>
        <v>179.25790000000001</v>
      </c>
    </row>
    <row r="800" spans="1:7" x14ac:dyDescent="0.25">
      <c r="A800" s="1">
        <v>43993</v>
      </c>
      <c r="B800">
        <f>1727.7</f>
        <v>1727.7</v>
      </c>
      <c r="C800">
        <f>9340.86</f>
        <v>9340.86</v>
      </c>
      <c r="D800">
        <f>17.6515</f>
        <v>17.651499999999999</v>
      </c>
      <c r="E800">
        <f>210</f>
        <v>210</v>
      </c>
      <c r="F800">
        <f>343.17</f>
        <v>343.17</v>
      </c>
      <c r="G800">
        <f>178.4366</f>
        <v>178.4366</v>
      </c>
    </row>
    <row r="801" spans="1:7" x14ac:dyDescent="0.25">
      <c r="A801" s="1">
        <v>43992</v>
      </c>
      <c r="B801">
        <f>1738.7</f>
        <v>1738.7</v>
      </c>
      <c r="C801">
        <f>9867.63</f>
        <v>9867.6299999999992</v>
      </c>
      <c r="D801">
        <f>18.114</f>
        <v>18.114000000000001</v>
      </c>
      <c r="E801">
        <f>211</f>
        <v>211</v>
      </c>
      <c r="F801">
        <f>346.36</f>
        <v>346.36</v>
      </c>
      <c r="G801">
        <f>178.1213</f>
        <v>178.12129999999999</v>
      </c>
    </row>
    <row r="802" spans="1:7" x14ac:dyDescent="0.25">
      <c r="A802" s="1">
        <v>43991</v>
      </c>
      <c r="B802">
        <f>1715.33</f>
        <v>1715.33</v>
      </c>
      <c r="C802">
        <f>9749.6</f>
        <v>9749.6</v>
      </c>
      <c r="D802">
        <f>17.5337</f>
        <v>17.5337</v>
      </c>
      <c r="E802">
        <f>211</f>
        <v>211</v>
      </c>
      <c r="F802">
        <f>344.87</f>
        <v>344.87</v>
      </c>
      <c r="G802">
        <f>177.6473</f>
        <v>177.6473</v>
      </c>
    </row>
    <row r="803" spans="1:7" x14ac:dyDescent="0.25">
      <c r="A803" s="1">
        <v>43990</v>
      </c>
      <c r="B803">
        <f>1698.53</f>
        <v>1698.53</v>
      </c>
      <c r="C803">
        <f>9702.87</f>
        <v>9702.8700000000008</v>
      </c>
      <c r="D803">
        <f>17.774</f>
        <v>17.774000000000001</v>
      </c>
      <c r="E803">
        <f>211</f>
        <v>211</v>
      </c>
      <c r="F803">
        <f>348.63</f>
        <v>348.63</v>
      </c>
      <c r="G803">
        <f>178.908</f>
        <v>178.90799999999999</v>
      </c>
    </row>
    <row r="804" spans="1:7" x14ac:dyDescent="0.25">
      <c r="A804" s="1">
        <v>43989</v>
      </c>
      <c r="B804" t="e">
        <f>NA()</f>
        <v>#N/A</v>
      </c>
      <c r="C804">
        <f>9732.43</f>
        <v>9732.43</v>
      </c>
      <c r="D804" t="e">
        <f>NA()</f>
        <v>#N/A</v>
      </c>
      <c r="E804" t="e">
        <f>NA()</f>
        <v>#N/A</v>
      </c>
      <c r="F804" t="e">
        <f>NA()</f>
        <v>#N/A</v>
      </c>
      <c r="G804" t="e">
        <f>NA()</f>
        <v>#N/A</v>
      </c>
    </row>
    <row r="805" spans="1:7" x14ac:dyDescent="0.25">
      <c r="A805" s="1">
        <v>43988</v>
      </c>
      <c r="B805" t="e">
        <f>NA()</f>
        <v>#N/A</v>
      </c>
      <c r="C805">
        <f>9706</f>
        <v>9706</v>
      </c>
      <c r="D805" t="e">
        <f>NA()</f>
        <v>#N/A</v>
      </c>
      <c r="E805" t="e">
        <f>NA()</f>
        <v>#N/A</v>
      </c>
      <c r="F805" t="e">
        <f>NA()</f>
        <v>#N/A</v>
      </c>
      <c r="G805" t="e">
        <f>NA()</f>
        <v>#N/A</v>
      </c>
    </row>
    <row r="806" spans="1:7" x14ac:dyDescent="0.25">
      <c r="A806" s="1">
        <v>43987</v>
      </c>
      <c r="B806">
        <f>1685.06</f>
        <v>1685.06</v>
      </c>
      <c r="C806">
        <f>9712.33</f>
        <v>9712.33</v>
      </c>
      <c r="D806">
        <f>17.415</f>
        <v>17.414999999999999</v>
      </c>
      <c r="E806" t="e">
        <f>NA()</f>
        <v>#N/A</v>
      </c>
      <c r="F806">
        <f>350.3</f>
        <v>350.3</v>
      </c>
      <c r="G806">
        <f>178.4431</f>
        <v>178.44309999999999</v>
      </c>
    </row>
    <row r="807" spans="1:7" x14ac:dyDescent="0.25">
      <c r="A807" s="1">
        <v>43986</v>
      </c>
      <c r="B807">
        <f>1714.01</f>
        <v>1714.01</v>
      </c>
      <c r="C807">
        <f>9783.87</f>
        <v>9783.8700000000008</v>
      </c>
      <c r="D807">
        <f>17.7109</f>
        <v>17.710899999999999</v>
      </c>
      <c r="E807">
        <f>212</f>
        <v>212</v>
      </c>
      <c r="F807">
        <f>355.39</f>
        <v>355.39</v>
      </c>
      <c r="G807">
        <f>179.025</f>
        <v>179.02500000000001</v>
      </c>
    </row>
    <row r="808" spans="1:7" x14ac:dyDescent="0.25">
      <c r="A808" s="1">
        <v>43985</v>
      </c>
      <c r="B808">
        <f>1699.67</f>
        <v>1699.67</v>
      </c>
      <c r="C808">
        <f>9583.65</f>
        <v>9583.65</v>
      </c>
      <c r="D808">
        <f>17.652</f>
        <v>17.652000000000001</v>
      </c>
      <c r="E808" t="e">
        <f>NA()</f>
        <v>#N/A</v>
      </c>
      <c r="F808">
        <f>347.41</f>
        <v>347.41</v>
      </c>
      <c r="G808">
        <f>175.9802</f>
        <v>175.9802</v>
      </c>
    </row>
    <row r="809" spans="1:7" x14ac:dyDescent="0.25">
      <c r="A809" s="1">
        <v>43984</v>
      </c>
      <c r="B809">
        <f>1727.7</f>
        <v>1727.7</v>
      </c>
      <c r="C809">
        <f>9522.85</f>
        <v>9522.85</v>
      </c>
      <c r="D809">
        <f>18.068</f>
        <v>18.068000000000001</v>
      </c>
      <c r="E809">
        <f>207</f>
        <v>207</v>
      </c>
      <c r="F809">
        <f>344.7</f>
        <v>344.7</v>
      </c>
      <c r="G809">
        <f>174.9708</f>
        <v>174.9708</v>
      </c>
    </row>
    <row r="810" spans="1:7" x14ac:dyDescent="0.25">
      <c r="A810" s="1">
        <v>43983</v>
      </c>
      <c r="B810">
        <f>1739.55</f>
        <v>1739.55</v>
      </c>
      <c r="C810">
        <f>9680.19</f>
        <v>9680.19</v>
      </c>
      <c r="D810">
        <f>18.3031</f>
        <v>18.303100000000001</v>
      </c>
      <c r="E810">
        <f>207</f>
        <v>207</v>
      </c>
      <c r="F810">
        <f>349.62</f>
        <v>349.62</v>
      </c>
      <c r="G810">
        <f>174.9949</f>
        <v>174.9949</v>
      </c>
    </row>
    <row r="811" spans="1:7" x14ac:dyDescent="0.25">
      <c r="A811" s="1">
        <v>43982</v>
      </c>
      <c r="B811" t="e">
        <f>NA()</f>
        <v>#N/A</v>
      </c>
      <c r="C811">
        <f>9505.38</f>
        <v>9505.3799999999992</v>
      </c>
      <c r="D811" t="e">
        <f>NA()</f>
        <v>#N/A</v>
      </c>
      <c r="E811" t="e">
        <f>NA()</f>
        <v>#N/A</v>
      </c>
      <c r="F811" t="e">
        <f>NA()</f>
        <v>#N/A</v>
      </c>
      <c r="G811" t="e">
        <f>NA()</f>
        <v>#N/A</v>
      </c>
    </row>
    <row r="812" spans="1:7" x14ac:dyDescent="0.25">
      <c r="A812" s="1">
        <v>43981</v>
      </c>
      <c r="B812" t="e">
        <f>NA()</f>
        <v>#N/A</v>
      </c>
      <c r="C812">
        <f>9440.21</f>
        <v>9440.2099999999991</v>
      </c>
      <c r="D812" t="e">
        <f>NA()</f>
        <v>#N/A</v>
      </c>
      <c r="E812" t="e">
        <f>NA()</f>
        <v>#N/A</v>
      </c>
      <c r="F812" t="e">
        <f>NA()</f>
        <v>#N/A</v>
      </c>
      <c r="G812" t="e">
        <f>NA()</f>
        <v>#N/A</v>
      </c>
    </row>
    <row r="813" spans="1:7" x14ac:dyDescent="0.25">
      <c r="A813" s="1">
        <v>43980</v>
      </c>
      <c r="B813">
        <f>1730.27</f>
        <v>1730.27</v>
      </c>
      <c r="C813">
        <f>9415.96</f>
        <v>9415.9599999999991</v>
      </c>
      <c r="D813">
        <f>17.8655</f>
        <v>17.865500000000001</v>
      </c>
      <c r="E813">
        <f>208</f>
        <v>208</v>
      </c>
      <c r="F813">
        <f>353.35</f>
        <v>353.35</v>
      </c>
      <c r="G813">
        <f>176.1623</f>
        <v>176.16229999999999</v>
      </c>
    </row>
    <row r="814" spans="1:7" x14ac:dyDescent="0.25">
      <c r="A814" s="1">
        <v>43979</v>
      </c>
      <c r="B814">
        <f>1718.33</f>
        <v>1718.33</v>
      </c>
      <c r="C814">
        <f>9446.84</f>
        <v>9446.84</v>
      </c>
      <c r="D814">
        <f>17.371</f>
        <v>17.370999999999999</v>
      </c>
      <c r="E814">
        <f>206</f>
        <v>206</v>
      </c>
      <c r="F814">
        <f>349.11</f>
        <v>349.11</v>
      </c>
      <c r="G814">
        <f>176.2728</f>
        <v>176.27279999999999</v>
      </c>
    </row>
    <row r="815" spans="1:7" x14ac:dyDescent="0.25">
      <c r="A815" s="1">
        <v>43978</v>
      </c>
      <c r="B815">
        <f>1709.47</f>
        <v>1709.47</v>
      </c>
      <c r="C815">
        <f>9163.42</f>
        <v>9163.42</v>
      </c>
      <c r="D815">
        <f>17.2601</f>
        <v>17.260100000000001</v>
      </c>
      <c r="E815">
        <f>206</f>
        <v>206</v>
      </c>
      <c r="F815">
        <f>342.32</f>
        <v>342.32</v>
      </c>
      <c r="G815">
        <f>173.9239</f>
        <v>173.9239</v>
      </c>
    </row>
    <row r="816" spans="1:7" x14ac:dyDescent="0.25">
      <c r="A816" s="1">
        <v>43977</v>
      </c>
      <c r="B816">
        <f>1710.58</f>
        <v>1710.58</v>
      </c>
      <c r="C816">
        <f>8859.07</f>
        <v>8859.07</v>
      </c>
      <c r="D816">
        <f>17.1349</f>
        <v>17.134899999999998</v>
      </c>
      <c r="E816">
        <f>215</f>
        <v>215</v>
      </c>
      <c r="F816">
        <f>343.85</f>
        <v>343.85</v>
      </c>
      <c r="G816">
        <f>173.5135</f>
        <v>173.51349999999999</v>
      </c>
    </row>
    <row r="817" spans="1:7" x14ac:dyDescent="0.25">
      <c r="A817" s="1">
        <v>43976</v>
      </c>
      <c r="B817">
        <f>1731.95</f>
        <v>1731.95</v>
      </c>
      <c r="C817">
        <f>8914.38</f>
        <v>8914.3799999999992</v>
      </c>
      <c r="D817">
        <f>17.2875</f>
        <v>17.287500000000001</v>
      </c>
      <c r="E817" t="e">
        <f>NA()</f>
        <v>#N/A</v>
      </c>
      <c r="F817" t="e">
        <f>NA()</f>
        <v>#N/A</v>
      </c>
      <c r="G817" t="e">
        <f>NA()</f>
        <v>#N/A</v>
      </c>
    </row>
    <row r="818" spans="1:7" x14ac:dyDescent="0.25">
      <c r="A818" s="1">
        <v>43975</v>
      </c>
      <c r="B818" t="e">
        <f>NA()</f>
        <v>#N/A</v>
      </c>
      <c r="C818">
        <f>9001.5</f>
        <v>9001.5</v>
      </c>
      <c r="D818" t="e">
        <f>NA()</f>
        <v>#N/A</v>
      </c>
      <c r="E818" t="e">
        <f>NA()</f>
        <v>#N/A</v>
      </c>
      <c r="F818" t="e">
        <f>NA()</f>
        <v>#N/A</v>
      </c>
      <c r="G818" t="e">
        <f>NA()</f>
        <v>#N/A</v>
      </c>
    </row>
    <row r="819" spans="1:7" x14ac:dyDescent="0.25">
      <c r="A819" s="1">
        <v>43974</v>
      </c>
      <c r="B819" t="e">
        <f>NA()</f>
        <v>#N/A</v>
      </c>
      <c r="C819">
        <f>9235.17</f>
        <v>9235.17</v>
      </c>
      <c r="D819" t="e">
        <f>NA()</f>
        <v>#N/A</v>
      </c>
      <c r="E819" t="e">
        <f>NA()</f>
        <v>#N/A</v>
      </c>
      <c r="F819" t="e">
        <f>NA()</f>
        <v>#N/A</v>
      </c>
      <c r="G819" t="e">
        <f>NA()</f>
        <v>#N/A</v>
      </c>
    </row>
    <row r="820" spans="1:7" x14ac:dyDescent="0.25">
      <c r="A820" s="1">
        <v>43973</v>
      </c>
      <c r="B820">
        <f>1734.68</f>
        <v>1734.68</v>
      </c>
      <c r="C820">
        <f>9181</f>
        <v>9181</v>
      </c>
      <c r="D820">
        <f>17.2133</f>
        <v>17.2133</v>
      </c>
      <c r="E820">
        <f>215</f>
        <v>215</v>
      </c>
      <c r="F820">
        <f>345.21</f>
        <v>345.21</v>
      </c>
      <c r="G820">
        <f>172.3464</f>
        <v>172.34639999999999</v>
      </c>
    </row>
    <row r="821" spans="1:7" x14ac:dyDescent="0.25">
      <c r="A821" s="1">
        <v>43972</v>
      </c>
      <c r="B821">
        <f>1727</f>
        <v>1727</v>
      </c>
      <c r="C821">
        <f>9056.92</f>
        <v>9056.92</v>
      </c>
      <c r="D821">
        <f>17.108</f>
        <v>17.108000000000001</v>
      </c>
      <c r="E821">
        <f>214</f>
        <v>214</v>
      </c>
      <c r="F821">
        <f>350.13</f>
        <v>350.13</v>
      </c>
      <c r="G821">
        <f>173.3067</f>
        <v>173.30670000000001</v>
      </c>
    </row>
    <row r="822" spans="1:7" x14ac:dyDescent="0.25">
      <c r="A822" s="1">
        <v>43971</v>
      </c>
      <c r="B822">
        <f>1748.18</f>
        <v>1748.18</v>
      </c>
      <c r="C822">
        <f>9588.55</f>
        <v>9588.5499999999993</v>
      </c>
      <c r="D822">
        <f>17.5567</f>
        <v>17.556699999999999</v>
      </c>
      <c r="E822">
        <f>212</f>
        <v>212</v>
      </c>
      <c r="F822">
        <f>348.6</f>
        <v>348.6</v>
      </c>
      <c r="G822">
        <f>174.2958</f>
        <v>174.29580000000001</v>
      </c>
    </row>
    <row r="823" spans="1:7" x14ac:dyDescent="0.25">
      <c r="A823" s="1">
        <v>43970</v>
      </c>
      <c r="B823">
        <f>1745.05</f>
        <v>1745.05</v>
      </c>
      <c r="C823">
        <f>9690.24</f>
        <v>9690.24</v>
      </c>
      <c r="D823">
        <f>17.3495</f>
        <v>17.349499999999999</v>
      </c>
      <c r="E823">
        <f>211</f>
        <v>211</v>
      </c>
      <c r="F823">
        <f>338.42</f>
        <v>338.42</v>
      </c>
      <c r="G823">
        <f>172.8371</f>
        <v>172.83709999999999</v>
      </c>
    </row>
    <row r="824" spans="1:7" x14ac:dyDescent="0.25">
      <c r="A824" s="1">
        <v>43969</v>
      </c>
      <c r="B824">
        <f>1732.55</f>
        <v>1732.55</v>
      </c>
      <c r="C824">
        <f>9677.73</f>
        <v>9677.73</v>
      </c>
      <c r="D824">
        <f>16.966</f>
        <v>16.966000000000001</v>
      </c>
      <c r="E824">
        <f>211</f>
        <v>211</v>
      </c>
      <c r="F824">
        <f>337.23</f>
        <v>337.23</v>
      </c>
      <c r="G824">
        <f>172.9913</f>
        <v>172.9913</v>
      </c>
    </row>
    <row r="825" spans="1:7" x14ac:dyDescent="0.25">
      <c r="A825" s="1">
        <v>43968</v>
      </c>
      <c r="B825" t="e">
        <f>NA()</f>
        <v>#N/A</v>
      </c>
      <c r="C825">
        <f>9738.8</f>
        <v>9738.7999999999993</v>
      </c>
      <c r="D825" t="e">
        <f>NA()</f>
        <v>#N/A</v>
      </c>
      <c r="E825" t="e">
        <f>NA()</f>
        <v>#N/A</v>
      </c>
      <c r="F825" t="e">
        <f>NA()</f>
        <v>#N/A</v>
      </c>
      <c r="G825" t="e">
        <f>NA()</f>
        <v>#N/A</v>
      </c>
    </row>
    <row r="826" spans="1:7" x14ac:dyDescent="0.25">
      <c r="A826" s="1">
        <v>43967</v>
      </c>
      <c r="B826" t="e">
        <f>NA()</f>
        <v>#N/A</v>
      </c>
      <c r="C826">
        <f>9381.42</f>
        <v>9381.42</v>
      </c>
      <c r="D826" t="e">
        <f>NA()</f>
        <v>#N/A</v>
      </c>
      <c r="E826" t="e">
        <f>NA()</f>
        <v>#N/A</v>
      </c>
      <c r="F826" t="e">
        <f>NA()</f>
        <v>#N/A</v>
      </c>
      <c r="G826" t="e">
        <f>NA()</f>
        <v>#N/A</v>
      </c>
    </row>
    <row r="827" spans="1:7" x14ac:dyDescent="0.25">
      <c r="A827" s="1">
        <v>43966</v>
      </c>
      <c r="B827">
        <f>1743.67</f>
        <v>1743.67</v>
      </c>
      <c r="C827">
        <f>9241.91</f>
        <v>9241.91</v>
      </c>
      <c r="D827">
        <f>16.6109</f>
        <v>16.610900000000001</v>
      </c>
      <c r="E827">
        <f>211</f>
        <v>211</v>
      </c>
      <c r="F827">
        <f>339.44</f>
        <v>339.44</v>
      </c>
      <c r="G827">
        <f>172.6857</f>
        <v>172.6857</v>
      </c>
    </row>
    <row r="828" spans="1:7" x14ac:dyDescent="0.25">
      <c r="A828" s="1">
        <v>43965</v>
      </c>
      <c r="B828">
        <f>1730.3</f>
        <v>1730.3</v>
      </c>
      <c r="C828">
        <f>9656.61</f>
        <v>9656.61</v>
      </c>
      <c r="D828">
        <f>15.8734</f>
        <v>15.8734</v>
      </c>
      <c r="E828">
        <f>212</f>
        <v>212</v>
      </c>
      <c r="F828">
        <f>340.8</f>
        <v>340.8</v>
      </c>
      <c r="G828">
        <f>172.3655</f>
        <v>172.3655</v>
      </c>
    </row>
    <row r="829" spans="1:7" x14ac:dyDescent="0.25">
      <c r="A829" s="1">
        <v>43964</v>
      </c>
      <c r="B829">
        <f>1716.28</f>
        <v>1716.28</v>
      </c>
      <c r="C829">
        <f>9300.04</f>
        <v>9300.0400000000009</v>
      </c>
      <c r="D829">
        <f>15.5813</f>
        <v>15.581300000000001</v>
      </c>
      <c r="E829">
        <f>213</f>
        <v>213</v>
      </c>
      <c r="F829">
        <f>340.46</f>
        <v>340.46</v>
      </c>
      <c r="G829">
        <f>172.7515</f>
        <v>172.75149999999999</v>
      </c>
    </row>
    <row r="830" spans="1:7" x14ac:dyDescent="0.25">
      <c r="A830" s="1">
        <v>43963</v>
      </c>
      <c r="B830">
        <f>1702.7</f>
        <v>1702.7</v>
      </c>
      <c r="C830">
        <f>8824.98</f>
        <v>8824.98</v>
      </c>
      <c r="D830">
        <f>15.449</f>
        <v>15.449</v>
      </c>
      <c r="E830">
        <f>213</f>
        <v>213</v>
      </c>
      <c r="F830">
        <f>349.11</f>
        <v>349.11</v>
      </c>
      <c r="G830">
        <f>175.8622</f>
        <v>175.8622</v>
      </c>
    </row>
    <row r="831" spans="1:7" x14ac:dyDescent="0.25">
      <c r="A831" s="1">
        <v>43962</v>
      </c>
      <c r="B831">
        <f>1697.93</f>
        <v>1697.93</v>
      </c>
      <c r="C831">
        <f>8636.21</f>
        <v>8636.2099999999991</v>
      </c>
      <c r="D831">
        <f>15.4901</f>
        <v>15.4901</v>
      </c>
      <c r="E831">
        <f>213</f>
        <v>213</v>
      </c>
      <c r="F831">
        <f>350.98</f>
        <v>350.98</v>
      </c>
      <c r="G831">
        <f>175.791</f>
        <v>175.791</v>
      </c>
    </row>
    <row r="832" spans="1:7" x14ac:dyDescent="0.25">
      <c r="A832" s="1">
        <v>43961</v>
      </c>
      <c r="B832" t="e">
        <f>NA()</f>
        <v>#N/A</v>
      </c>
      <c r="C832">
        <f>8675.29</f>
        <v>8675.2900000000009</v>
      </c>
      <c r="D832" t="e">
        <f>NA()</f>
        <v>#N/A</v>
      </c>
      <c r="E832" t="e">
        <f>NA()</f>
        <v>#N/A</v>
      </c>
      <c r="F832" t="e">
        <f>NA()</f>
        <v>#N/A</v>
      </c>
      <c r="G832" t="e">
        <f>NA()</f>
        <v>#N/A</v>
      </c>
    </row>
    <row r="833" spans="1:7" x14ac:dyDescent="0.25">
      <c r="A833" s="1">
        <v>43960</v>
      </c>
      <c r="B833" t="e">
        <f>NA()</f>
        <v>#N/A</v>
      </c>
      <c r="C833">
        <f>9649.88</f>
        <v>9649.8799999999992</v>
      </c>
      <c r="D833" t="e">
        <f>NA()</f>
        <v>#N/A</v>
      </c>
      <c r="E833" t="e">
        <f>NA()</f>
        <v>#N/A</v>
      </c>
      <c r="F833" t="e">
        <f>NA()</f>
        <v>#N/A</v>
      </c>
      <c r="G833" t="e">
        <f>NA()</f>
        <v>#N/A</v>
      </c>
    </row>
    <row r="834" spans="1:7" x14ac:dyDescent="0.25">
      <c r="A834" s="1">
        <v>43959</v>
      </c>
      <c r="B834">
        <f>1702.7</f>
        <v>1702.7</v>
      </c>
      <c r="C834">
        <f>9998.9</f>
        <v>9998.9</v>
      </c>
      <c r="D834">
        <f>15.4815</f>
        <v>15.4815</v>
      </c>
      <c r="E834">
        <f>212</f>
        <v>212</v>
      </c>
      <c r="F834">
        <f>354.2</f>
        <v>354.2</v>
      </c>
      <c r="G834">
        <f>176.116</f>
        <v>176.11600000000001</v>
      </c>
    </row>
    <row r="835" spans="1:7" x14ac:dyDescent="0.25">
      <c r="A835" s="1">
        <v>43958</v>
      </c>
      <c r="B835">
        <f>1716.06</f>
        <v>1716.06</v>
      </c>
      <c r="C835">
        <f>9801.31</f>
        <v>9801.31</v>
      </c>
      <c r="D835">
        <f>15.3457</f>
        <v>15.345700000000001</v>
      </c>
      <c r="E835">
        <f>212</f>
        <v>212</v>
      </c>
      <c r="F835">
        <f>354.54</f>
        <v>354.54</v>
      </c>
      <c r="G835">
        <f>175.4092</f>
        <v>175.4092</v>
      </c>
    </row>
    <row r="836" spans="1:7" x14ac:dyDescent="0.25">
      <c r="A836" s="1">
        <v>43957</v>
      </c>
      <c r="B836">
        <f>1685.71</f>
        <v>1685.71</v>
      </c>
      <c r="C836">
        <f>9250.9</f>
        <v>9250.9</v>
      </c>
      <c r="D836">
        <f>14.8528</f>
        <v>14.8528</v>
      </c>
      <c r="E836">
        <f>212</f>
        <v>212</v>
      </c>
      <c r="F836">
        <f>351.14</f>
        <v>351.14</v>
      </c>
      <c r="G836">
        <f>173.4571</f>
        <v>173.4571</v>
      </c>
    </row>
    <row r="837" spans="1:7" x14ac:dyDescent="0.25">
      <c r="A837" s="1">
        <v>43956</v>
      </c>
      <c r="B837">
        <f>1705.92</f>
        <v>1705.92</v>
      </c>
      <c r="C837">
        <f>8951.51</f>
        <v>8951.51</v>
      </c>
      <c r="D837">
        <f>14.9637</f>
        <v>14.963699999999999</v>
      </c>
      <c r="E837">
        <f>213</f>
        <v>213</v>
      </c>
      <c r="F837">
        <f>353.35</f>
        <v>353.35</v>
      </c>
      <c r="G837">
        <f>174.9565</f>
        <v>174.95650000000001</v>
      </c>
    </row>
    <row r="838" spans="1:7" x14ac:dyDescent="0.25">
      <c r="A838" s="1">
        <v>43955</v>
      </c>
      <c r="B838">
        <f>1702.07</f>
        <v>1702.07</v>
      </c>
      <c r="C838">
        <f>8921.68</f>
        <v>8921.68</v>
      </c>
      <c r="D838">
        <f>14.7781</f>
        <v>14.7781</v>
      </c>
      <c r="E838">
        <f>212</f>
        <v>212</v>
      </c>
      <c r="F838">
        <f>352.5</f>
        <v>352.5</v>
      </c>
      <c r="G838">
        <f>174.4864</f>
        <v>174.4864</v>
      </c>
    </row>
    <row r="839" spans="1:7" x14ac:dyDescent="0.25">
      <c r="A839" s="1">
        <v>43954</v>
      </c>
      <c r="B839" t="e">
        <f>NA()</f>
        <v>#N/A</v>
      </c>
      <c r="C839">
        <f>8848.36</f>
        <v>8848.36</v>
      </c>
      <c r="D839" t="e">
        <f>NA()</f>
        <v>#N/A</v>
      </c>
      <c r="E839" t="e">
        <f>NA()</f>
        <v>#N/A</v>
      </c>
      <c r="F839" t="e">
        <f>NA()</f>
        <v>#N/A</v>
      </c>
      <c r="G839" t="e">
        <f>NA()</f>
        <v>#N/A</v>
      </c>
    </row>
    <row r="840" spans="1:7" x14ac:dyDescent="0.25">
      <c r="A840" s="1">
        <v>43953</v>
      </c>
      <c r="B840" t="e">
        <f>NA()</f>
        <v>#N/A</v>
      </c>
      <c r="C840">
        <f>8934.5</f>
        <v>8934.5</v>
      </c>
      <c r="D840" t="e">
        <f>NA()</f>
        <v>#N/A</v>
      </c>
      <c r="E840" t="e">
        <f>NA()</f>
        <v>#N/A</v>
      </c>
      <c r="F840" t="e">
        <f>NA()</f>
        <v>#N/A</v>
      </c>
      <c r="G840" t="e">
        <f>NA()</f>
        <v>#N/A</v>
      </c>
    </row>
    <row r="841" spans="1:7" x14ac:dyDescent="0.25">
      <c r="A841" s="1">
        <v>43952</v>
      </c>
      <c r="B841">
        <f>1700.42</f>
        <v>1700.42</v>
      </c>
      <c r="C841">
        <f>8734.2</f>
        <v>8734.2000000000007</v>
      </c>
      <c r="D841">
        <f>14.9765</f>
        <v>14.9765</v>
      </c>
      <c r="E841" t="e">
        <f>NA()</f>
        <v>#N/A</v>
      </c>
      <c r="F841">
        <f>350.47</f>
        <v>350.47</v>
      </c>
      <c r="G841">
        <f>175.6438</f>
        <v>175.6438</v>
      </c>
    </row>
    <row r="842" spans="1:7" x14ac:dyDescent="0.25">
      <c r="A842" s="1">
        <v>43951</v>
      </c>
      <c r="B842">
        <f>1686.5</f>
        <v>1686.5</v>
      </c>
      <c r="C842">
        <f>8826.56</f>
        <v>8826.56</v>
      </c>
      <c r="D842">
        <f>14.9697</f>
        <v>14.9697</v>
      </c>
      <c r="E842" t="e">
        <f>NA()</f>
        <v>#N/A</v>
      </c>
      <c r="F842">
        <f>355.72</f>
        <v>355.72</v>
      </c>
      <c r="G842">
        <f>177.0663</f>
        <v>177.06630000000001</v>
      </c>
    </row>
    <row r="843" spans="1:7" x14ac:dyDescent="0.25">
      <c r="A843" s="1">
        <v>43950</v>
      </c>
      <c r="B843">
        <f>1713.41</f>
        <v>1713.41</v>
      </c>
      <c r="C843">
        <f>8933.48</f>
        <v>8933.48</v>
      </c>
      <c r="D843">
        <f>15.2964</f>
        <v>15.2964</v>
      </c>
      <c r="E843">
        <f>212</f>
        <v>212</v>
      </c>
      <c r="F843">
        <f>350.47</f>
        <v>350.47</v>
      </c>
      <c r="G843">
        <f>173.784</f>
        <v>173.78399999999999</v>
      </c>
    </row>
    <row r="844" spans="1:7" x14ac:dyDescent="0.25">
      <c r="A844" s="1">
        <v>43949</v>
      </c>
      <c r="B844">
        <f>1707.79</f>
        <v>1707.79</v>
      </c>
      <c r="C844">
        <f>7736.85</f>
        <v>7736.85</v>
      </c>
      <c r="D844">
        <f>15.1654</f>
        <v>15.1654</v>
      </c>
      <c r="E844">
        <f>213</f>
        <v>213</v>
      </c>
      <c r="F844">
        <f>356.91</f>
        <v>356.91</v>
      </c>
      <c r="G844">
        <f>173.8193</f>
        <v>173.8193</v>
      </c>
    </row>
    <row r="845" spans="1:7" x14ac:dyDescent="0.25">
      <c r="A845" s="1">
        <v>43948</v>
      </c>
      <c r="B845">
        <f>1713.99</f>
        <v>1713.99</v>
      </c>
      <c r="C845">
        <f>7708.12</f>
        <v>7708.12</v>
      </c>
      <c r="D845">
        <f>15.2089</f>
        <v>15.2089</v>
      </c>
      <c r="E845" t="e">
        <f>NA()</f>
        <v>#N/A</v>
      </c>
      <c r="F845">
        <f>356.06</f>
        <v>356.06</v>
      </c>
      <c r="G845">
        <f>174.1347</f>
        <v>174.13470000000001</v>
      </c>
    </row>
    <row r="846" spans="1:7" x14ac:dyDescent="0.25">
      <c r="A846" s="1">
        <v>43947</v>
      </c>
      <c r="B846" t="e">
        <f>NA()</f>
        <v>#N/A</v>
      </c>
      <c r="C846">
        <f>7651.93</f>
        <v>7651.93</v>
      </c>
      <c r="D846" t="e">
        <f>NA()</f>
        <v>#N/A</v>
      </c>
      <c r="E846" t="e">
        <f>NA()</f>
        <v>#N/A</v>
      </c>
      <c r="F846" t="e">
        <f>NA()</f>
        <v>#N/A</v>
      </c>
      <c r="G846" t="e">
        <f>NA()</f>
        <v>#N/A</v>
      </c>
    </row>
    <row r="847" spans="1:7" x14ac:dyDescent="0.25">
      <c r="A847" s="1">
        <v>43946</v>
      </c>
      <c r="B847" t="e">
        <f>NA()</f>
        <v>#N/A</v>
      </c>
      <c r="C847">
        <f>7553.5</f>
        <v>7553.5</v>
      </c>
      <c r="D847" t="e">
        <f>NA()</f>
        <v>#N/A</v>
      </c>
      <c r="E847" t="e">
        <f>NA()</f>
        <v>#N/A</v>
      </c>
      <c r="F847" t="e">
        <f>NA()</f>
        <v>#N/A</v>
      </c>
      <c r="G847" t="e">
        <f>NA()</f>
        <v>#N/A</v>
      </c>
    </row>
    <row r="848" spans="1:7" x14ac:dyDescent="0.25">
      <c r="A848" s="1">
        <v>43945</v>
      </c>
      <c r="B848">
        <f>1729.6</f>
        <v>1729.6</v>
      </c>
      <c r="C848">
        <f>7533.88</f>
        <v>7533.88</v>
      </c>
      <c r="D848">
        <f>15.2535</f>
        <v>15.253500000000001</v>
      </c>
      <c r="E848">
        <f>215</f>
        <v>215</v>
      </c>
      <c r="F848">
        <f>359.97</f>
        <v>359.97</v>
      </c>
      <c r="G848">
        <f>176.7114</f>
        <v>176.7114</v>
      </c>
    </row>
    <row r="849" spans="1:7" x14ac:dyDescent="0.25">
      <c r="A849" s="1">
        <v>43944</v>
      </c>
      <c r="B849">
        <f>1730.51</f>
        <v>1730.51</v>
      </c>
      <c r="C849">
        <f>7541.59</f>
        <v>7541.59</v>
      </c>
      <c r="D849">
        <f>15.2554</f>
        <v>15.2554</v>
      </c>
      <c r="E849">
        <f>215</f>
        <v>215</v>
      </c>
      <c r="F849">
        <f>369.64</f>
        <v>369.64</v>
      </c>
      <c r="G849">
        <f>179.159</f>
        <v>179.15899999999999</v>
      </c>
    </row>
    <row r="850" spans="1:7" x14ac:dyDescent="0.25">
      <c r="A850" s="1">
        <v>43943</v>
      </c>
      <c r="B850">
        <f>1714.08</f>
        <v>1714.08</v>
      </c>
      <c r="C850">
        <f>7119.34</f>
        <v>7119.34</v>
      </c>
      <c r="D850">
        <f>15.097</f>
        <v>15.097</v>
      </c>
      <c r="E850">
        <f>214</f>
        <v>214</v>
      </c>
      <c r="F850">
        <f>368.96</f>
        <v>368.96</v>
      </c>
      <c r="G850">
        <f>178.7185</f>
        <v>178.71850000000001</v>
      </c>
    </row>
    <row r="851" spans="1:7" x14ac:dyDescent="0.25">
      <c r="A851" s="1">
        <v>43942</v>
      </c>
      <c r="B851">
        <f>1686.2</f>
        <v>1686.2</v>
      </c>
      <c r="C851">
        <f>6894.6</f>
        <v>6894.6</v>
      </c>
      <c r="D851">
        <f>14.8865</f>
        <v>14.8865</v>
      </c>
      <c r="E851">
        <f>214</f>
        <v>214</v>
      </c>
      <c r="F851">
        <f>370.65</f>
        <v>370.65</v>
      </c>
      <c r="G851">
        <f>177.6003</f>
        <v>177.6003</v>
      </c>
    </row>
    <row r="852" spans="1:7" x14ac:dyDescent="0.25">
      <c r="A852" s="1">
        <v>43941</v>
      </c>
      <c r="B852">
        <f>1695.65</f>
        <v>1695.65</v>
      </c>
      <c r="C852">
        <f>6868.11</f>
        <v>6868.11</v>
      </c>
      <c r="D852">
        <f>15.317</f>
        <v>15.317</v>
      </c>
      <c r="E852" t="e">
        <f>NA()</f>
        <v>#N/A</v>
      </c>
      <c r="F852">
        <f>371.5</f>
        <v>371.5</v>
      </c>
      <c r="G852">
        <f>178.2209</f>
        <v>178.2209</v>
      </c>
    </row>
    <row r="853" spans="1:7" x14ac:dyDescent="0.25">
      <c r="A853" s="1">
        <v>43940</v>
      </c>
      <c r="B853" t="e">
        <f>NA()</f>
        <v>#N/A</v>
      </c>
      <c r="C853">
        <f>7150.37</f>
        <v>7150.37</v>
      </c>
      <c r="D853" t="e">
        <f>NA()</f>
        <v>#N/A</v>
      </c>
      <c r="E853" t="e">
        <f>NA()</f>
        <v>#N/A</v>
      </c>
      <c r="F853" t="e">
        <f>NA()</f>
        <v>#N/A</v>
      </c>
      <c r="G853" t="e">
        <f>NA()</f>
        <v>#N/A</v>
      </c>
    </row>
    <row r="854" spans="1:7" x14ac:dyDescent="0.25">
      <c r="A854" s="1">
        <v>43939</v>
      </c>
      <c r="B854" t="e">
        <f>NA()</f>
        <v>#N/A</v>
      </c>
      <c r="C854">
        <f>7233.21</f>
        <v>7233.21</v>
      </c>
      <c r="D854" t="e">
        <f>NA()</f>
        <v>#N/A</v>
      </c>
      <c r="E854" t="e">
        <f>NA()</f>
        <v>#N/A</v>
      </c>
      <c r="F854" t="e">
        <f>NA()</f>
        <v>#N/A</v>
      </c>
      <c r="G854" t="e">
        <f>NA()</f>
        <v>#N/A</v>
      </c>
    </row>
    <row r="855" spans="1:7" x14ac:dyDescent="0.25">
      <c r="A855" s="1">
        <v>43938</v>
      </c>
      <c r="B855">
        <f>1682.82</f>
        <v>1682.82</v>
      </c>
      <c r="C855">
        <f>7060.14</f>
        <v>7060.14</v>
      </c>
      <c r="D855">
        <f>15.178</f>
        <v>15.178000000000001</v>
      </c>
      <c r="E855">
        <f>213</f>
        <v>213</v>
      </c>
      <c r="F855">
        <f>362.17</f>
        <v>362.17</v>
      </c>
      <c r="G855">
        <f>178.3786</f>
        <v>178.37860000000001</v>
      </c>
    </row>
    <row r="856" spans="1:7" x14ac:dyDescent="0.25">
      <c r="A856" s="1">
        <v>43937</v>
      </c>
      <c r="B856">
        <f>1717.7</f>
        <v>1717.7</v>
      </c>
      <c r="C856">
        <f>7060.08</f>
        <v>7060.08</v>
      </c>
      <c r="D856">
        <f>15.4965</f>
        <v>15.496499999999999</v>
      </c>
      <c r="E856">
        <f>211</f>
        <v>211</v>
      </c>
      <c r="F856">
        <f>359.97</f>
        <v>359.97</v>
      </c>
      <c r="G856">
        <f>177.5273</f>
        <v>177.5273</v>
      </c>
    </row>
    <row r="857" spans="1:7" x14ac:dyDescent="0.25">
      <c r="A857" s="1">
        <v>43936</v>
      </c>
      <c r="B857">
        <f>1717.03</f>
        <v>1717.03</v>
      </c>
      <c r="C857">
        <f>6752.45</f>
        <v>6752.45</v>
      </c>
      <c r="D857">
        <f>15.4635</f>
        <v>15.4635</v>
      </c>
      <c r="E857">
        <f>211</f>
        <v>211</v>
      </c>
      <c r="F857">
        <f>366.75</f>
        <v>366.75</v>
      </c>
      <c r="G857">
        <f>179.1367</f>
        <v>179.13669999999999</v>
      </c>
    </row>
    <row r="858" spans="1:7" x14ac:dyDescent="0.25">
      <c r="A858" s="1">
        <v>43935</v>
      </c>
      <c r="B858">
        <f>1726.97</f>
        <v>1726.97</v>
      </c>
      <c r="C858">
        <f>6873.41</f>
        <v>6873.41</v>
      </c>
      <c r="D858">
        <f>15.7519</f>
        <v>15.751899999999999</v>
      </c>
      <c r="E858">
        <f>212</f>
        <v>212</v>
      </c>
      <c r="F858">
        <f>373.03</f>
        <v>373.03</v>
      </c>
      <c r="G858">
        <f>180.7949</f>
        <v>180.79490000000001</v>
      </c>
    </row>
    <row r="859" spans="1:7" x14ac:dyDescent="0.25">
      <c r="A859" s="1">
        <v>43934</v>
      </c>
      <c r="B859">
        <f>1715.34</f>
        <v>1715.34</v>
      </c>
      <c r="C859">
        <f>6828.62</f>
        <v>6828.62</v>
      </c>
      <c r="D859">
        <f>15.4145</f>
        <v>15.4145</v>
      </c>
      <c r="E859">
        <f>208</f>
        <v>208</v>
      </c>
      <c r="F859">
        <f>376.86</f>
        <v>376.86</v>
      </c>
      <c r="G859">
        <f>182.5248</f>
        <v>182.5248</v>
      </c>
    </row>
    <row r="860" spans="1:7" x14ac:dyDescent="0.25">
      <c r="A860" s="1">
        <v>43933</v>
      </c>
      <c r="B860" t="e">
        <f>NA()</f>
        <v>#N/A</v>
      </c>
      <c r="C860">
        <f>7122.4</f>
        <v>7122.4</v>
      </c>
      <c r="D860" t="e">
        <f>NA()</f>
        <v>#N/A</v>
      </c>
      <c r="E860" t="e">
        <f>NA()</f>
        <v>#N/A</v>
      </c>
      <c r="F860" t="e">
        <f>NA()</f>
        <v>#N/A</v>
      </c>
      <c r="G860" t="e">
        <f>NA()</f>
        <v>#N/A</v>
      </c>
    </row>
    <row r="861" spans="1:7" x14ac:dyDescent="0.25">
      <c r="A861" s="1">
        <v>43932</v>
      </c>
      <c r="B861" t="e">
        <f>NA()</f>
        <v>#N/A</v>
      </c>
      <c r="C861">
        <f>6796.91</f>
        <v>6796.91</v>
      </c>
      <c r="D861" t="e">
        <f>NA()</f>
        <v>#N/A</v>
      </c>
      <c r="E861" t="e">
        <f>NA()</f>
        <v>#N/A</v>
      </c>
      <c r="F861" t="e">
        <f>NA()</f>
        <v>#N/A</v>
      </c>
      <c r="G861" t="e">
        <f>NA()</f>
        <v>#N/A</v>
      </c>
    </row>
    <row r="862" spans="1:7" x14ac:dyDescent="0.25">
      <c r="A862" s="1">
        <v>43931</v>
      </c>
      <c r="B862">
        <f>1696.65</f>
        <v>1696.65</v>
      </c>
      <c r="C862">
        <f>6920.1</f>
        <v>6920.1</v>
      </c>
      <c r="D862">
        <f>15.5651</f>
        <v>15.565099999999999</v>
      </c>
      <c r="E862" t="e">
        <f>NA()</f>
        <v>#N/A</v>
      </c>
      <c r="F862" t="e">
        <f>NA()</f>
        <v>#N/A</v>
      </c>
      <c r="G862" t="e">
        <f>NA()</f>
        <v>#N/A</v>
      </c>
    </row>
    <row r="863" spans="1:7" x14ac:dyDescent="0.25">
      <c r="A863" s="1">
        <v>43930</v>
      </c>
      <c r="B863">
        <f>1683.73</f>
        <v>1683.73</v>
      </c>
      <c r="C863">
        <f>7306.08</f>
        <v>7306.08</v>
      </c>
      <c r="D863">
        <f>15.4325</f>
        <v>15.432499999999999</v>
      </c>
      <c r="E863" t="e">
        <f>NA()</f>
        <v>#N/A</v>
      </c>
      <c r="F863">
        <f>378.01</f>
        <v>378.01</v>
      </c>
      <c r="G863">
        <f>182.944</f>
        <v>182.94399999999999</v>
      </c>
    </row>
    <row r="864" spans="1:7" x14ac:dyDescent="0.25">
      <c r="A864" s="1">
        <v>43929</v>
      </c>
      <c r="B864">
        <f>1646.14</f>
        <v>1646.14</v>
      </c>
      <c r="C864">
        <f>7325.08</f>
        <v>7325.08</v>
      </c>
      <c r="D864">
        <f>14.9601</f>
        <v>14.960100000000001</v>
      </c>
      <c r="E864">
        <f>207</f>
        <v>207</v>
      </c>
      <c r="F864">
        <f>372.08</f>
        <v>372.08</v>
      </c>
      <c r="G864">
        <f>180.4977</f>
        <v>180.49770000000001</v>
      </c>
    </row>
    <row r="865" spans="1:7" x14ac:dyDescent="0.25">
      <c r="A865" s="1">
        <v>43928</v>
      </c>
      <c r="B865">
        <f>1647.72</f>
        <v>1647.72</v>
      </c>
      <c r="C865">
        <f>7118.23</f>
        <v>7118.23</v>
      </c>
      <c r="D865">
        <f>15.0209</f>
        <v>15.020899999999999</v>
      </c>
      <c r="E865">
        <f>207</f>
        <v>207</v>
      </c>
      <c r="F865">
        <f>372.45</f>
        <v>372.45</v>
      </c>
      <c r="G865">
        <f>180.3101</f>
        <v>180.31010000000001</v>
      </c>
    </row>
    <row r="866" spans="1:7" x14ac:dyDescent="0.25">
      <c r="A866" s="1">
        <v>43927</v>
      </c>
      <c r="B866">
        <f>1660.97</f>
        <v>1660.97</v>
      </c>
      <c r="C866">
        <f>7231.12</f>
        <v>7231.12</v>
      </c>
      <c r="D866">
        <f>15.0037</f>
        <v>15.0037</v>
      </c>
      <c r="E866">
        <f>207</f>
        <v>207</v>
      </c>
      <c r="F866">
        <f>377.1</f>
        <v>377.1</v>
      </c>
      <c r="G866">
        <f>180.2036</f>
        <v>180.20359999999999</v>
      </c>
    </row>
    <row r="867" spans="1:7" x14ac:dyDescent="0.25">
      <c r="A867" s="1">
        <v>43926</v>
      </c>
      <c r="B867" t="e">
        <f>NA()</f>
        <v>#N/A</v>
      </c>
      <c r="C867">
        <f>6761.43</f>
        <v>6761.43</v>
      </c>
      <c r="D867" t="e">
        <f>NA()</f>
        <v>#N/A</v>
      </c>
      <c r="E867" t="e">
        <f>NA()</f>
        <v>#N/A</v>
      </c>
      <c r="F867" t="e">
        <f>NA()</f>
        <v>#N/A</v>
      </c>
      <c r="G867" t="e">
        <f>NA()</f>
        <v>#N/A</v>
      </c>
    </row>
    <row r="868" spans="1:7" x14ac:dyDescent="0.25">
      <c r="A868" s="1">
        <v>43925</v>
      </c>
      <c r="B868" t="e">
        <f>NA()</f>
        <v>#N/A</v>
      </c>
      <c r="C868">
        <f>6843.81</f>
        <v>6843.81</v>
      </c>
      <c r="D868" t="e">
        <f>NA()</f>
        <v>#N/A</v>
      </c>
      <c r="E868" t="e">
        <f>NA()</f>
        <v>#N/A</v>
      </c>
      <c r="F868" t="e">
        <f>NA()</f>
        <v>#N/A</v>
      </c>
      <c r="G868" t="e">
        <f>NA()</f>
        <v>#N/A</v>
      </c>
    </row>
    <row r="869" spans="1:7" x14ac:dyDescent="0.25">
      <c r="A869" s="1">
        <v>43924</v>
      </c>
      <c r="B869">
        <f>1620.81</f>
        <v>1620.81</v>
      </c>
      <c r="C869">
        <f>6703.55</f>
        <v>6703.55</v>
      </c>
      <c r="D869">
        <f>14.3881</f>
        <v>14.3881</v>
      </c>
      <c r="E869">
        <f>208</f>
        <v>208</v>
      </c>
      <c r="F869">
        <f>372.69</f>
        <v>372.69</v>
      </c>
      <c r="G869">
        <f>180.0852</f>
        <v>180.08519999999999</v>
      </c>
    </row>
    <row r="870" spans="1:7" x14ac:dyDescent="0.25">
      <c r="A870" s="1">
        <v>43923</v>
      </c>
      <c r="B870">
        <f>1613.99</f>
        <v>1613.99</v>
      </c>
      <c r="C870">
        <f>6749.37</f>
        <v>6749.37</v>
      </c>
      <c r="D870">
        <f>14.4888</f>
        <v>14.488799999999999</v>
      </c>
      <c r="E870">
        <f>206</f>
        <v>206</v>
      </c>
      <c r="F870">
        <f>367.6</f>
        <v>367.6</v>
      </c>
      <c r="G870">
        <f>180.111</f>
        <v>180.11099999999999</v>
      </c>
    </row>
    <row r="871" spans="1:7" x14ac:dyDescent="0.25">
      <c r="A871" s="1">
        <v>43922</v>
      </c>
      <c r="B871">
        <f>1591.51</f>
        <v>1591.51</v>
      </c>
      <c r="C871">
        <f>6351.21</f>
        <v>6351.21</v>
      </c>
      <c r="D871">
        <f>13.9625</f>
        <v>13.9625</v>
      </c>
      <c r="E871">
        <f>207</f>
        <v>207</v>
      </c>
      <c r="F871">
        <f>373.37</f>
        <v>373.37</v>
      </c>
      <c r="G871">
        <f>181.6403</f>
        <v>181.6403</v>
      </c>
    </row>
    <row r="872" spans="1:7" x14ac:dyDescent="0.25">
      <c r="A872" s="1">
        <v>43921</v>
      </c>
      <c r="B872">
        <f>1577.18</f>
        <v>1577.18</v>
      </c>
      <c r="C872">
        <f>6481.37</f>
        <v>6481.37</v>
      </c>
      <c r="D872">
        <f>13.974</f>
        <v>13.974</v>
      </c>
      <c r="E872" t="e">
        <f>NA()</f>
        <v>#N/A</v>
      </c>
      <c r="F872">
        <f>385.92</f>
        <v>385.92</v>
      </c>
      <c r="G872">
        <f>186.4212</f>
        <v>186.4212</v>
      </c>
    </row>
    <row r="873" spans="1:7" x14ac:dyDescent="0.25">
      <c r="A873" s="1">
        <v>43920</v>
      </c>
      <c r="B873">
        <f>1622.51</f>
        <v>1622.51</v>
      </c>
      <c r="C873">
        <f>6477.56</f>
        <v>6477.56</v>
      </c>
      <c r="D873">
        <f>14.0487</f>
        <v>14.0487</v>
      </c>
      <c r="E873">
        <f>210</f>
        <v>210</v>
      </c>
      <c r="F873">
        <f>386.43</f>
        <v>386.43</v>
      </c>
      <c r="G873">
        <f>186.0493</f>
        <v>186.04929999999999</v>
      </c>
    </row>
    <row r="874" spans="1:7" x14ac:dyDescent="0.25">
      <c r="A874" s="1">
        <v>43919</v>
      </c>
      <c r="B874" t="e">
        <f>NA()</f>
        <v>#N/A</v>
      </c>
      <c r="C874">
        <f>5949.89</f>
        <v>5949.89</v>
      </c>
      <c r="D874" t="e">
        <f>NA()</f>
        <v>#N/A</v>
      </c>
      <c r="E874" t="e">
        <f>NA()</f>
        <v>#N/A</v>
      </c>
      <c r="F874" t="e">
        <f>NA()</f>
        <v>#N/A</v>
      </c>
      <c r="G874" t="e">
        <f>NA()</f>
        <v>#N/A</v>
      </c>
    </row>
    <row r="875" spans="1:7" x14ac:dyDescent="0.25">
      <c r="A875" s="1">
        <v>43918</v>
      </c>
      <c r="B875" t="e">
        <f>NA()</f>
        <v>#N/A</v>
      </c>
      <c r="C875">
        <f>6258.91</f>
        <v>6258.91</v>
      </c>
      <c r="D875" t="e">
        <f>NA()</f>
        <v>#N/A</v>
      </c>
      <c r="E875" t="e">
        <f>NA()</f>
        <v>#N/A</v>
      </c>
      <c r="F875" t="e">
        <f>NA()</f>
        <v>#N/A</v>
      </c>
      <c r="G875" t="e">
        <f>NA()</f>
        <v>#N/A</v>
      </c>
    </row>
    <row r="876" spans="1:7" x14ac:dyDescent="0.25">
      <c r="A876" s="1">
        <v>43917</v>
      </c>
      <c r="B876">
        <f>1628.16</f>
        <v>1628.16</v>
      </c>
      <c r="C876">
        <f>6683.67</f>
        <v>6683.67</v>
      </c>
      <c r="D876">
        <f>14.4683</f>
        <v>14.468299999999999</v>
      </c>
      <c r="E876">
        <f>212</f>
        <v>212</v>
      </c>
      <c r="F876">
        <f>387.62</f>
        <v>387.62</v>
      </c>
      <c r="G876">
        <f>187.0002</f>
        <v>187.00020000000001</v>
      </c>
    </row>
    <row r="877" spans="1:7" x14ac:dyDescent="0.25">
      <c r="A877" s="1">
        <v>43916</v>
      </c>
      <c r="B877">
        <f>1631.34</f>
        <v>1631.34</v>
      </c>
      <c r="C877">
        <f>6744.69</f>
        <v>6744.69</v>
      </c>
      <c r="D877">
        <f>14.4055</f>
        <v>14.4055</v>
      </c>
      <c r="E877">
        <f>207</f>
        <v>207</v>
      </c>
      <c r="F877">
        <f>386.09</f>
        <v>386.09</v>
      </c>
      <c r="G877">
        <f>187.288</f>
        <v>187.28800000000001</v>
      </c>
    </row>
    <row r="878" spans="1:7" x14ac:dyDescent="0.25">
      <c r="A878" s="1">
        <v>43915</v>
      </c>
      <c r="B878">
        <f>1616.9</f>
        <v>1616.9</v>
      </c>
      <c r="C878">
        <f>6598.56</f>
        <v>6598.56</v>
      </c>
      <c r="D878">
        <f>14.4763</f>
        <v>14.4763</v>
      </c>
      <c r="E878">
        <f>211</f>
        <v>211</v>
      </c>
      <c r="F878">
        <f>393.55</f>
        <v>393.55</v>
      </c>
      <c r="G878">
        <f>188.6111</f>
        <v>188.61109999999999</v>
      </c>
    </row>
    <row r="879" spans="1:7" x14ac:dyDescent="0.25">
      <c r="A879" s="1">
        <v>43914</v>
      </c>
      <c r="B879">
        <f>1632.32</f>
        <v>1632.32</v>
      </c>
      <c r="C879">
        <f>6752.28</f>
        <v>6752.28</v>
      </c>
      <c r="D879">
        <f>14.2808</f>
        <v>14.280799999999999</v>
      </c>
      <c r="E879" t="e">
        <f>NA()</f>
        <v>#N/A</v>
      </c>
      <c r="F879">
        <f>381</f>
        <v>381</v>
      </c>
      <c r="G879">
        <f>187.11</f>
        <v>187.11</v>
      </c>
    </row>
    <row r="880" spans="1:7" x14ac:dyDescent="0.25">
      <c r="A880" s="1">
        <v>43913</v>
      </c>
      <c r="B880">
        <f>1553.23</f>
        <v>1553.23</v>
      </c>
      <c r="C880">
        <f>6414.54</f>
        <v>6414.54</v>
      </c>
      <c r="D880">
        <f>13.265</f>
        <v>13.265000000000001</v>
      </c>
      <c r="E880" t="e">
        <f>NA()</f>
        <v>#N/A</v>
      </c>
      <c r="F880">
        <f>381.68</f>
        <v>381.68</v>
      </c>
      <c r="G880">
        <f>186.2276</f>
        <v>186.2276</v>
      </c>
    </row>
    <row r="881" spans="1:7" x14ac:dyDescent="0.25">
      <c r="A881" s="1">
        <v>43912</v>
      </c>
      <c r="B881" t="e">
        <f>NA()</f>
        <v>#N/A</v>
      </c>
      <c r="C881">
        <f>5937.7</f>
        <v>5937.7</v>
      </c>
      <c r="D881" t="e">
        <f>NA()</f>
        <v>#N/A</v>
      </c>
      <c r="E881" t="e">
        <f>NA()</f>
        <v>#N/A</v>
      </c>
      <c r="F881" t="e">
        <f>NA()</f>
        <v>#N/A</v>
      </c>
      <c r="G881" t="e">
        <f>NA()</f>
        <v>#N/A</v>
      </c>
    </row>
    <row r="882" spans="1:7" x14ac:dyDescent="0.25">
      <c r="A882" s="1">
        <v>43911</v>
      </c>
      <c r="B882" t="e">
        <f>NA()</f>
        <v>#N/A</v>
      </c>
      <c r="C882">
        <f>6336.94</f>
        <v>6336.94</v>
      </c>
      <c r="D882" t="e">
        <f>NA()</f>
        <v>#N/A</v>
      </c>
      <c r="E882" t="e">
        <f>NA()</f>
        <v>#N/A</v>
      </c>
      <c r="F882" t="e">
        <f>NA()</f>
        <v>#N/A</v>
      </c>
      <c r="G882" t="e">
        <f>NA()</f>
        <v>#N/A</v>
      </c>
    </row>
    <row r="883" spans="1:7" x14ac:dyDescent="0.25">
      <c r="A883" s="1">
        <v>43910</v>
      </c>
      <c r="B883">
        <f>1498.65</f>
        <v>1498.65</v>
      </c>
      <c r="C883">
        <f>5971.92</f>
        <v>5971.92</v>
      </c>
      <c r="D883">
        <f>12.6173</f>
        <v>12.6173</v>
      </c>
      <c r="E883">
        <f>210</f>
        <v>210</v>
      </c>
      <c r="F883">
        <f>365.9</f>
        <v>365.9</v>
      </c>
      <c r="G883">
        <f>182.3228</f>
        <v>182.3228</v>
      </c>
    </row>
    <row r="884" spans="1:7" x14ac:dyDescent="0.25">
      <c r="A884" s="1">
        <v>43909</v>
      </c>
      <c r="B884">
        <f>1471.24</f>
        <v>1471.24</v>
      </c>
      <c r="C884">
        <f>6254.32</f>
        <v>6254.32</v>
      </c>
      <c r="D884">
        <f>12.1182</f>
        <v>12.1182</v>
      </c>
      <c r="E884">
        <f>210</f>
        <v>210</v>
      </c>
      <c r="F884">
        <f>363.02</f>
        <v>363.02</v>
      </c>
      <c r="G884">
        <f>180.8109</f>
        <v>180.8109</v>
      </c>
    </row>
    <row r="885" spans="1:7" x14ac:dyDescent="0.25">
      <c r="A885" s="1">
        <v>43908</v>
      </c>
      <c r="B885">
        <f>1486.05</f>
        <v>1486.05</v>
      </c>
      <c r="C885">
        <f>5338.27</f>
        <v>5338.27</v>
      </c>
      <c r="D885">
        <f>11.981</f>
        <v>11.981</v>
      </c>
      <c r="E885">
        <f>210</f>
        <v>210</v>
      </c>
      <c r="F885">
        <f>344.87</f>
        <v>344.87</v>
      </c>
      <c r="G885">
        <f>175.0407</f>
        <v>175.04069999999999</v>
      </c>
    </row>
    <row r="886" spans="1:7" x14ac:dyDescent="0.25">
      <c r="A886" s="1">
        <v>43907</v>
      </c>
      <c r="B886">
        <f>1528.3</f>
        <v>1528.3</v>
      </c>
      <c r="C886">
        <f>5469.8</f>
        <v>5469.8</v>
      </c>
      <c r="D886">
        <f>12.6152</f>
        <v>12.6152</v>
      </c>
      <c r="E886">
        <f>245</f>
        <v>245</v>
      </c>
      <c r="F886">
        <f>338.76</f>
        <v>338.76</v>
      </c>
      <c r="G886">
        <f>175.4216</f>
        <v>175.42160000000001</v>
      </c>
    </row>
    <row r="887" spans="1:7" x14ac:dyDescent="0.25">
      <c r="A887" s="1">
        <v>43906</v>
      </c>
      <c r="B887">
        <f>1514.1</f>
        <v>1514.1</v>
      </c>
      <c r="C887">
        <f>4904.48</f>
        <v>4904.4799999999996</v>
      </c>
      <c r="D887">
        <f>12.9108</f>
        <v>12.9108</v>
      </c>
      <c r="E887" t="e">
        <f>NA()</f>
        <v>#N/A</v>
      </c>
      <c r="F887">
        <f>337.91</f>
        <v>337.91</v>
      </c>
      <c r="G887">
        <f>176.8327</f>
        <v>176.83269999999999</v>
      </c>
    </row>
    <row r="888" spans="1:7" x14ac:dyDescent="0.25">
      <c r="A888" s="1">
        <v>43905</v>
      </c>
      <c r="B888" t="e">
        <f>NA()</f>
        <v>#N/A</v>
      </c>
      <c r="C888">
        <f>5177.49</f>
        <v>5177.49</v>
      </c>
      <c r="D888" t="e">
        <f>NA()</f>
        <v>#N/A</v>
      </c>
      <c r="E888" t="e">
        <f>NA()</f>
        <v>#N/A</v>
      </c>
      <c r="F888" t="e">
        <f>NA()</f>
        <v>#N/A</v>
      </c>
      <c r="G888" t="e">
        <f>NA()</f>
        <v>#N/A</v>
      </c>
    </row>
    <row r="889" spans="1:7" x14ac:dyDescent="0.25">
      <c r="A889" s="1">
        <v>43904</v>
      </c>
      <c r="B889" t="e">
        <f>NA()</f>
        <v>#N/A</v>
      </c>
      <c r="C889">
        <f>5334.27</f>
        <v>5334.27</v>
      </c>
      <c r="D889" t="e">
        <f>NA()</f>
        <v>#N/A</v>
      </c>
      <c r="E889" t="e">
        <f>NA()</f>
        <v>#N/A</v>
      </c>
      <c r="F889" t="e">
        <f>NA()</f>
        <v>#N/A</v>
      </c>
      <c r="G889" t="e">
        <f>NA()</f>
        <v>#N/A</v>
      </c>
    </row>
    <row r="890" spans="1:7" x14ac:dyDescent="0.25">
      <c r="A890" s="1">
        <v>43903</v>
      </c>
      <c r="B890">
        <f>1529.83</f>
        <v>1529.83</v>
      </c>
      <c r="C890">
        <f>5434.09</f>
        <v>5434.09</v>
      </c>
      <c r="D890">
        <f>14.7206</f>
        <v>14.720599999999999</v>
      </c>
      <c r="E890">
        <f>258</f>
        <v>258</v>
      </c>
      <c r="F890">
        <f>343.34</f>
        <v>343.34</v>
      </c>
      <c r="G890">
        <f>181.7136</f>
        <v>181.71360000000001</v>
      </c>
    </row>
    <row r="891" spans="1:7" x14ac:dyDescent="0.25">
      <c r="A891" s="1">
        <v>43902</v>
      </c>
      <c r="B891">
        <f>1576.15</f>
        <v>1576.15</v>
      </c>
      <c r="C891">
        <f>5725.35</f>
        <v>5725.35</v>
      </c>
      <c r="D891">
        <f>15.8217</f>
        <v>15.8217</v>
      </c>
      <c r="E891">
        <f>258</f>
        <v>258</v>
      </c>
      <c r="F891">
        <f>343</f>
        <v>343</v>
      </c>
      <c r="G891">
        <f>182.5178</f>
        <v>182.51779999999999</v>
      </c>
    </row>
    <row r="892" spans="1:7" x14ac:dyDescent="0.25">
      <c r="A892" s="1">
        <v>43901</v>
      </c>
      <c r="B892">
        <f>1635.04</f>
        <v>1635.04</v>
      </c>
      <c r="C892">
        <f>7863.14</f>
        <v>7863.14</v>
      </c>
      <c r="D892">
        <f>16.7545</f>
        <v>16.7545</v>
      </c>
      <c r="E892">
        <f>258</f>
        <v>258</v>
      </c>
      <c r="F892">
        <f>347.92</f>
        <v>347.92</v>
      </c>
      <c r="G892">
        <f>185.7613</f>
        <v>185.76130000000001</v>
      </c>
    </row>
    <row r="893" spans="1:7" x14ac:dyDescent="0.25">
      <c r="A893" s="1">
        <v>43900</v>
      </c>
      <c r="B893">
        <f>1649.4</f>
        <v>1649.4</v>
      </c>
      <c r="C893">
        <f>7999.1</f>
        <v>7999.1</v>
      </c>
      <c r="D893">
        <f>16.8937</f>
        <v>16.893699999999999</v>
      </c>
      <c r="E893">
        <f>258</f>
        <v>258</v>
      </c>
      <c r="F893">
        <f>354.37</f>
        <v>354.37</v>
      </c>
      <c r="G893">
        <f>187.5445</f>
        <v>187.5445</v>
      </c>
    </row>
    <row r="894" spans="1:7" x14ac:dyDescent="0.25">
      <c r="A894" s="1">
        <v>43899</v>
      </c>
      <c r="B894">
        <f>1680.47</f>
        <v>1680.47</v>
      </c>
      <c r="C894">
        <f>7861.2</f>
        <v>7861.2</v>
      </c>
      <c r="D894">
        <f>17.0165</f>
        <v>17.016500000000001</v>
      </c>
      <c r="E894">
        <f>258</f>
        <v>258</v>
      </c>
      <c r="F894">
        <f>351.99</f>
        <v>351.99</v>
      </c>
      <c r="G894">
        <f>185.8157</f>
        <v>185.81569999999999</v>
      </c>
    </row>
    <row r="895" spans="1:7" x14ac:dyDescent="0.25">
      <c r="A895" s="1">
        <v>43898</v>
      </c>
      <c r="B895" t="e">
        <f>NA()</f>
        <v>#N/A</v>
      </c>
      <c r="C895">
        <f>8079.07</f>
        <v>8079.07</v>
      </c>
      <c r="D895" t="e">
        <f>NA()</f>
        <v>#N/A</v>
      </c>
      <c r="E895" t="e">
        <f>NA()</f>
        <v>#N/A</v>
      </c>
      <c r="F895" t="e">
        <f>NA()</f>
        <v>#N/A</v>
      </c>
      <c r="G895" t="e">
        <f>NA()</f>
        <v>#N/A</v>
      </c>
    </row>
    <row r="896" spans="1:7" x14ac:dyDescent="0.25">
      <c r="A896" s="1">
        <v>43897</v>
      </c>
      <c r="B896" t="e">
        <f>NA()</f>
        <v>#N/A</v>
      </c>
      <c r="C896">
        <f>8892.79</f>
        <v>8892.7900000000009</v>
      </c>
      <c r="D896" t="e">
        <f>NA()</f>
        <v>#N/A</v>
      </c>
      <c r="E896" t="e">
        <f>NA()</f>
        <v>#N/A</v>
      </c>
      <c r="F896" t="e">
        <f>NA()</f>
        <v>#N/A</v>
      </c>
      <c r="G896" t="e">
        <f>NA()</f>
        <v>#N/A</v>
      </c>
    </row>
    <row r="897" spans="1:7" x14ac:dyDescent="0.25">
      <c r="A897" s="1">
        <v>43896</v>
      </c>
      <c r="B897">
        <f>1673.83</f>
        <v>1673.83</v>
      </c>
      <c r="C897">
        <f>9138.35</f>
        <v>9138.35</v>
      </c>
      <c r="D897">
        <f>17.3484</f>
        <v>17.348400000000002</v>
      </c>
      <c r="E897">
        <f>258</f>
        <v>258</v>
      </c>
      <c r="F897">
        <f>349.96</f>
        <v>349.96</v>
      </c>
      <c r="G897">
        <f>187.9822</f>
        <v>187.98220000000001</v>
      </c>
    </row>
    <row r="898" spans="1:7" x14ac:dyDescent="0.25">
      <c r="A898" s="1">
        <v>43895</v>
      </c>
      <c r="B898">
        <f>1672.23</f>
        <v>1672.23</v>
      </c>
      <c r="C898">
        <f>9115.82</f>
        <v>9115.82</v>
      </c>
      <c r="D898">
        <f>17.435</f>
        <v>17.434999999999999</v>
      </c>
      <c r="E898">
        <f>258</f>
        <v>258</v>
      </c>
      <c r="F898">
        <f>351.99</f>
        <v>351.99</v>
      </c>
      <c r="G898">
        <f>189.6826</f>
        <v>189.68260000000001</v>
      </c>
    </row>
    <row r="899" spans="1:7" x14ac:dyDescent="0.25">
      <c r="A899" s="1">
        <v>43894</v>
      </c>
      <c r="B899">
        <f>1636.93</f>
        <v>1636.93</v>
      </c>
      <c r="C899">
        <f>8732.24</f>
        <v>8732.24</v>
      </c>
      <c r="D899">
        <f>17.216</f>
        <v>17.216000000000001</v>
      </c>
      <c r="E899">
        <f>258</f>
        <v>258</v>
      </c>
      <c r="F899">
        <f>351.65</f>
        <v>351.65</v>
      </c>
      <c r="G899">
        <f>191.2782</f>
        <v>191.2782</v>
      </c>
    </row>
    <row r="900" spans="1:7" x14ac:dyDescent="0.25">
      <c r="A900" s="1">
        <v>43893</v>
      </c>
      <c r="B900">
        <f>1640.9</f>
        <v>1640.9</v>
      </c>
      <c r="C900">
        <f>8738.3</f>
        <v>8738.2999999999993</v>
      </c>
      <c r="D900">
        <f>17.2185</f>
        <v>17.218499999999999</v>
      </c>
      <c r="E900">
        <f>258</f>
        <v>258</v>
      </c>
      <c r="F900">
        <f>357.76</f>
        <v>357.76</v>
      </c>
      <c r="G900">
        <f>191.1074</f>
        <v>191.10740000000001</v>
      </c>
    </row>
    <row r="901" spans="1:7" x14ac:dyDescent="0.25">
      <c r="A901" s="1">
        <v>43892</v>
      </c>
      <c r="B901">
        <f>1589.44</f>
        <v>1589.44</v>
      </c>
      <c r="C901">
        <f>8945.93</f>
        <v>8945.93</v>
      </c>
      <c r="D901">
        <f>16.7347</f>
        <v>16.7347</v>
      </c>
      <c r="E901">
        <f>258</f>
        <v>258</v>
      </c>
      <c r="F901">
        <f>355.05</f>
        <v>355.05</v>
      </c>
      <c r="G901">
        <f>189.5586</f>
        <v>189.55860000000001</v>
      </c>
    </row>
    <row r="902" spans="1:7" x14ac:dyDescent="0.25">
      <c r="A902" s="1">
        <v>43891</v>
      </c>
      <c r="B902" t="e">
        <f>NA()</f>
        <v>#N/A</v>
      </c>
      <c r="C902">
        <f>8512.54</f>
        <v>8512.5400000000009</v>
      </c>
      <c r="D902" t="e">
        <f>NA()</f>
        <v>#N/A</v>
      </c>
      <c r="E902" t="e">
        <f>NA()</f>
        <v>#N/A</v>
      </c>
      <c r="F902" t="e">
        <f>NA()</f>
        <v>#N/A</v>
      </c>
      <c r="G902" t="e">
        <f>NA()</f>
        <v>#N/A</v>
      </c>
    </row>
    <row r="903" spans="1:7" x14ac:dyDescent="0.25">
      <c r="A903" s="1">
        <v>43890</v>
      </c>
      <c r="B903" t="e">
        <f>NA()</f>
        <v>#N/A</v>
      </c>
      <c r="C903">
        <f>8633.36</f>
        <v>8633.36</v>
      </c>
      <c r="D903" t="e">
        <f>NA()</f>
        <v>#N/A</v>
      </c>
      <c r="E903" t="e">
        <f>NA()</f>
        <v>#N/A</v>
      </c>
      <c r="F903" t="e">
        <f>NA()</f>
        <v>#N/A</v>
      </c>
      <c r="G903" t="e">
        <f>NA()</f>
        <v>#N/A</v>
      </c>
    </row>
    <row r="904" spans="1:7" x14ac:dyDescent="0.25">
      <c r="A904" s="1">
        <v>43889</v>
      </c>
      <c r="B904">
        <f>1585.69</f>
        <v>1585.69</v>
      </c>
      <c r="C904">
        <f>8671.27</f>
        <v>8671.27</v>
      </c>
      <c r="D904">
        <f>16.665</f>
        <v>16.664999999999999</v>
      </c>
      <c r="E904">
        <f>258</f>
        <v>258</v>
      </c>
      <c r="F904">
        <f>356.23</f>
        <v>356.23</v>
      </c>
      <c r="G904">
        <f>187.5444</f>
        <v>187.5444</v>
      </c>
    </row>
    <row r="905" spans="1:7" x14ac:dyDescent="0.25">
      <c r="A905" s="1">
        <v>43888</v>
      </c>
      <c r="B905">
        <f>1645.01</f>
        <v>1645.01</v>
      </c>
      <c r="C905">
        <f>8757.31</f>
        <v>8757.31</v>
      </c>
      <c r="D905">
        <f>17.775</f>
        <v>17.774999999999999</v>
      </c>
      <c r="E905">
        <f>258</f>
        <v>258</v>
      </c>
      <c r="F905">
        <f>357.93</f>
        <v>357.93</v>
      </c>
      <c r="G905">
        <f>187.7754</f>
        <v>187.77539999999999</v>
      </c>
    </row>
    <row r="906" spans="1:7" x14ac:dyDescent="0.25">
      <c r="A906" s="1">
        <v>43887</v>
      </c>
      <c r="B906">
        <f>1640.96</f>
        <v>1640.96</v>
      </c>
      <c r="C906">
        <f>8747.24</f>
        <v>8747.24</v>
      </c>
      <c r="D906">
        <f>17.9207</f>
        <v>17.9207</v>
      </c>
      <c r="E906">
        <f>258</f>
        <v>258</v>
      </c>
      <c r="F906">
        <f>363.53</f>
        <v>363.53</v>
      </c>
      <c r="G906">
        <f>189.6188</f>
        <v>189.61879999999999</v>
      </c>
    </row>
    <row r="907" spans="1:7" x14ac:dyDescent="0.25">
      <c r="A907" s="1">
        <v>43886</v>
      </c>
      <c r="B907">
        <f>1635.14</f>
        <v>1635.14</v>
      </c>
      <c r="C907">
        <f>9383.9</f>
        <v>9383.9</v>
      </c>
      <c r="D907">
        <f>18.001</f>
        <v>18.001000000000001</v>
      </c>
      <c r="E907" t="e">
        <f>NA()</f>
        <v>#N/A</v>
      </c>
      <c r="F907">
        <f>364.38</f>
        <v>364.38</v>
      </c>
      <c r="G907">
        <f>189.9076</f>
        <v>189.9076</v>
      </c>
    </row>
    <row r="908" spans="1:7" x14ac:dyDescent="0.25">
      <c r="A908" s="1">
        <v>43885</v>
      </c>
      <c r="B908">
        <f>1659.38</f>
        <v>1659.38</v>
      </c>
      <c r="C908">
        <f>9606.78</f>
        <v>9606.7800000000007</v>
      </c>
      <c r="D908">
        <f>18.6345</f>
        <v>18.634499999999999</v>
      </c>
      <c r="E908" t="e">
        <f>NA()</f>
        <v>#N/A</v>
      </c>
      <c r="F908">
        <f>362.85</f>
        <v>362.85</v>
      </c>
      <c r="G908">
        <f>189.1793</f>
        <v>189.17930000000001</v>
      </c>
    </row>
    <row r="909" spans="1:7" x14ac:dyDescent="0.25">
      <c r="A909" s="1">
        <v>43884</v>
      </c>
      <c r="B909" t="e">
        <f>NA()</f>
        <v>#N/A</v>
      </c>
      <c r="C909">
        <f>9885.42</f>
        <v>9885.42</v>
      </c>
      <c r="D909" t="e">
        <f>NA()</f>
        <v>#N/A</v>
      </c>
      <c r="E909" t="e">
        <f>NA()</f>
        <v>#N/A</v>
      </c>
      <c r="F909" t="e">
        <f>NA()</f>
        <v>#N/A</v>
      </c>
      <c r="G909" t="e">
        <f>NA()</f>
        <v>#N/A</v>
      </c>
    </row>
    <row r="910" spans="1:7" x14ac:dyDescent="0.25">
      <c r="A910" s="1">
        <v>43883</v>
      </c>
      <c r="B910" t="e">
        <f>NA()</f>
        <v>#N/A</v>
      </c>
      <c r="C910">
        <f>9697.32</f>
        <v>9697.32</v>
      </c>
      <c r="D910" t="e">
        <f>NA()</f>
        <v>#N/A</v>
      </c>
      <c r="E910" t="e">
        <f>NA()</f>
        <v>#N/A</v>
      </c>
      <c r="F910" t="e">
        <f>NA()</f>
        <v>#N/A</v>
      </c>
      <c r="G910" t="e">
        <f>NA()</f>
        <v>#N/A</v>
      </c>
    </row>
    <row r="911" spans="1:7" x14ac:dyDescent="0.25">
      <c r="A911" s="1">
        <v>43882</v>
      </c>
      <c r="B911">
        <f>1643.41</f>
        <v>1643.41</v>
      </c>
      <c r="C911">
        <f>9674.01</f>
        <v>9674.01</v>
      </c>
      <c r="D911">
        <f>18.489</f>
        <v>18.489000000000001</v>
      </c>
      <c r="E911">
        <f>258</f>
        <v>258</v>
      </c>
      <c r="F911">
        <f>374.55</f>
        <v>374.55</v>
      </c>
      <c r="G911">
        <f>193.0316</f>
        <v>193.0316</v>
      </c>
    </row>
    <row r="912" spans="1:7" x14ac:dyDescent="0.25">
      <c r="A912" s="1">
        <v>43881</v>
      </c>
      <c r="B912">
        <f>1619.56</f>
        <v>1619.56</v>
      </c>
      <c r="C912">
        <f>9610.56</f>
        <v>9610.56</v>
      </c>
      <c r="D912">
        <f>18.3655</f>
        <v>18.365500000000001</v>
      </c>
      <c r="E912">
        <f>258</f>
        <v>258</v>
      </c>
      <c r="F912">
        <f>379.47</f>
        <v>379.47</v>
      </c>
      <c r="G912">
        <f>194.2572</f>
        <v>194.25720000000001</v>
      </c>
    </row>
    <row r="913" spans="1:7" x14ac:dyDescent="0.25">
      <c r="A913" s="1">
        <v>43880</v>
      </c>
      <c r="B913">
        <f>1611.7</f>
        <v>1611.7</v>
      </c>
      <c r="C913">
        <f>9612.05</f>
        <v>9612.0499999999993</v>
      </c>
      <c r="D913">
        <f>18.432</f>
        <v>18.431999999999999</v>
      </c>
      <c r="E913">
        <f>258</f>
        <v>258</v>
      </c>
      <c r="F913">
        <f>381.68</f>
        <v>381.68</v>
      </c>
      <c r="G913">
        <f>195.4972</f>
        <v>195.49719999999999</v>
      </c>
    </row>
    <row r="914" spans="1:7" x14ac:dyDescent="0.25">
      <c r="A914" s="1">
        <v>43879</v>
      </c>
      <c r="B914">
        <f>1601.61</f>
        <v>1601.61</v>
      </c>
      <c r="C914">
        <f>10154.96</f>
        <v>10154.959999999999</v>
      </c>
      <c r="D914">
        <f>18.173</f>
        <v>18.172999999999998</v>
      </c>
      <c r="E914">
        <f>258</f>
        <v>258</v>
      </c>
      <c r="F914">
        <f>383.38</f>
        <v>383.38</v>
      </c>
      <c r="G914">
        <f>196.0893</f>
        <v>196.08930000000001</v>
      </c>
    </row>
    <row r="915" spans="1:7" x14ac:dyDescent="0.25">
      <c r="A915" s="1">
        <v>43878</v>
      </c>
      <c r="B915">
        <f>1581.13</f>
        <v>1581.13</v>
      </c>
      <c r="C915">
        <f>9646.95</f>
        <v>9646.9500000000007</v>
      </c>
      <c r="D915">
        <f>17.694</f>
        <v>17.693999999999999</v>
      </c>
      <c r="E915" t="e">
        <f>NA()</f>
        <v>#N/A</v>
      </c>
      <c r="F915" t="e">
        <f>NA()</f>
        <v>#N/A</v>
      </c>
      <c r="G915" t="e">
        <f>NA()</f>
        <v>#N/A</v>
      </c>
    </row>
    <row r="916" spans="1:7" x14ac:dyDescent="0.25">
      <c r="A916" s="1">
        <v>43877</v>
      </c>
      <c r="B916" t="e">
        <f>NA()</f>
        <v>#N/A</v>
      </c>
      <c r="C916">
        <f>9773.09</f>
        <v>9773.09</v>
      </c>
      <c r="D916" t="e">
        <f>NA()</f>
        <v>#N/A</v>
      </c>
      <c r="E916" t="e">
        <f>NA()</f>
        <v>#N/A</v>
      </c>
      <c r="F916" t="e">
        <f>NA()</f>
        <v>#N/A</v>
      </c>
      <c r="G916" t="e">
        <f>NA()</f>
        <v>#N/A</v>
      </c>
    </row>
    <row r="917" spans="1:7" x14ac:dyDescent="0.25">
      <c r="A917" s="1">
        <v>43876</v>
      </c>
      <c r="B917" t="e">
        <f>NA()</f>
        <v>#N/A</v>
      </c>
      <c r="C917">
        <f>9924.7</f>
        <v>9924.7000000000007</v>
      </c>
      <c r="D917" t="e">
        <f>NA()</f>
        <v>#N/A</v>
      </c>
      <c r="E917" t="e">
        <f>NA()</f>
        <v>#N/A</v>
      </c>
      <c r="F917" t="e">
        <f>NA()</f>
        <v>#N/A</v>
      </c>
      <c r="G917" t="e">
        <f>NA()</f>
        <v>#N/A</v>
      </c>
    </row>
    <row r="918" spans="1:7" x14ac:dyDescent="0.25">
      <c r="A918" s="1">
        <v>43875</v>
      </c>
      <c r="B918">
        <f>1584.06</f>
        <v>1584.06</v>
      </c>
      <c r="C918">
        <f>10344.55</f>
        <v>10344.549999999999</v>
      </c>
      <c r="D918">
        <f>17.7413</f>
        <v>17.741299999999999</v>
      </c>
      <c r="E918">
        <f>258</f>
        <v>258</v>
      </c>
      <c r="F918">
        <f>367.43</f>
        <v>367.43</v>
      </c>
      <c r="G918">
        <f>192.7377</f>
        <v>192.73769999999999</v>
      </c>
    </row>
    <row r="919" spans="1:7" x14ac:dyDescent="0.25">
      <c r="A919" s="1">
        <v>43874</v>
      </c>
      <c r="B919">
        <f>1576</f>
        <v>1576</v>
      </c>
      <c r="C919">
        <f>10180.13</f>
        <v>10180.129999999999</v>
      </c>
      <c r="D919">
        <f>17.6485</f>
        <v>17.648499999999999</v>
      </c>
      <c r="E919" t="e">
        <f>NA()</f>
        <v>#N/A</v>
      </c>
      <c r="F919">
        <f>369.64</f>
        <v>369.64</v>
      </c>
      <c r="G919">
        <f>193.2956</f>
        <v>193.29560000000001</v>
      </c>
    </row>
    <row r="920" spans="1:7" x14ac:dyDescent="0.25">
      <c r="A920" s="1">
        <v>43873</v>
      </c>
      <c r="B920">
        <f>1566.06</f>
        <v>1566.06</v>
      </c>
      <c r="C920">
        <f>10389.08</f>
        <v>10389.08</v>
      </c>
      <c r="D920">
        <f>17.4865</f>
        <v>17.486499999999999</v>
      </c>
      <c r="E920">
        <f>258</f>
        <v>258</v>
      </c>
      <c r="F920">
        <f>372.04</f>
        <v>372.04</v>
      </c>
      <c r="G920">
        <f>193.641</f>
        <v>193.64099999999999</v>
      </c>
    </row>
    <row r="921" spans="1:7" x14ac:dyDescent="0.25">
      <c r="A921" s="1">
        <v>43872</v>
      </c>
      <c r="B921">
        <f>1567.89</f>
        <v>1567.89</v>
      </c>
      <c r="C921">
        <f>10236.53</f>
        <v>10236.530000000001</v>
      </c>
      <c r="D921">
        <f>17.6472</f>
        <v>17.647200000000002</v>
      </c>
      <c r="E921" t="e">
        <f>NA()</f>
        <v>#N/A</v>
      </c>
      <c r="F921">
        <f>368.58</f>
        <v>368.58</v>
      </c>
      <c r="G921">
        <f>191.6885</f>
        <v>191.6885</v>
      </c>
    </row>
    <row r="922" spans="1:7" x14ac:dyDescent="0.25">
      <c r="A922" s="1">
        <v>43871</v>
      </c>
      <c r="B922">
        <f>1572.15</f>
        <v>1572.15</v>
      </c>
      <c r="C922">
        <f>9866.28</f>
        <v>9866.2800000000007</v>
      </c>
      <c r="D922">
        <f>17.767</f>
        <v>17.766999999999999</v>
      </c>
      <c r="E922">
        <f>258</f>
        <v>258</v>
      </c>
      <c r="F922">
        <f>374.42</f>
        <v>374.42</v>
      </c>
      <c r="G922">
        <f>192.4267</f>
        <v>192.42670000000001</v>
      </c>
    </row>
    <row r="923" spans="1:7" x14ac:dyDescent="0.25">
      <c r="A923" s="1">
        <v>43870</v>
      </c>
      <c r="B923" t="e">
        <f>NA()</f>
        <v>#N/A</v>
      </c>
      <c r="C923">
        <f>10077.63</f>
        <v>10077.629999999999</v>
      </c>
      <c r="D923" t="e">
        <f>NA()</f>
        <v>#N/A</v>
      </c>
      <c r="E923" t="e">
        <f>NA()</f>
        <v>#N/A</v>
      </c>
      <c r="F923" t="e">
        <f>NA()</f>
        <v>#N/A</v>
      </c>
      <c r="G923" t="e">
        <f>NA()</f>
        <v>#N/A</v>
      </c>
    </row>
    <row r="924" spans="1:7" x14ac:dyDescent="0.25">
      <c r="A924" s="1">
        <v>43869</v>
      </c>
      <c r="B924" t="e">
        <f>NA()</f>
        <v>#N/A</v>
      </c>
      <c r="C924">
        <f>9925.58</f>
        <v>9925.58</v>
      </c>
      <c r="D924" t="e">
        <f>NA()</f>
        <v>#N/A</v>
      </c>
      <c r="E924" t="e">
        <f>NA()</f>
        <v>#N/A</v>
      </c>
      <c r="F924" t="e">
        <f>NA()</f>
        <v>#N/A</v>
      </c>
      <c r="G924" t="e">
        <f>NA()</f>
        <v>#N/A</v>
      </c>
    </row>
    <row r="925" spans="1:7" x14ac:dyDescent="0.25">
      <c r="A925" s="1">
        <v>43868</v>
      </c>
      <c r="B925">
        <f>1570.44</f>
        <v>1570.44</v>
      </c>
      <c r="C925">
        <f>9744.46</f>
        <v>9744.4599999999991</v>
      </c>
      <c r="D925">
        <f>17.701</f>
        <v>17.701000000000001</v>
      </c>
      <c r="E925" t="e">
        <f>NA()</f>
        <v>#N/A</v>
      </c>
      <c r="F925">
        <f>378.86</f>
        <v>378.86</v>
      </c>
      <c r="G925">
        <f>192.6396</f>
        <v>192.6396</v>
      </c>
    </row>
    <row r="926" spans="1:7" x14ac:dyDescent="0.25">
      <c r="A926" s="1">
        <v>43867</v>
      </c>
      <c r="B926">
        <f>1566.66</f>
        <v>1566.66</v>
      </c>
      <c r="C926">
        <f>9737.36</f>
        <v>9737.36</v>
      </c>
      <c r="D926">
        <f>17.823</f>
        <v>17.823</v>
      </c>
      <c r="E926">
        <f>258</f>
        <v>258</v>
      </c>
      <c r="F926">
        <f>377.44</f>
        <v>377.44</v>
      </c>
      <c r="G926">
        <f>191.4195</f>
        <v>191.4195</v>
      </c>
    </row>
    <row r="927" spans="1:7" x14ac:dyDescent="0.25">
      <c r="A927" s="1">
        <v>43866</v>
      </c>
      <c r="B927">
        <f>1556.02</f>
        <v>1556.02</v>
      </c>
      <c r="C927">
        <f>9687.28</f>
        <v>9687.2800000000007</v>
      </c>
      <c r="D927">
        <f>17.6112</f>
        <v>17.6112</v>
      </c>
      <c r="E927">
        <f>258</f>
        <v>258</v>
      </c>
      <c r="F927">
        <f>381.34</f>
        <v>381.34</v>
      </c>
      <c r="G927">
        <f>192.2484</f>
        <v>192.2484</v>
      </c>
    </row>
    <row r="928" spans="1:7" x14ac:dyDescent="0.25">
      <c r="A928" s="1">
        <v>43865</v>
      </c>
      <c r="B928">
        <f>1552.92</f>
        <v>1552.92</v>
      </c>
      <c r="C928">
        <f>9139.77</f>
        <v>9139.77</v>
      </c>
      <c r="D928">
        <f>17.5945</f>
        <v>17.5945</v>
      </c>
      <c r="E928">
        <f>258</f>
        <v>258</v>
      </c>
      <c r="F928">
        <f>378.12</f>
        <v>378.12</v>
      </c>
      <c r="G928">
        <f>191.9182</f>
        <v>191.91820000000001</v>
      </c>
    </row>
    <row r="929" spans="1:7" x14ac:dyDescent="0.25">
      <c r="A929" s="1">
        <v>43864</v>
      </c>
      <c r="B929">
        <f>1576.73</f>
        <v>1576.73</v>
      </c>
      <c r="C929">
        <f>9274.19</f>
        <v>9274.19</v>
      </c>
      <c r="D929">
        <f>17.6822</f>
        <v>17.682200000000002</v>
      </c>
      <c r="E929">
        <f>258</f>
        <v>258</v>
      </c>
      <c r="F929">
        <f>376.93</f>
        <v>376.93</v>
      </c>
      <c r="G929">
        <f>190.9427</f>
        <v>190.9427</v>
      </c>
    </row>
    <row r="930" spans="1:7" x14ac:dyDescent="0.25">
      <c r="A930" s="1">
        <v>43863</v>
      </c>
      <c r="B930" t="e">
        <f>NA()</f>
        <v>#N/A</v>
      </c>
      <c r="C930">
        <f>9443.43</f>
        <v>9443.43</v>
      </c>
      <c r="D930" t="e">
        <f>NA()</f>
        <v>#N/A</v>
      </c>
      <c r="E930" t="e">
        <f>NA()</f>
        <v>#N/A</v>
      </c>
      <c r="F930" t="e">
        <f>NA()</f>
        <v>#N/A</v>
      </c>
      <c r="G930" t="e">
        <f>NA()</f>
        <v>#N/A</v>
      </c>
    </row>
    <row r="931" spans="1:7" x14ac:dyDescent="0.25">
      <c r="A931" s="1">
        <v>43862</v>
      </c>
      <c r="B931" t="e">
        <f>NA()</f>
        <v>#N/A</v>
      </c>
      <c r="C931">
        <f>9358.74</f>
        <v>9358.74</v>
      </c>
      <c r="D931" t="e">
        <f>NA()</f>
        <v>#N/A</v>
      </c>
      <c r="E931" t="e">
        <f>NA()</f>
        <v>#N/A</v>
      </c>
      <c r="F931" t="e">
        <f>NA()</f>
        <v>#N/A</v>
      </c>
      <c r="G931" t="e">
        <f>NA()</f>
        <v>#N/A</v>
      </c>
    </row>
    <row r="932" spans="1:7" x14ac:dyDescent="0.25">
      <c r="A932" s="1">
        <v>43861</v>
      </c>
      <c r="B932">
        <f>1589.16</f>
        <v>1589.16</v>
      </c>
      <c r="C932">
        <f>9354.29</f>
        <v>9354.2900000000009</v>
      </c>
      <c r="D932">
        <f>18.0425</f>
        <v>18.0425</v>
      </c>
      <c r="E932">
        <f>258</f>
        <v>258</v>
      </c>
      <c r="F932">
        <f>375.74</f>
        <v>375.74</v>
      </c>
      <c r="G932">
        <f>190.9115</f>
        <v>190.91149999999999</v>
      </c>
    </row>
    <row r="933" spans="1:7" x14ac:dyDescent="0.25">
      <c r="A933" s="1">
        <v>43860</v>
      </c>
      <c r="B933">
        <f>1574.28</f>
        <v>1574.28</v>
      </c>
      <c r="C933">
        <f>9552.18</f>
        <v>9552.18</v>
      </c>
      <c r="D933">
        <f>17.8398</f>
        <v>17.8398</v>
      </c>
      <c r="E933">
        <f>258</f>
        <v>258</v>
      </c>
      <c r="F933">
        <f>380.32</f>
        <v>380.32</v>
      </c>
      <c r="G933">
        <f>191.5315</f>
        <v>191.53149999999999</v>
      </c>
    </row>
    <row r="934" spans="1:7" x14ac:dyDescent="0.25">
      <c r="A934" s="1">
        <v>43859</v>
      </c>
      <c r="B934">
        <f>1576.83</f>
        <v>1576.83</v>
      </c>
      <c r="C934">
        <f>9354.7</f>
        <v>9354.7000000000007</v>
      </c>
      <c r="D934">
        <f>17.5585</f>
        <v>17.558499999999999</v>
      </c>
      <c r="E934">
        <f>258</f>
        <v>258</v>
      </c>
      <c r="F934">
        <f>381.51</f>
        <v>381.51</v>
      </c>
      <c r="G934">
        <f>193.8069</f>
        <v>193.80690000000001</v>
      </c>
    </row>
    <row r="935" spans="1:7" x14ac:dyDescent="0.25">
      <c r="A935" s="1">
        <v>43858</v>
      </c>
      <c r="B935">
        <f>1567.17</f>
        <v>1567.17</v>
      </c>
      <c r="C935">
        <f>9042.56</f>
        <v>9042.56</v>
      </c>
      <c r="D935">
        <f>17.472</f>
        <v>17.472000000000001</v>
      </c>
      <c r="E935">
        <f>258</f>
        <v>258</v>
      </c>
      <c r="F935">
        <f>386.6</f>
        <v>386.6</v>
      </c>
      <c r="G935">
        <f>195.2694</f>
        <v>195.26939999999999</v>
      </c>
    </row>
    <row r="936" spans="1:7" x14ac:dyDescent="0.25">
      <c r="A936" s="1">
        <v>43857</v>
      </c>
      <c r="B936">
        <f>1582.06</f>
        <v>1582.06</v>
      </c>
      <c r="C936" t="e">
        <f>NA()</f>
        <v>#N/A</v>
      </c>
      <c r="D936">
        <f>18.0995</f>
        <v>18.099499999999999</v>
      </c>
      <c r="E936">
        <f>258</f>
        <v>258</v>
      </c>
      <c r="F936">
        <f>388.29</f>
        <v>388.29</v>
      </c>
      <c r="G936">
        <f>194.6579</f>
        <v>194.65790000000001</v>
      </c>
    </row>
    <row r="937" spans="1:7" x14ac:dyDescent="0.25">
      <c r="A937" s="1">
        <v>43854</v>
      </c>
      <c r="B937">
        <f>1571.53</f>
        <v>1571.53</v>
      </c>
      <c r="C937">
        <f>8406.05</f>
        <v>8406.0499999999993</v>
      </c>
      <c r="D937">
        <f>18.1002</f>
        <v>18.100200000000001</v>
      </c>
      <c r="E937">
        <f>258</f>
        <v>258</v>
      </c>
      <c r="F937">
        <f>389.14</f>
        <v>389.14</v>
      </c>
      <c r="G937">
        <f>196.3331</f>
        <v>196.3331</v>
      </c>
    </row>
    <row r="938" spans="1:7" x14ac:dyDescent="0.25">
      <c r="A938" s="1">
        <v>43853</v>
      </c>
      <c r="B938">
        <f>1562.94</f>
        <v>1562.94</v>
      </c>
      <c r="C938">
        <f>8382.87</f>
        <v>8382.8700000000008</v>
      </c>
      <c r="D938">
        <f>17.7995</f>
        <v>17.799499999999998</v>
      </c>
      <c r="E938">
        <f>258</f>
        <v>258</v>
      </c>
      <c r="F938">
        <f>393.89</f>
        <v>393.89</v>
      </c>
      <c r="G938">
        <f>198.8149</f>
        <v>198.81489999999999</v>
      </c>
    </row>
    <row r="939" spans="1:7" x14ac:dyDescent="0.25">
      <c r="A939" s="1">
        <v>43852</v>
      </c>
      <c r="B939">
        <f>1558.78</f>
        <v>1558.78</v>
      </c>
      <c r="C939">
        <f>8640.65</f>
        <v>8640.65</v>
      </c>
      <c r="D939">
        <f>17.8397</f>
        <v>17.839700000000001</v>
      </c>
      <c r="E939">
        <f>248</f>
        <v>248</v>
      </c>
      <c r="F939">
        <f>392.03</f>
        <v>392.03</v>
      </c>
      <c r="G939">
        <f>198.0162</f>
        <v>198.0162</v>
      </c>
    </row>
    <row r="940" spans="1:7" x14ac:dyDescent="0.25">
      <c r="A940" s="1">
        <v>43851</v>
      </c>
      <c r="B940">
        <f>1558.17</f>
        <v>1558.17</v>
      </c>
      <c r="C940">
        <f>8721.88</f>
        <v>8721.8799999999992</v>
      </c>
      <c r="D940">
        <f>17.7875</f>
        <v>17.787500000000001</v>
      </c>
      <c r="E940">
        <f>245</f>
        <v>245</v>
      </c>
      <c r="F940">
        <f>394.57</f>
        <v>394.57</v>
      </c>
      <c r="G940">
        <f>198.4921</f>
        <v>198.49209999999999</v>
      </c>
    </row>
    <row r="941" spans="1:7" x14ac:dyDescent="0.25">
      <c r="A941" s="1">
        <v>43850</v>
      </c>
      <c r="B941">
        <f>1560.77</f>
        <v>1560.77</v>
      </c>
      <c r="C941">
        <f>8671.68</f>
        <v>8671.68</v>
      </c>
      <c r="D941">
        <f>18.0776</f>
        <v>18.0776</v>
      </c>
      <c r="E941">
        <f>245</f>
        <v>245</v>
      </c>
      <c r="F941" t="e">
        <f>NA()</f>
        <v>#N/A</v>
      </c>
      <c r="G941" t="e">
        <f>NA()</f>
        <v>#N/A</v>
      </c>
    </row>
    <row r="942" spans="1:7" x14ac:dyDescent="0.25">
      <c r="A942" s="1">
        <v>43849</v>
      </c>
      <c r="B942" t="e">
        <f>NA()</f>
        <v>#N/A</v>
      </c>
      <c r="C942">
        <f>8718.75</f>
        <v>8718.75</v>
      </c>
      <c r="D942" t="e">
        <f>NA()</f>
        <v>#N/A</v>
      </c>
      <c r="E942" t="e">
        <f>NA()</f>
        <v>#N/A</v>
      </c>
      <c r="F942" t="e">
        <f>NA()</f>
        <v>#N/A</v>
      </c>
      <c r="G942" t="e">
        <f>NA()</f>
        <v>#N/A</v>
      </c>
    </row>
    <row r="943" spans="1:7" x14ac:dyDescent="0.25">
      <c r="A943" s="1">
        <v>43848</v>
      </c>
      <c r="B943" t="e">
        <f>NA()</f>
        <v>#N/A</v>
      </c>
      <c r="C943">
        <f>8914.28</f>
        <v>8914.2800000000007</v>
      </c>
      <c r="D943" t="e">
        <f>NA()</f>
        <v>#N/A</v>
      </c>
      <c r="E943" t="e">
        <f>NA()</f>
        <v>#N/A</v>
      </c>
      <c r="F943" t="e">
        <f>NA()</f>
        <v>#N/A</v>
      </c>
      <c r="G943" t="e">
        <f>NA()</f>
        <v>#N/A</v>
      </c>
    </row>
    <row r="944" spans="1:7" x14ac:dyDescent="0.25">
      <c r="A944" s="1">
        <v>43847</v>
      </c>
      <c r="B944">
        <f>1557.24</f>
        <v>1557.24</v>
      </c>
      <c r="C944">
        <f>8906.32</f>
        <v>8906.32</v>
      </c>
      <c r="D944">
        <f>18.0412</f>
        <v>18.0412</v>
      </c>
      <c r="E944">
        <f>245</f>
        <v>245</v>
      </c>
      <c r="F944">
        <f>387.11</f>
        <v>387.11</v>
      </c>
      <c r="G944">
        <f>198.8594</f>
        <v>198.85939999999999</v>
      </c>
    </row>
    <row r="945" spans="1:7" x14ac:dyDescent="0.25">
      <c r="A945" s="1">
        <v>43846</v>
      </c>
      <c r="B945">
        <f>1552.51</f>
        <v>1552.51</v>
      </c>
      <c r="C945">
        <f>8678.8</f>
        <v>8678.7999999999993</v>
      </c>
      <c r="D945">
        <f>17.943</f>
        <v>17.943000000000001</v>
      </c>
      <c r="E945">
        <f>245</f>
        <v>245</v>
      </c>
      <c r="F945">
        <f>383.55</f>
        <v>383.55</v>
      </c>
      <c r="G945">
        <f>195.1464</f>
        <v>195.1464</v>
      </c>
    </row>
    <row r="946" spans="1:7" x14ac:dyDescent="0.25">
      <c r="A946" s="1">
        <v>43845</v>
      </c>
      <c r="B946">
        <f>1556.25</f>
        <v>1556.25</v>
      </c>
      <c r="C946">
        <f>8821.69</f>
        <v>8821.69</v>
      </c>
      <c r="D946">
        <f>18.004</f>
        <v>18.004000000000001</v>
      </c>
      <c r="E946">
        <f>245</f>
        <v>245</v>
      </c>
      <c r="F946">
        <f>388.97</f>
        <v>388.97</v>
      </c>
      <c r="G946">
        <f>198.7329</f>
        <v>198.7329</v>
      </c>
    </row>
    <row r="947" spans="1:7" x14ac:dyDescent="0.25">
      <c r="A947" s="1">
        <v>43844</v>
      </c>
      <c r="B947">
        <f>1546.39</f>
        <v>1546.39</v>
      </c>
      <c r="C947">
        <f>8736.16</f>
        <v>8736.16</v>
      </c>
      <c r="D947">
        <f>17.803</f>
        <v>17.803000000000001</v>
      </c>
      <c r="E947">
        <f>245</f>
        <v>245</v>
      </c>
      <c r="F947">
        <f>385.75</f>
        <v>385.75</v>
      </c>
      <c r="G947">
        <f>199.6744</f>
        <v>199.67439999999999</v>
      </c>
    </row>
    <row r="948" spans="1:7" x14ac:dyDescent="0.25">
      <c r="A948" s="1">
        <v>43843</v>
      </c>
      <c r="B948">
        <f>1547.88</f>
        <v>1547.88</v>
      </c>
      <c r="C948">
        <f>8131.06</f>
        <v>8131.06</v>
      </c>
      <c r="D948">
        <f>17.9598</f>
        <v>17.959800000000001</v>
      </c>
      <c r="E948">
        <f>235</f>
        <v>235</v>
      </c>
      <c r="F948">
        <f>381.51</f>
        <v>381.51</v>
      </c>
      <c r="G948">
        <f>199.1553</f>
        <v>199.15530000000001</v>
      </c>
    </row>
    <row r="949" spans="1:7" x14ac:dyDescent="0.25">
      <c r="A949" s="1">
        <v>43842</v>
      </c>
      <c r="B949" t="e">
        <f>NA()</f>
        <v>#N/A</v>
      </c>
      <c r="C949">
        <f>8099.1</f>
        <v>8099.1</v>
      </c>
      <c r="D949" t="e">
        <f>NA()</f>
        <v>#N/A</v>
      </c>
      <c r="E949" t="e">
        <f>NA()</f>
        <v>#N/A</v>
      </c>
      <c r="F949" t="e">
        <f>NA()</f>
        <v>#N/A</v>
      </c>
      <c r="G949" t="e">
        <f>NA()</f>
        <v>#N/A</v>
      </c>
    </row>
    <row r="950" spans="1:7" x14ac:dyDescent="0.25">
      <c r="A950" s="1">
        <v>43841</v>
      </c>
      <c r="B950" t="e">
        <f>NA()</f>
        <v>#N/A</v>
      </c>
      <c r="C950">
        <f>8101.99</f>
        <v>8101.99</v>
      </c>
      <c r="D950" t="e">
        <f>NA()</f>
        <v>#N/A</v>
      </c>
      <c r="E950" t="e">
        <f>NA()</f>
        <v>#N/A</v>
      </c>
      <c r="F950" t="e">
        <f>NA()</f>
        <v>#N/A</v>
      </c>
      <c r="G950" t="e">
        <f>NA()</f>
        <v>#N/A</v>
      </c>
    </row>
    <row r="951" spans="1:7" x14ac:dyDescent="0.25">
      <c r="A951" s="1">
        <v>43840</v>
      </c>
      <c r="B951">
        <f>1562.34</f>
        <v>1562.34</v>
      </c>
      <c r="C951">
        <f>8043.69</f>
        <v>8043.69</v>
      </c>
      <c r="D951">
        <f>18.115</f>
        <v>18.114999999999998</v>
      </c>
      <c r="E951">
        <f>227</f>
        <v>227</v>
      </c>
      <c r="F951">
        <f>383.04</f>
        <v>383.04</v>
      </c>
      <c r="G951">
        <f>198.9492</f>
        <v>198.94919999999999</v>
      </c>
    </row>
    <row r="952" spans="1:7" x14ac:dyDescent="0.25">
      <c r="A952" s="1">
        <v>43839</v>
      </c>
      <c r="B952">
        <f>1552.32</f>
        <v>1552.32</v>
      </c>
      <c r="C952">
        <f>7786.84</f>
        <v>7786.84</v>
      </c>
      <c r="D952">
        <f>17.9015</f>
        <v>17.901499999999999</v>
      </c>
      <c r="E952">
        <f>227</f>
        <v>227</v>
      </c>
      <c r="F952">
        <f>381.51</f>
        <v>381.51</v>
      </c>
      <c r="G952">
        <f>197.9754</f>
        <v>197.97540000000001</v>
      </c>
    </row>
    <row r="953" spans="1:7" x14ac:dyDescent="0.25">
      <c r="A953" s="1">
        <v>43838</v>
      </c>
      <c r="B953">
        <f>1556.42</f>
        <v>1556.42</v>
      </c>
      <c r="C953">
        <f>8004.26</f>
        <v>8004.26</v>
      </c>
      <c r="D953">
        <f>18.103</f>
        <v>18.103000000000002</v>
      </c>
      <c r="E953">
        <f>226</f>
        <v>226</v>
      </c>
      <c r="F953">
        <f>375.06</f>
        <v>375.06</v>
      </c>
      <c r="G953">
        <f>197.4375</f>
        <v>197.4375</v>
      </c>
    </row>
    <row r="954" spans="1:7" x14ac:dyDescent="0.25">
      <c r="A954" s="1">
        <v>43837</v>
      </c>
      <c r="B954">
        <f>1574.37</f>
        <v>1574.37</v>
      </c>
      <c r="C954">
        <f>8021.36</f>
        <v>8021.36</v>
      </c>
      <c r="D954">
        <f>18.406</f>
        <v>18.405999999999999</v>
      </c>
      <c r="E954">
        <f>226</f>
        <v>226</v>
      </c>
      <c r="F954">
        <f>373.37</f>
        <v>373.37</v>
      </c>
      <c r="G954">
        <f>196.9006</f>
        <v>196.9006</v>
      </c>
    </row>
    <row r="955" spans="1:7" x14ac:dyDescent="0.25">
      <c r="A955" s="1">
        <v>43836</v>
      </c>
      <c r="B955">
        <f>1565.74</f>
        <v>1565.74</v>
      </c>
      <c r="C955">
        <f>7575.93</f>
        <v>7575.93</v>
      </c>
      <c r="D955">
        <f>18.1523</f>
        <v>18.1523</v>
      </c>
      <c r="E955">
        <f>226</f>
        <v>226</v>
      </c>
      <c r="F955">
        <f>373.2</f>
        <v>373.2</v>
      </c>
      <c r="G955">
        <f>197.0545</f>
        <v>197.05449999999999</v>
      </c>
    </row>
    <row r="956" spans="1:7" x14ac:dyDescent="0.25">
      <c r="A956" s="1">
        <v>43835</v>
      </c>
      <c r="B956" t="e">
        <f>NA()</f>
        <v>#N/A</v>
      </c>
      <c r="C956">
        <f>7363.55</f>
        <v>7363.55</v>
      </c>
      <c r="D956" t="e">
        <f>NA()</f>
        <v>#N/A</v>
      </c>
      <c r="E956" t="e">
        <f>NA()</f>
        <v>#N/A</v>
      </c>
      <c r="F956" t="e">
        <f>NA()</f>
        <v>#N/A</v>
      </c>
      <c r="G956" t="e">
        <f>NA()</f>
        <v>#N/A</v>
      </c>
    </row>
    <row r="957" spans="1:7" x14ac:dyDescent="0.25">
      <c r="A957" s="1">
        <v>43833</v>
      </c>
      <c r="B957">
        <f>1552.2</f>
        <v>1552.2</v>
      </c>
      <c r="C957">
        <f>7269.82</f>
        <v>7269.82</v>
      </c>
      <c r="D957">
        <f>18.06</f>
        <v>18.059999999999999</v>
      </c>
      <c r="E957">
        <f>226</f>
        <v>226</v>
      </c>
      <c r="F957">
        <f>376.25</f>
        <v>376.25</v>
      </c>
      <c r="G957">
        <f>197.378</f>
        <v>197.37799999999999</v>
      </c>
    </row>
    <row r="958" spans="1:7" x14ac:dyDescent="0.25">
      <c r="A958" s="1">
        <v>43832</v>
      </c>
      <c r="B958">
        <f>1529.13</f>
        <v>1529.13</v>
      </c>
      <c r="C958">
        <f>6960.58</f>
        <v>6960.58</v>
      </c>
      <c r="D958">
        <f>18.0222</f>
        <v>18.022200000000002</v>
      </c>
      <c r="E958">
        <f>224</f>
        <v>224</v>
      </c>
      <c r="F958">
        <f>380.15</f>
        <v>380.15</v>
      </c>
      <c r="G958">
        <f>200.1522</f>
        <v>200.15219999999999</v>
      </c>
    </row>
    <row r="959" spans="1:7" x14ac:dyDescent="0.25">
      <c r="A959" s="1">
        <v>43831</v>
      </c>
      <c r="B959">
        <f>1517.29</f>
        <v>1517.29</v>
      </c>
      <c r="C959">
        <f>7216.21</f>
        <v>7216.21</v>
      </c>
      <c r="D959">
        <f>17.853</f>
        <v>17.853000000000002</v>
      </c>
      <c r="E959" t="e">
        <f>NA()</f>
        <v>#N/A</v>
      </c>
      <c r="F959" t="e">
        <f>NA()</f>
        <v>#N/A</v>
      </c>
      <c r="G959" t="e">
        <f>NA()</f>
        <v>#N/A</v>
      </c>
    </row>
    <row r="960" spans="1:7" x14ac:dyDescent="0.25">
      <c r="A960" s="1">
        <v>43830</v>
      </c>
      <c r="B960">
        <f>1517.27</f>
        <v>1517.27</v>
      </c>
      <c r="C960">
        <f>7158.27</f>
        <v>7158.27</v>
      </c>
      <c r="D960">
        <f>17.8523</f>
        <v>17.8523</v>
      </c>
      <c r="E960" t="e">
        <f>NA()</f>
        <v>#N/A</v>
      </c>
      <c r="F960">
        <f>379.13</f>
        <v>379.13</v>
      </c>
      <c r="G960">
        <f>199.3256</f>
        <v>199.32560000000001</v>
      </c>
    </row>
    <row r="961" spans="1:7" x14ac:dyDescent="0.25">
      <c r="A961" s="1">
        <v>43829</v>
      </c>
      <c r="B961">
        <f>1515.16</f>
        <v>1515.16</v>
      </c>
      <c r="C961">
        <f>7243.35</f>
        <v>7243.35</v>
      </c>
      <c r="D961">
        <f>17.9292</f>
        <v>17.929200000000002</v>
      </c>
      <c r="E961">
        <f>224</f>
        <v>224</v>
      </c>
      <c r="F961">
        <f>377.27</f>
        <v>377.27</v>
      </c>
      <c r="G961">
        <f>198.8204</f>
        <v>198.82040000000001</v>
      </c>
    </row>
    <row r="962" spans="1:7" x14ac:dyDescent="0.25">
      <c r="A962" s="1">
        <v>43828</v>
      </c>
      <c r="B962" t="e">
        <f>NA()</f>
        <v>#N/A</v>
      </c>
      <c r="C962">
        <f>7388.48</f>
        <v>7388.48</v>
      </c>
      <c r="D962" t="e">
        <f>NA()</f>
        <v>#N/A</v>
      </c>
      <c r="E962" t="e">
        <f>NA()</f>
        <v>#N/A</v>
      </c>
      <c r="F962" t="e">
        <f>NA()</f>
        <v>#N/A</v>
      </c>
      <c r="G962" t="e">
        <f>NA()</f>
        <v>#N/A</v>
      </c>
    </row>
    <row r="963" spans="1:7" x14ac:dyDescent="0.25">
      <c r="A963" s="1">
        <v>43826</v>
      </c>
      <c r="B963">
        <f>1510.56</f>
        <v>1510.56</v>
      </c>
      <c r="C963">
        <f>7219.5</f>
        <v>7219.5</v>
      </c>
      <c r="D963">
        <f>17.7675</f>
        <v>17.767499999999998</v>
      </c>
      <c r="E963">
        <f>204</f>
        <v>204</v>
      </c>
      <c r="F963">
        <f>377.44</f>
        <v>377.44</v>
      </c>
      <c r="G963">
        <f>198.2865</f>
        <v>198.28649999999999</v>
      </c>
    </row>
    <row r="964" spans="1:7" x14ac:dyDescent="0.25">
      <c r="A964" s="1">
        <v>43825</v>
      </c>
      <c r="B964">
        <f>1511.53</f>
        <v>1511.53</v>
      </c>
      <c r="C964">
        <f>7189.08</f>
        <v>7189.08</v>
      </c>
      <c r="D964">
        <f>17.8976</f>
        <v>17.897600000000001</v>
      </c>
      <c r="E964">
        <f>204</f>
        <v>204</v>
      </c>
      <c r="F964">
        <f>372.52</f>
        <v>372.52</v>
      </c>
      <c r="G964">
        <f>197.5959</f>
        <v>197.5959</v>
      </c>
    </row>
    <row r="965" spans="1:7" x14ac:dyDescent="0.25">
      <c r="A965" s="1">
        <v>43824</v>
      </c>
      <c r="B965">
        <f>1499.84</f>
        <v>1499.84</v>
      </c>
      <c r="C965">
        <f>7211.27</f>
        <v>7211.27</v>
      </c>
      <c r="D965">
        <f>17.779</f>
        <v>17.779</v>
      </c>
      <c r="E965" t="e">
        <f>NA()</f>
        <v>#N/A</v>
      </c>
      <c r="F965" t="e">
        <f>NA()</f>
        <v>#N/A</v>
      </c>
      <c r="G965" t="e">
        <f>NA()</f>
        <v>#N/A</v>
      </c>
    </row>
    <row r="966" spans="1:7" x14ac:dyDescent="0.25">
      <c r="A966" s="1">
        <v>43823</v>
      </c>
      <c r="B966">
        <f>1499.41</f>
        <v>1499.41</v>
      </c>
      <c r="C966">
        <f>7246.81</f>
        <v>7246.81</v>
      </c>
      <c r="D966">
        <f>17.795</f>
        <v>17.795000000000002</v>
      </c>
      <c r="E966" t="e">
        <f>NA()</f>
        <v>#N/A</v>
      </c>
      <c r="F966">
        <f>367.09</f>
        <v>367.09</v>
      </c>
      <c r="G966">
        <f>196.3994</f>
        <v>196.39940000000001</v>
      </c>
    </row>
    <row r="967" spans="1:7" x14ac:dyDescent="0.25">
      <c r="A967" s="1">
        <v>43822</v>
      </c>
      <c r="B967">
        <f>1485.79</f>
        <v>1485.79</v>
      </c>
      <c r="C967">
        <f>7319.77</f>
        <v>7319.77</v>
      </c>
      <c r="D967">
        <f>17.4525</f>
        <v>17.452500000000001</v>
      </c>
      <c r="E967">
        <f>204</f>
        <v>204</v>
      </c>
      <c r="F967">
        <f>366.07</f>
        <v>366.07</v>
      </c>
      <c r="G967">
        <f>196.2658</f>
        <v>196.26580000000001</v>
      </c>
    </row>
    <row r="968" spans="1:7" x14ac:dyDescent="0.25">
      <c r="A968" s="1">
        <v>43821</v>
      </c>
      <c r="B968" t="e">
        <f>NA()</f>
        <v>#N/A</v>
      </c>
      <c r="C968">
        <f>7407.05</f>
        <v>7407.05</v>
      </c>
      <c r="D968" t="e">
        <f>NA()</f>
        <v>#N/A</v>
      </c>
      <c r="E968" t="e">
        <f>NA()</f>
        <v>#N/A</v>
      </c>
      <c r="F968" t="e">
        <f>NA()</f>
        <v>#N/A</v>
      </c>
      <c r="G968" t="e">
        <f>NA()</f>
        <v>#N/A</v>
      </c>
    </row>
    <row r="969" spans="1:7" x14ac:dyDescent="0.25">
      <c r="A969" s="1">
        <v>43819</v>
      </c>
      <c r="B969">
        <f>1478.22</f>
        <v>1478.22</v>
      </c>
      <c r="C969">
        <f>7198.73</f>
        <v>7198.73</v>
      </c>
      <c r="D969">
        <f>17.1984</f>
        <v>17.198399999999999</v>
      </c>
      <c r="E969">
        <f>204</f>
        <v>204</v>
      </c>
      <c r="F969">
        <f>367.94</f>
        <v>367.94</v>
      </c>
      <c r="G969">
        <f>196.0868</f>
        <v>196.08680000000001</v>
      </c>
    </row>
    <row r="970" spans="1:7" x14ac:dyDescent="0.25">
      <c r="A970" s="1">
        <v>43818</v>
      </c>
      <c r="B970">
        <f>1478.8</f>
        <v>1478.8</v>
      </c>
      <c r="C970">
        <f>7157.05</f>
        <v>7157.05</v>
      </c>
      <c r="D970">
        <f>17.0637</f>
        <v>17.063700000000001</v>
      </c>
      <c r="E970">
        <f>204</f>
        <v>204</v>
      </c>
      <c r="F970">
        <f>369.97</f>
        <v>369.97</v>
      </c>
      <c r="G970">
        <f>195.8671</f>
        <v>195.86709999999999</v>
      </c>
    </row>
    <row r="971" spans="1:7" x14ac:dyDescent="0.25">
      <c r="A971" s="1">
        <v>43817</v>
      </c>
      <c r="B971">
        <f>1475.4</f>
        <v>1475.4</v>
      </c>
      <c r="C971">
        <f>7131.58</f>
        <v>7131.58</v>
      </c>
      <c r="D971">
        <f>17.0165</f>
        <v>17.016500000000001</v>
      </c>
      <c r="E971">
        <f>204</f>
        <v>204</v>
      </c>
      <c r="F971">
        <f>372.01</f>
        <v>372.01</v>
      </c>
      <c r="G971">
        <f>196.5549</f>
        <v>196.5549</v>
      </c>
    </row>
    <row r="972" spans="1:7" x14ac:dyDescent="0.25">
      <c r="A972" s="1">
        <v>43816</v>
      </c>
      <c r="B972">
        <f>1476.22</f>
        <v>1476.22</v>
      </c>
      <c r="C972">
        <f>6616.45</f>
        <v>6616.45</v>
      </c>
      <c r="D972">
        <f>17.0105</f>
        <v>17.0105</v>
      </c>
      <c r="E972">
        <f>203</f>
        <v>203</v>
      </c>
      <c r="F972">
        <f>377.44</f>
        <v>377.44</v>
      </c>
      <c r="G972">
        <f>197.8407</f>
        <v>197.8407</v>
      </c>
    </row>
    <row r="973" spans="1:7" x14ac:dyDescent="0.25">
      <c r="A973" s="1">
        <v>43815</v>
      </c>
      <c r="B973">
        <f>1476.18</f>
        <v>1476.18</v>
      </c>
      <c r="C973">
        <f>6876.58</f>
        <v>6876.58</v>
      </c>
      <c r="D973">
        <f>17.0395</f>
        <v>17.0395</v>
      </c>
      <c r="E973">
        <f>201</f>
        <v>201</v>
      </c>
      <c r="F973">
        <f>373.03</f>
        <v>373.03</v>
      </c>
      <c r="G973">
        <f>196.4904</f>
        <v>196.49039999999999</v>
      </c>
    </row>
    <row r="974" spans="1:7" x14ac:dyDescent="0.25">
      <c r="A974" s="1">
        <v>43814</v>
      </c>
      <c r="B974" t="e">
        <f>NA()</f>
        <v>#N/A</v>
      </c>
      <c r="C974">
        <f>7120.76</f>
        <v>7120.76</v>
      </c>
      <c r="D974" t="e">
        <f>NA()</f>
        <v>#N/A</v>
      </c>
      <c r="E974" t="e">
        <f>NA()</f>
        <v>#N/A</v>
      </c>
      <c r="F974" t="e">
        <f>NA()</f>
        <v>#N/A</v>
      </c>
      <c r="G974" t="e">
        <f>NA()</f>
        <v>#N/A</v>
      </c>
    </row>
    <row r="975" spans="1:7" x14ac:dyDescent="0.25">
      <c r="A975" s="1">
        <v>43812</v>
      </c>
      <c r="B975">
        <f>1476.33</f>
        <v>1476.33</v>
      </c>
      <c r="C975">
        <f>7240.62</f>
        <v>7240.62</v>
      </c>
      <c r="D975">
        <f>16.9326</f>
        <v>16.932600000000001</v>
      </c>
      <c r="E975">
        <f>201</f>
        <v>201</v>
      </c>
      <c r="F975">
        <f>361.32</f>
        <v>361.32</v>
      </c>
      <c r="G975">
        <f>192.2704</f>
        <v>192.2704</v>
      </c>
    </row>
    <row r="976" spans="1:7" x14ac:dyDescent="0.25">
      <c r="A976" s="1">
        <v>43811</v>
      </c>
      <c r="B976">
        <f>1469.8</f>
        <v>1469.8</v>
      </c>
      <c r="C976">
        <f>7200.62</f>
        <v>7200.62</v>
      </c>
      <c r="D976">
        <f>16.9287</f>
        <v>16.928699999999999</v>
      </c>
      <c r="E976">
        <f>200</f>
        <v>200</v>
      </c>
      <c r="F976">
        <f>359.8</f>
        <v>359.8</v>
      </c>
      <c r="G976">
        <f>190.6024</f>
        <v>190.60239999999999</v>
      </c>
    </row>
    <row r="977" spans="1:7" x14ac:dyDescent="0.25">
      <c r="A977" s="1">
        <v>43810</v>
      </c>
      <c r="B977">
        <f>1474.88</f>
        <v>1474.88</v>
      </c>
      <c r="C977">
        <f>7191.95</f>
        <v>7191.95</v>
      </c>
      <c r="D977">
        <f>16.8628</f>
        <v>16.8628</v>
      </c>
      <c r="E977">
        <f>200</f>
        <v>200</v>
      </c>
      <c r="F977">
        <f>352.33</f>
        <v>352.33</v>
      </c>
      <c r="G977">
        <f>187.687</f>
        <v>187.68700000000001</v>
      </c>
    </row>
    <row r="978" spans="1:7" x14ac:dyDescent="0.25">
      <c r="A978" s="1">
        <v>43809</v>
      </c>
      <c r="B978">
        <f>1464.39</f>
        <v>1464.39</v>
      </c>
      <c r="C978">
        <f>7222.09</f>
        <v>7222.09</v>
      </c>
      <c r="D978">
        <f>16.665</f>
        <v>16.664999999999999</v>
      </c>
      <c r="E978">
        <f>200</f>
        <v>200</v>
      </c>
      <c r="F978">
        <f>355.39</f>
        <v>355.39</v>
      </c>
      <c r="G978">
        <f>189.4403</f>
        <v>189.44030000000001</v>
      </c>
    </row>
    <row r="979" spans="1:7" x14ac:dyDescent="0.25">
      <c r="A979" s="1">
        <v>43808</v>
      </c>
      <c r="B979">
        <f>1461.68</f>
        <v>1461.68</v>
      </c>
      <c r="C979">
        <f>7356.78</f>
        <v>7356.78</v>
      </c>
      <c r="D979">
        <f>16.6063</f>
        <v>16.606300000000001</v>
      </c>
      <c r="E979">
        <f>200</f>
        <v>200</v>
      </c>
      <c r="F979">
        <f>354.71</f>
        <v>354.71</v>
      </c>
      <c r="G979">
        <f>188.4565</f>
        <v>188.45650000000001</v>
      </c>
    </row>
    <row r="980" spans="1:7" x14ac:dyDescent="0.25">
      <c r="A980" s="1">
        <v>43807</v>
      </c>
      <c r="B980" t="e">
        <f>NA()</f>
        <v>#N/A</v>
      </c>
      <c r="C980">
        <f>7546.9</f>
        <v>7546.9</v>
      </c>
      <c r="D980" t="e">
        <f>NA()</f>
        <v>#N/A</v>
      </c>
      <c r="E980" t="e">
        <f>NA()</f>
        <v>#N/A</v>
      </c>
      <c r="F980" t="e">
        <f>NA()</f>
        <v>#N/A</v>
      </c>
      <c r="G980" t="e">
        <f>NA()</f>
        <v>#N/A</v>
      </c>
    </row>
    <row r="981" spans="1:7" x14ac:dyDescent="0.25">
      <c r="A981" s="1">
        <v>43805</v>
      </c>
      <c r="B981">
        <f>1460.17</f>
        <v>1460.17</v>
      </c>
      <c r="C981">
        <f>7469.48</f>
        <v>7469.48</v>
      </c>
      <c r="D981">
        <f>16.5765</f>
        <v>16.576499999999999</v>
      </c>
      <c r="E981">
        <f>200</f>
        <v>200</v>
      </c>
      <c r="F981">
        <f>355.89</f>
        <v>355.89</v>
      </c>
      <c r="G981">
        <f>188.0955</f>
        <v>188.09549999999999</v>
      </c>
    </row>
    <row r="982" spans="1:7" x14ac:dyDescent="0.25">
      <c r="A982" s="1">
        <v>43804</v>
      </c>
      <c r="B982">
        <f>1476</f>
        <v>1476</v>
      </c>
      <c r="C982">
        <f>7379.66</f>
        <v>7379.66</v>
      </c>
      <c r="D982">
        <f>16.9665</f>
        <v>16.9665</v>
      </c>
      <c r="E982">
        <f>200</f>
        <v>200</v>
      </c>
      <c r="F982">
        <f>355.39</f>
        <v>355.39</v>
      </c>
      <c r="G982">
        <f>187.7737</f>
        <v>187.77369999999999</v>
      </c>
    </row>
    <row r="983" spans="1:7" x14ac:dyDescent="0.25">
      <c r="A983" s="1">
        <v>43803</v>
      </c>
      <c r="B983">
        <f>1474.59</f>
        <v>1474.59</v>
      </c>
      <c r="C983">
        <f>7187.39</f>
        <v>7187.39</v>
      </c>
      <c r="D983">
        <f>16.8557</f>
        <v>16.855699999999999</v>
      </c>
      <c r="E983">
        <f>200</f>
        <v>200</v>
      </c>
      <c r="F983">
        <f>357.93</f>
        <v>357.93</v>
      </c>
      <c r="G983">
        <f>188.0326</f>
        <v>188.0326</v>
      </c>
    </row>
    <row r="984" spans="1:7" x14ac:dyDescent="0.25">
      <c r="A984" s="1">
        <v>43802</v>
      </c>
      <c r="B984">
        <f>1477.61</f>
        <v>1477.61</v>
      </c>
      <c r="C984">
        <f>7329.85</f>
        <v>7329.85</v>
      </c>
      <c r="D984">
        <f>17.1733</f>
        <v>17.173300000000001</v>
      </c>
      <c r="E984">
        <f>200</f>
        <v>200</v>
      </c>
      <c r="F984">
        <f>356.4</f>
        <v>356.4</v>
      </c>
      <c r="G984">
        <f>187.7184</f>
        <v>187.7184</v>
      </c>
    </row>
    <row r="985" spans="1:7" x14ac:dyDescent="0.25">
      <c r="A985" s="1">
        <v>43801</v>
      </c>
      <c r="B985">
        <f>1462.44</f>
        <v>1462.44</v>
      </c>
      <c r="C985">
        <f>7319.36</f>
        <v>7319.36</v>
      </c>
      <c r="D985">
        <f>16.912</f>
        <v>16.911999999999999</v>
      </c>
      <c r="E985">
        <f>199</f>
        <v>199</v>
      </c>
      <c r="F985">
        <f>363.19</f>
        <v>363.19</v>
      </c>
      <c r="G985">
        <f>188.6115</f>
        <v>188.61150000000001</v>
      </c>
    </row>
    <row r="986" spans="1:7" x14ac:dyDescent="0.25">
      <c r="A986" s="1">
        <v>43800</v>
      </c>
      <c r="B986" t="e">
        <f>NA()</f>
        <v>#N/A</v>
      </c>
      <c r="C986">
        <f>7381.45</f>
        <v>7381.45</v>
      </c>
      <c r="D986" t="e">
        <f>NA()</f>
        <v>#N/A</v>
      </c>
      <c r="E986" t="e">
        <f>NA()</f>
        <v>#N/A</v>
      </c>
      <c r="F986" t="e">
        <f>NA()</f>
        <v>#N/A</v>
      </c>
      <c r="G986" t="e">
        <f>NA()</f>
        <v>#N/A</v>
      </c>
    </row>
    <row r="987" spans="1:7" x14ac:dyDescent="0.25">
      <c r="A987" s="1">
        <v>43798</v>
      </c>
      <c r="B987">
        <f>1463.98</f>
        <v>1463.98</v>
      </c>
      <c r="C987">
        <f>7710.34</f>
        <v>7710.34</v>
      </c>
      <c r="D987">
        <f>17.03</f>
        <v>17.03</v>
      </c>
      <c r="E987">
        <f>197</f>
        <v>197</v>
      </c>
      <c r="F987">
        <f>367.6</f>
        <v>367.6</v>
      </c>
      <c r="G987">
        <f>189.6597</f>
        <v>189.65969999999999</v>
      </c>
    </row>
    <row r="988" spans="1:7" x14ac:dyDescent="0.25">
      <c r="A988" s="1">
        <v>43797</v>
      </c>
      <c r="B988">
        <f>1456.27</f>
        <v>1456.27</v>
      </c>
      <c r="C988">
        <f>7564.94</f>
        <v>7564.94</v>
      </c>
      <c r="D988">
        <f>16.92</f>
        <v>16.920000000000002</v>
      </c>
      <c r="E988">
        <f>197</f>
        <v>197</v>
      </c>
      <c r="F988" t="e">
        <f>NA()</f>
        <v>#N/A</v>
      </c>
      <c r="G988" t="e">
        <f>NA()</f>
        <v>#N/A</v>
      </c>
    </row>
    <row r="989" spans="1:7" x14ac:dyDescent="0.25">
      <c r="A989" s="1">
        <v>43796</v>
      </c>
      <c r="B989">
        <f>1454.44</f>
        <v>1454.44</v>
      </c>
      <c r="C989">
        <f>7550.08</f>
        <v>7550.08</v>
      </c>
      <c r="D989">
        <f>16.9635</f>
        <v>16.9635</v>
      </c>
      <c r="E989">
        <f>197</f>
        <v>197</v>
      </c>
      <c r="F989">
        <f>357.42</f>
        <v>357.42</v>
      </c>
      <c r="G989">
        <f>187.2386</f>
        <v>187.23859999999999</v>
      </c>
    </row>
    <row r="990" spans="1:7" x14ac:dyDescent="0.25">
      <c r="A990" s="1">
        <v>43795</v>
      </c>
      <c r="B990">
        <f>1461.39</f>
        <v>1461.39</v>
      </c>
      <c r="C990">
        <f>7113.51</f>
        <v>7113.51</v>
      </c>
      <c r="D990">
        <f>17.0765</f>
        <v>17.076499999999999</v>
      </c>
      <c r="E990">
        <f>197</f>
        <v>197</v>
      </c>
      <c r="F990">
        <f>360.31</f>
        <v>360.31</v>
      </c>
      <c r="G990">
        <f>188.7509</f>
        <v>188.7509</v>
      </c>
    </row>
    <row r="991" spans="1:7" x14ac:dyDescent="0.25">
      <c r="A991" s="1">
        <v>43794</v>
      </c>
      <c r="B991">
        <f>1455.26</f>
        <v>1455.26</v>
      </c>
      <c r="C991">
        <f>7214.3</f>
        <v>7214.3</v>
      </c>
      <c r="D991">
        <f>16.89</f>
        <v>16.89</v>
      </c>
      <c r="E991">
        <f>196</f>
        <v>196</v>
      </c>
      <c r="F991">
        <f>361.66</f>
        <v>361.66</v>
      </c>
      <c r="G991">
        <f>190.1007</f>
        <v>190.10069999999999</v>
      </c>
    </row>
    <row r="992" spans="1:7" x14ac:dyDescent="0.25">
      <c r="A992" s="1">
        <v>43793</v>
      </c>
      <c r="B992" t="e">
        <f>NA()</f>
        <v>#N/A</v>
      </c>
      <c r="C992">
        <f>7050</f>
        <v>7050</v>
      </c>
      <c r="D992" t="e">
        <f>NA()</f>
        <v>#N/A</v>
      </c>
      <c r="E992" t="e">
        <f>NA()</f>
        <v>#N/A</v>
      </c>
      <c r="F992" t="e">
        <f>NA()</f>
        <v>#N/A</v>
      </c>
      <c r="G992" t="e">
        <f>NA()</f>
        <v>#N/A</v>
      </c>
    </row>
    <row r="993" spans="1:7" x14ac:dyDescent="0.25">
      <c r="A993" s="1">
        <v>43791</v>
      </c>
      <c r="B993">
        <f>1461.93</f>
        <v>1461.93</v>
      </c>
      <c r="C993">
        <f>7343.85</f>
        <v>7343.85</v>
      </c>
      <c r="D993">
        <f>17.022</f>
        <v>17.021999999999998</v>
      </c>
      <c r="E993">
        <f>195</f>
        <v>195</v>
      </c>
      <c r="F993">
        <f>351.99</f>
        <v>351.99</v>
      </c>
      <c r="G993">
        <f>188.648</f>
        <v>188.648</v>
      </c>
    </row>
    <row r="994" spans="1:7" x14ac:dyDescent="0.25">
      <c r="A994" s="1">
        <v>43790</v>
      </c>
      <c r="B994">
        <f>1464.41</f>
        <v>1464.41</v>
      </c>
      <c r="C994">
        <f>7598.7</f>
        <v>7598.7</v>
      </c>
      <c r="D994">
        <f>17.104</f>
        <v>17.103999999999999</v>
      </c>
      <c r="E994">
        <f>195</f>
        <v>195</v>
      </c>
      <c r="F994">
        <f>347.41</f>
        <v>347.41</v>
      </c>
      <c r="G994">
        <f>188.4179</f>
        <v>188.4179</v>
      </c>
    </row>
    <row r="995" spans="1:7" x14ac:dyDescent="0.25">
      <c r="A995" s="1">
        <v>43789</v>
      </c>
      <c r="B995">
        <f>1471.61</f>
        <v>1471.61</v>
      </c>
      <c r="C995">
        <f>8087.79</f>
        <v>8087.79</v>
      </c>
      <c r="D995">
        <f>17.151</f>
        <v>17.151</v>
      </c>
      <c r="E995">
        <f>195</f>
        <v>195</v>
      </c>
      <c r="F995">
        <f>351.99</f>
        <v>351.99</v>
      </c>
      <c r="G995">
        <f>189.0294</f>
        <v>189.02940000000001</v>
      </c>
    </row>
    <row r="996" spans="1:7" x14ac:dyDescent="0.25">
      <c r="A996" s="1">
        <v>43788</v>
      </c>
      <c r="B996">
        <f>1472.46</f>
        <v>1472.46</v>
      </c>
      <c r="C996">
        <f>8108.09</f>
        <v>8108.09</v>
      </c>
      <c r="D996">
        <f>17.151</f>
        <v>17.151</v>
      </c>
      <c r="E996">
        <f>195</f>
        <v>195</v>
      </c>
      <c r="F996">
        <f>349.62</f>
        <v>349.62</v>
      </c>
      <c r="G996">
        <f>189.8791</f>
        <v>189.87909999999999</v>
      </c>
    </row>
    <row r="997" spans="1:7" x14ac:dyDescent="0.25">
      <c r="A997" s="1">
        <v>43787</v>
      </c>
      <c r="B997">
        <f>1471.51</f>
        <v>1471.51</v>
      </c>
      <c r="C997">
        <f>8218.67</f>
        <v>8218.67</v>
      </c>
      <c r="D997">
        <f>17.046</f>
        <v>17.045999999999999</v>
      </c>
      <c r="E997" t="e">
        <f>NA()</f>
        <v>#N/A</v>
      </c>
      <c r="F997">
        <f>346.56</f>
        <v>346.56</v>
      </c>
      <c r="G997">
        <f>188.6537</f>
        <v>188.65369999999999</v>
      </c>
    </row>
    <row r="998" spans="1:7" x14ac:dyDescent="0.25">
      <c r="A998" s="1">
        <v>43786</v>
      </c>
      <c r="B998" t="e">
        <f>NA()</f>
        <v>#N/A</v>
      </c>
      <c r="C998">
        <f>8555.38</f>
        <v>8555.3799999999992</v>
      </c>
      <c r="D998" t="e">
        <f>NA()</f>
        <v>#N/A</v>
      </c>
      <c r="E998" t="e">
        <f>NA()</f>
        <v>#N/A</v>
      </c>
      <c r="F998" t="e">
        <f>NA()</f>
        <v>#N/A</v>
      </c>
      <c r="G998" t="e">
        <f>NA()</f>
        <v>#N/A</v>
      </c>
    </row>
    <row r="999" spans="1:7" x14ac:dyDescent="0.25">
      <c r="A999" s="1">
        <v>43784</v>
      </c>
      <c r="B999">
        <f>1468.21</f>
        <v>1468.21</v>
      </c>
      <c r="C999">
        <f>8453.89</f>
        <v>8453.89</v>
      </c>
      <c r="D999">
        <f>16.9629</f>
        <v>16.962900000000001</v>
      </c>
      <c r="E999">
        <f>195</f>
        <v>195</v>
      </c>
      <c r="F999">
        <f>343.34</f>
        <v>343.34</v>
      </c>
      <c r="G999">
        <f>189.5521</f>
        <v>189.5521</v>
      </c>
    </row>
    <row r="1000" spans="1:7" x14ac:dyDescent="0.25">
      <c r="A1000" s="1">
        <v>43783</v>
      </c>
      <c r="B1000">
        <f>1471.4</f>
        <v>1471.4</v>
      </c>
      <c r="C1000">
        <f>8651.15</f>
        <v>8651.15</v>
      </c>
      <c r="D1000">
        <f>17.0295</f>
        <v>17.029499999999999</v>
      </c>
      <c r="E1000">
        <f>194</f>
        <v>194</v>
      </c>
      <c r="F1000">
        <f>346.73</f>
        <v>346.73</v>
      </c>
      <c r="G1000">
        <f>190.6773</f>
        <v>190.6773</v>
      </c>
    </row>
    <row r="1001" spans="1:7" x14ac:dyDescent="0.25">
      <c r="A1001" s="1">
        <v>43782</v>
      </c>
      <c r="B1001">
        <f>1463.58</f>
        <v>1463.58</v>
      </c>
      <c r="C1001">
        <f>8753.01</f>
        <v>8753.01</v>
      </c>
      <c r="D1001">
        <f>16.9745</f>
        <v>16.974499999999999</v>
      </c>
      <c r="E1001">
        <f>194</f>
        <v>194</v>
      </c>
      <c r="F1001">
        <f>348.6</f>
        <v>348.6</v>
      </c>
      <c r="G1001">
        <f>190.2595</f>
        <v>190.2595</v>
      </c>
    </row>
    <row r="1002" spans="1:7" x14ac:dyDescent="0.25">
      <c r="A1002" s="1">
        <v>43781</v>
      </c>
      <c r="B1002">
        <f>1456.32</f>
        <v>1456.32</v>
      </c>
      <c r="C1002">
        <f>8764.95</f>
        <v>8764.9500000000007</v>
      </c>
      <c r="D1002">
        <f>16.7699</f>
        <v>16.7699</v>
      </c>
      <c r="E1002">
        <f>194</f>
        <v>194</v>
      </c>
      <c r="F1002">
        <f>353.38</f>
        <v>353.38</v>
      </c>
      <c r="G1002">
        <f>191.3803</f>
        <v>191.38030000000001</v>
      </c>
    </row>
    <row r="1003" spans="1:7" x14ac:dyDescent="0.25">
      <c r="A1003" s="1">
        <v>43780</v>
      </c>
      <c r="B1003">
        <f>1455.86</f>
        <v>1455.86</v>
      </c>
      <c r="C1003">
        <f>8736.17</f>
        <v>8736.17</v>
      </c>
      <c r="D1003">
        <f>16.8592</f>
        <v>16.859200000000001</v>
      </c>
      <c r="E1003">
        <f>194</f>
        <v>194</v>
      </c>
      <c r="F1003">
        <f>345.11</f>
        <v>345.11</v>
      </c>
      <c r="G1003">
        <f>188.842</f>
        <v>188.84200000000001</v>
      </c>
    </row>
    <row r="1004" spans="1:7" x14ac:dyDescent="0.25">
      <c r="A1004" s="1">
        <v>43779</v>
      </c>
      <c r="B1004" t="e">
        <f>NA()</f>
        <v>#N/A</v>
      </c>
      <c r="C1004">
        <f>9042.05</f>
        <v>9042.0499999999993</v>
      </c>
      <c r="D1004" t="e">
        <f>NA()</f>
        <v>#N/A</v>
      </c>
      <c r="E1004" t="e">
        <f>NA()</f>
        <v>#N/A</v>
      </c>
      <c r="F1004" t="e">
        <f>NA()</f>
        <v>#N/A</v>
      </c>
      <c r="G1004" t="e">
        <f>NA()</f>
        <v>#N/A</v>
      </c>
    </row>
    <row r="1005" spans="1:7" x14ac:dyDescent="0.25">
      <c r="A1005" s="1">
        <v>43777</v>
      </c>
      <c r="B1005">
        <f>1459</f>
        <v>1459</v>
      </c>
      <c r="C1005">
        <f>8866.55</f>
        <v>8866.5499999999993</v>
      </c>
      <c r="D1005">
        <f>16.814</f>
        <v>16.814</v>
      </c>
      <c r="E1005">
        <f>194</f>
        <v>194</v>
      </c>
      <c r="F1005">
        <f>347.31</f>
        <v>347.31</v>
      </c>
      <c r="G1005">
        <f>190.5228</f>
        <v>190.52279999999999</v>
      </c>
    </row>
    <row r="1006" spans="1:7" x14ac:dyDescent="0.25">
      <c r="A1006" s="1">
        <v>43776</v>
      </c>
      <c r="B1006">
        <f>1468.48</f>
        <v>1468.48</v>
      </c>
      <c r="C1006">
        <f>9209.87</f>
        <v>9209.8700000000008</v>
      </c>
      <c r="D1006">
        <f>17.108</f>
        <v>17.108000000000001</v>
      </c>
      <c r="E1006">
        <f>194</f>
        <v>194</v>
      </c>
      <c r="F1006">
        <f>348.4</f>
        <v>348.4</v>
      </c>
      <c r="G1006">
        <f>190.3933</f>
        <v>190.39330000000001</v>
      </c>
    </row>
    <row r="1007" spans="1:7" x14ac:dyDescent="0.25">
      <c r="A1007" s="1">
        <v>43775</v>
      </c>
      <c r="B1007">
        <f>1490.57</f>
        <v>1490.57</v>
      </c>
      <c r="C1007">
        <f>9314.92</f>
        <v>9314.92</v>
      </c>
      <c r="D1007">
        <f>17.6367</f>
        <v>17.636700000000001</v>
      </c>
      <c r="E1007">
        <f>194</f>
        <v>194</v>
      </c>
      <c r="F1007">
        <f>350.64</f>
        <v>350.64</v>
      </c>
      <c r="G1007">
        <f>190.7343</f>
        <v>190.73429999999999</v>
      </c>
    </row>
    <row r="1008" spans="1:7" x14ac:dyDescent="0.25">
      <c r="A1008" s="1">
        <v>43774</v>
      </c>
      <c r="B1008">
        <f>1483.61</f>
        <v>1483.61</v>
      </c>
      <c r="C1008">
        <f>9357.06</f>
        <v>9357.06</v>
      </c>
      <c r="D1008">
        <f>17.5788</f>
        <v>17.578800000000001</v>
      </c>
      <c r="E1008">
        <f>194</f>
        <v>194</v>
      </c>
      <c r="F1008">
        <f>349.62</f>
        <v>349.62</v>
      </c>
      <c r="G1008">
        <f>191.7167</f>
        <v>191.7167</v>
      </c>
    </row>
    <row r="1009" spans="1:7" x14ac:dyDescent="0.25">
      <c r="A1009" s="1">
        <v>43773</v>
      </c>
      <c r="B1009">
        <f>1509.82</f>
        <v>1509.82</v>
      </c>
      <c r="C1009">
        <f>9443.36</f>
        <v>9443.36</v>
      </c>
      <c r="D1009">
        <f>18.0572</f>
        <v>18.057200000000002</v>
      </c>
      <c r="E1009">
        <f>194</f>
        <v>194</v>
      </c>
      <c r="F1009">
        <f>345.89</f>
        <v>345.89</v>
      </c>
      <c r="G1009">
        <f>191.7167</f>
        <v>191.7167</v>
      </c>
    </row>
    <row r="1010" spans="1:7" x14ac:dyDescent="0.25">
      <c r="A1010" s="1">
        <v>43772</v>
      </c>
      <c r="B1010" t="e">
        <f>NA()</f>
        <v>#N/A</v>
      </c>
      <c r="C1010">
        <f>9157.7</f>
        <v>9157.7000000000007</v>
      </c>
      <c r="D1010" t="e">
        <f>NA()</f>
        <v>#N/A</v>
      </c>
      <c r="E1010" t="e">
        <f>NA()</f>
        <v>#N/A</v>
      </c>
      <c r="F1010" t="e">
        <f>NA()</f>
        <v>#N/A</v>
      </c>
      <c r="G1010" t="e">
        <f>NA()</f>
        <v>#N/A</v>
      </c>
    </row>
    <row r="1011" spans="1:7" x14ac:dyDescent="0.25">
      <c r="A1011" s="1">
        <v>43770</v>
      </c>
      <c r="B1011">
        <f>1514.34</f>
        <v>1514.34</v>
      </c>
      <c r="C1011">
        <f>9212.68</f>
        <v>9212.68</v>
      </c>
      <c r="D1011">
        <f>18.13</f>
        <v>18.13</v>
      </c>
      <c r="E1011">
        <f>194</f>
        <v>194</v>
      </c>
      <c r="F1011">
        <f>350.13</f>
        <v>350.13</v>
      </c>
      <c r="G1011">
        <f>193.2548</f>
        <v>193.25479999999999</v>
      </c>
    </row>
    <row r="1012" spans="1:7" x14ac:dyDescent="0.25">
      <c r="A1012" s="1">
        <v>43769</v>
      </c>
      <c r="B1012">
        <f>1512.99</f>
        <v>1512.99</v>
      </c>
      <c r="C1012">
        <f>9189.42</f>
        <v>9189.42</v>
      </c>
      <c r="D1012">
        <f>18.1065</f>
        <v>18.1065</v>
      </c>
      <c r="E1012">
        <f>193</f>
        <v>193</v>
      </c>
      <c r="F1012">
        <f>345.21</f>
        <v>345.21</v>
      </c>
      <c r="G1012">
        <f>192.3333</f>
        <v>192.33330000000001</v>
      </c>
    </row>
    <row r="1013" spans="1:7" x14ac:dyDescent="0.25">
      <c r="A1013" s="1">
        <v>43768</v>
      </c>
      <c r="B1013">
        <f>1495.66</f>
        <v>1495.66</v>
      </c>
      <c r="C1013">
        <f>9184.99</f>
        <v>9184.99</v>
      </c>
      <c r="D1013">
        <f>17.86</f>
        <v>17.86</v>
      </c>
      <c r="E1013">
        <f>193</f>
        <v>193</v>
      </c>
      <c r="F1013">
        <f>345.55</f>
        <v>345.55</v>
      </c>
      <c r="G1013">
        <f>192.3254</f>
        <v>192.3254</v>
      </c>
    </row>
    <row r="1014" spans="1:7" x14ac:dyDescent="0.25">
      <c r="A1014" s="1">
        <v>43767</v>
      </c>
      <c r="B1014">
        <f>1487.72</f>
        <v>1487.72</v>
      </c>
      <c r="C1014">
        <f>9446.04</f>
        <v>9446.0400000000009</v>
      </c>
      <c r="D1014">
        <f>17.812</f>
        <v>17.812000000000001</v>
      </c>
      <c r="E1014">
        <f>193</f>
        <v>193</v>
      </c>
      <c r="F1014">
        <f>347.07</f>
        <v>347.07</v>
      </c>
      <c r="G1014">
        <f>191.9208</f>
        <v>191.92080000000001</v>
      </c>
    </row>
    <row r="1015" spans="1:7" x14ac:dyDescent="0.25">
      <c r="A1015" s="1">
        <v>43766</v>
      </c>
      <c r="B1015">
        <f>1492.51</f>
        <v>1492.51</v>
      </c>
      <c r="C1015">
        <f>9456.3</f>
        <v>9456.2999999999993</v>
      </c>
      <c r="D1015">
        <f>17.8495</f>
        <v>17.849499999999999</v>
      </c>
      <c r="E1015">
        <f>193</f>
        <v>193</v>
      </c>
      <c r="F1015">
        <f>347.24</f>
        <v>347.24</v>
      </c>
      <c r="G1015">
        <f>191.6219</f>
        <v>191.62190000000001</v>
      </c>
    </row>
    <row r="1016" spans="1:7" x14ac:dyDescent="0.25">
      <c r="A1016" s="1">
        <v>43765</v>
      </c>
      <c r="B1016" t="e">
        <f>NA()</f>
        <v>#N/A</v>
      </c>
      <c r="C1016">
        <f>9623.68</f>
        <v>9623.68</v>
      </c>
      <c r="D1016" t="e">
        <f>NA()</f>
        <v>#N/A</v>
      </c>
      <c r="E1016" t="e">
        <f>NA()</f>
        <v>#N/A</v>
      </c>
      <c r="F1016" t="e">
        <f>NA()</f>
        <v>#N/A</v>
      </c>
      <c r="G1016" t="e">
        <f>NA()</f>
        <v>#N/A</v>
      </c>
    </row>
    <row r="1017" spans="1:7" x14ac:dyDescent="0.25">
      <c r="A1017" s="1">
        <v>43763</v>
      </c>
      <c r="B1017">
        <f>1504.63</f>
        <v>1504.63</v>
      </c>
      <c r="C1017">
        <f>8574.4</f>
        <v>8574.4</v>
      </c>
      <c r="D1017">
        <f>18.0395</f>
        <v>18.0395</v>
      </c>
      <c r="E1017">
        <f>194</f>
        <v>194</v>
      </c>
      <c r="F1017">
        <f>351.31</f>
        <v>351.31</v>
      </c>
      <c r="G1017">
        <f>192.6524</f>
        <v>192.6524</v>
      </c>
    </row>
    <row r="1018" spans="1:7" x14ac:dyDescent="0.25">
      <c r="A1018" s="1">
        <v>43762</v>
      </c>
      <c r="B1018">
        <f>1503.98</f>
        <v>1503.98</v>
      </c>
      <c r="C1018">
        <f>7456.59</f>
        <v>7456.59</v>
      </c>
      <c r="D1018">
        <f>17.8095</f>
        <v>17.8095</v>
      </c>
      <c r="E1018">
        <f>194</f>
        <v>194</v>
      </c>
      <c r="F1018">
        <f>350.13</f>
        <v>350.13</v>
      </c>
      <c r="G1018">
        <f>193.3916</f>
        <v>193.39160000000001</v>
      </c>
    </row>
    <row r="1019" spans="1:7" x14ac:dyDescent="0.25">
      <c r="A1019" s="1">
        <v>43761</v>
      </c>
      <c r="B1019">
        <f>1492.12</f>
        <v>1492.12</v>
      </c>
      <c r="C1019">
        <f>7491.38</f>
        <v>7491.38</v>
      </c>
      <c r="D1019">
        <f>17.553</f>
        <v>17.553000000000001</v>
      </c>
      <c r="E1019">
        <f>230</f>
        <v>230</v>
      </c>
      <c r="F1019">
        <f>353.35</f>
        <v>353.35</v>
      </c>
      <c r="G1019">
        <f>194.1258</f>
        <v>194.1258</v>
      </c>
    </row>
    <row r="1020" spans="1:7" x14ac:dyDescent="0.25">
      <c r="A1020" s="1">
        <v>43760</v>
      </c>
      <c r="B1020">
        <f>1487.68</f>
        <v>1487.68</v>
      </c>
      <c r="C1020">
        <f>8125.1</f>
        <v>8125.1</v>
      </c>
      <c r="D1020">
        <f>17.5225</f>
        <v>17.522500000000001</v>
      </c>
      <c r="E1020">
        <f>193</f>
        <v>193</v>
      </c>
      <c r="F1020">
        <f>351.48</f>
        <v>351.48</v>
      </c>
      <c r="G1020">
        <f>193.9129</f>
        <v>193.91290000000001</v>
      </c>
    </row>
    <row r="1021" spans="1:7" x14ac:dyDescent="0.25">
      <c r="A1021" s="1">
        <v>43759</v>
      </c>
      <c r="B1021">
        <f>1484.5</f>
        <v>1484.5</v>
      </c>
      <c r="C1021">
        <f>8207.68</f>
        <v>8207.68</v>
      </c>
      <c r="D1021">
        <f>17.561</f>
        <v>17.561</v>
      </c>
      <c r="E1021">
        <f>230</f>
        <v>230</v>
      </c>
      <c r="F1021">
        <f>355.22</f>
        <v>355.22</v>
      </c>
      <c r="G1021">
        <f>194.1852</f>
        <v>194.18520000000001</v>
      </c>
    </row>
    <row r="1022" spans="1:7" x14ac:dyDescent="0.25">
      <c r="A1022" s="1">
        <v>43758</v>
      </c>
      <c r="B1022" t="e">
        <f>NA()</f>
        <v>#N/A</v>
      </c>
      <c r="C1022">
        <f>8226.5</f>
        <v>8226.5</v>
      </c>
      <c r="D1022" t="e">
        <f>NA()</f>
        <v>#N/A</v>
      </c>
      <c r="E1022" t="e">
        <f>NA()</f>
        <v>#N/A</v>
      </c>
      <c r="F1022" t="e">
        <f>NA()</f>
        <v>#N/A</v>
      </c>
      <c r="G1022" t="e">
        <f>NA()</f>
        <v>#N/A</v>
      </c>
    </row>
    <row r="1023" spans="1:7" x14ac:dyDescent="0.25">
      <c r="A1023" s="1">
        <v>43756</v>
      </c>
      <c r="B1023">
        <f>1490.05</f>
        <v>1490.05</v>
      </c>
      <c r="C1023">
        <f>7947.7</f>
        <v>7947.7</v>
      </c>
      <c r="D1023">
        <f>17.5525</f>
        <v>17.552499999999998</v>
      </c>
      <c r="E1023">
        <f>230</f>
        <v>230</v>
      </c>
      <c r="F1023">
        <f>361.15</f>
        <v>361.15</v>
      </c>
      <c r="G1023">
        <f>195.8067</f>
        <v>195.80670000000001</v>
      </c>
    </row>
    <row r="1024" spans="1:7" x14ac:dyDescent="0.25">
      <c r="A1024" s="1">
        <v>43755</v>
      </c>
      <c r="B1024">
        <f>1491.87</f>
        <v>1491.87</v>
      </c>
      <c r="C1024">
        <f>8046.49</f>
        <v>8046.49</v>
      </c>
      <c r="D1024">
        <f>17.549</f>
        <v>17.548999999999999</v>
      </c>
      <c r="E1024">
        <f>230</f>
        <v>230</v>
      </c>
      <c r="F1024">
        <f>356.57</f>
        <v>356.57</v>
      </c>
      <c r="G1024">
        <f>195.7557</f>
        <v>195.75569999999999</v>
      </c>
    </row>
    <row r="1025" spans="1:7" x14ac:dyDescent="0.25">
      <c r="A1025" s="1">
        <v>43754</v>
      </c>
      <c r="B1025">
        <f>1490.13</f>
        <v>1490.13</v>
      </c>
      <c r="C1025">
        <f>7988.24</f>
        <v>7988.24</v>
      </c>
      <c r="D1025">
        <f>17.4005</f>
        <v>17.400500000000001</v>
      </c>
      <c r="E1025">
        <f>230</f>
        <v>230</v>
      </c>
      <c r="F1025">
        <f>348.26</f>
        <v>348.26</v>
      </c>
      <c r="G1025">
        <f>193.9066</f>
        <v>193.9066</v>
      </c>
    </row>
    <row r="1026" spans="1:7" x14ac:dyDescent="0.25">
      <c r="A1026" s="1">
        <v>43753</v>
      </c>
      <c r="B1026">
        <f>1481.01</f>
        <v>1481.01</v>
      </c>
      <c r="C1026">
        <f>8144.33</f>
        <v>8144.33</v>
      </c>
      <c r="D1026">
        <f>17.4137</f>
        <v>17.413699999999999</v>
      </c>
      <c r="E1026">
        <f>191</f>
        <v>191</v>
      </c>
      <c r="F1026">
        <f>344.02</f>
        <v>344.02</v>
      </c>
      <c r="G1026">
        <f>194.0987</f>
        <v>194.09870000000001</v>
      </c>
    </row>
    <row r="1027" spans="1:7" x14ac:dyDescent="0.25">
      <c r="A1027" s="1">
        <v>43752</v>
      </c>
      <c r="B1027">
        <f>1493.21</f>
        <v>1493.21</v>
      </c>
      <c r="C1027">
        <f>8343.42</f>
        <v>8343.42</v>
      </c>
      <c r="D1027">
        <f>17.6558</f>
        <v>17.655799999999999</v>
      </c>
      <c r="E1027" t="e">
        <f>NA()</f>
        <v>#N/A</v>
      </c>
      <c r="F1027">
        <f>346.73</f>
        <v>346.73</v>
      </c>
      <c r="G1027">
        <f>195.8448</f>
        <v>195.84479999999999</v>
      </c>
    </row>
    <row r="1028" spans="1:7" x14ac:dyDescent="0.25">
      <c r="A1028" s="1">
        <v>43751</v>
      </c>
      <c r="B1028" t="e">
        <f>NA()</f>
        <v>#N/A</v>
      </c>
      <c r="C1028">
        <f>8263.34</f>
        <v>8263.34</v>
      </c>
      <c r="D1028" t="e">
        <f>NA()</f>
        <v>#N/A</v>
      </c>
      <c r="E1028" t="e">
        <f>NA()</f>
        <v>#N/A</v>
      </c>
      <c r="F1028" t="e">
        <f>NA()</f>
        <v>#N/A</v>
      </c>
      <c r="G1028" t="e">
        <f>NA()</f>
        <v>#N/A</v>
      </c>
    </row>
    <row r="1029" spans="1:7" x14ac:dyDescent="0.25">
      <c r="A1029" s="1">
        <v>43749</v>
      </c>
      <c r="B1029">
        <f>1489.01</f>
        <v>1489.01</v>
      </c>
      <c r="C1029">
        <f>8342.93</f>
        <v>8342.93</v>
      </c>
      <c r="D1029">
        <f>17.5413</f>
        <v>17.5413</v>
      </c>
      <c r="E1029">
        <f>189</f>
        <v>189</v>
      </c>
      <c r="F1029">
        <f>344.7</f>
        <v>344.7</v>
      </c>
      <c r="G1029">
        <f>194.8684</f>
        <v>194.86840000000001</v>
      </c>
    </row>
    <row r="1030" spans="1:7" x14ac:dyDescent="0.25">
      <c r="A1030" s="1">
        <v>43748</v>
      </c>
      <c r="B1030">
        <f>1493.99</f>
        <v>1493.99</v>
      </c>
      <c r="C1030">
        <f>8580.86</f>
        <v>8580.86</v>
      </c>
      <c r="D1030">
        <f>17.5138</f>
        <v>17.5138</v>
      </c>
      <c r="E1030">
        <f>187</f>
        <v>187</v>
      </c>
      <c r="F1030">
        <f>334.52</f>
        <v>334.52</v>
      </c>
      <c r="G1030">
        <f>188.8944</f>
        <v>188.89439999999999</v>
      </c>
    </row>
    <row r="1031" spans="1:7" x14ac:dyDescent="0.25">
      <c r="A1031" s="1">
        <v>43747</v>
      </c>
      <c r="B1031">
        <f>1505.57</f>
        <v>1505.57</v>
      </c>
      <c r="C1031">
        <f>8590.16</f>
        <v>8590.16</v>
      </c>
      <c r="D1031">
        <f>17.734</f>
        <v>17.734000000000002</v>
      </c>
      <c r="E1031">
        <f>185</f>
        <v>185</v>
      </c>
      <c r="F1031">
        <f>339.44</f>
        <v>339.44</v>
      </c>
      <c r="G1031">
        <f>192.0835</f>
        <v>192.08349999999999</v>
      </c>
    </row>
    <row r="1032" spans="1:7" x14ac:dyDescent="0.25">
      <c r="A1032" s="1">
        <v>43746</v>
      </c>
      <c r="B1032">
        <f>1505.51</f>
        <v>1505.51</v>
      </c>
      <c r="C1032" t="e">
        <f>NA()</f>
        <v>#N/A</v>
      </c>
      <c r="D1032">
        <f>17.733</f>
        <v>17.733000000000001</v>
      </c>
      <c r="E1032">
        <f>184</f>
        <v>184</v>
      </c>
      <c r="F1032">
        <f>339.44</f>
        <v>339.44</v>
      </c>
      <c r="G1032">
        <f>191.8031</f>
        <v>191.8031</v>
      </c>
    </row>
    <row r="1033" spans="1:7" x14ac:dyDescent="0.25">
      <c r="A1033" s="1">
        <v>43745</v>
      </c>
      <c r="B1033">
        <f>1493.5</f>
        <v>1493.5</v>
      </c>
      <c r="C1033" t="e">
        <f>NA()</f>
        <v>#N/A</v>
      </c>
      <c r="D1033">
        <f>17.4388</f>
        <v>17.438800000000001</v>
      </c>
      <c r="E1033">
        <f>184</f>
        <v>184</v>
      </c>
      <c r="F1033">
        <f>331.98</f>
        <v>331.98</v>
      </c>
      <c r="G1033">
        <f>188.5413</f>
        <v>188.54130000000001</v>
      </c>
    </row>
    <row r="1034" spans="1:7" x14ac:dyDescent="0.25">
      <c r="A1034" s="1">
        <v>43742</v>
      </c>
      <c r="B1034">
        <f>1504.66</f>
        <v>1504.66</v>
      </c>
      <c r="C1034" t="e">
        <f>NA()</f>
        <v>#N/A</v>
      </c>
      <c r="D1034">
        <f>17.548</f>
        <v>17.547999999999998</v>
      </c>
      <c r="E1034">
        <f>184</f>
        <v>184</v>
      </c>
      <c r="F1034">
        <f>332.82</f>
        <v>332.82</v>
      </c>
      <c r="G1034">
        <f>188.3513</f>
        <v>188.35130000000001</v>
      </c>
    </row>
    <row r="1035" spans="1:7" x14ac:dyDescent="0.25">
      <c r="A1035" s="1">
        <v>43741</v>
      </c>
      <c r="B1035">
        <f>1505.19</f>
        <v>1505.19</v>
      </c>
      <c r="C1035">
        <f>8161.33</f>
        <v>8161.33</v>
      </c>
      <c r="D1035">
        <f>17.56</f>
        <v>17.559999999999999</v>
      </c>
      <c r="E1035">
        <f>184</f>
        <v>184</v>
      </c>
      <c r="F1035">
        <f>331.64</f>
        <v>331.64</v>
      </c>
      <c r="G1035">
        <f>188.661</f>
        <v>188.661</v>
      </c>
    </row>
    <row r="1036" spans="1:7" x14ac:dyDescent="0.25">
      <c r="A1036" s="1">
        <v>43740</v>
      </c>
      <c r="B1036">
        <f>1499.45</f>
        <v>1499.45</v>
      </c>
      <c r="C1036">
        <f>8235.09</f>
        <v>8235.09</v>
      </c>
      <c r="D1036">
        <f>17.56</f>
        <v>17.559999999999999</v>
      </c>
      <c r="E1036">
        <f>184</f>
        <v>184</v>
      </c>
      <c r="F1036">
        <f>331.81</f>
        <v>331.81</v>
      </c>
      <c r="G1036">
        <f>188.6509</f>
        <v>188.65090000000001</v>
      </c>
    </row>
    <row r="1037" spans="1:7" x14ac:dyDescent="0.25">
      <c r="A1037" s="1">
        <v>43739</v>
      </c>
      <c r="B1037">
        <f>1479.14</f>
        <v>1479.14</v>
      </c>
      <c r="C1037">
        <f>8380.24</f>
        <v>8380.24</v>
      </c>
      <c r="D1037">
        <f>17.2355</f>
        <v>17.235499999999998</v>
      </c>
      <c r="E1037">
        <f>183</f>
        <v>183</v>
      </c>
      <c r="F1037">
        <f>338.42</f>
        <v>338.42</v>
      </c>
      <c r="G1037">
        <f>190.8361</f>
        <v>190.83609999999999</v>
      </c>
    </row>
    <row r="1038" spans="1:7" x14ac:dyDescent="0.25">
      <c r="A1038" s="1">
        <v>43738</v>
      </c>
      <c r="B1038">
        <f>1472.49</f>
        <v>1472.49</v>
      </c>
      <c r="C1038">
        <f>8240.9</f>
        <v>8240.9</v>
      </c>
      <c r="D1038">
        <f>16.9958</f>
        <v>16.995799999999999</v>
      </c>
      <c r="E1038">
        <f>183</f>
        <v>183</v>
      </c>
      <c r="F1038">
        <f>336.39</f>
        <v>336.39</v>
      </c>
      <c r="G1038">
        <f>188.8655</f>
        <v>188.8655</v>
      </c>
    </row>
    <row r="1039" spans="1:7" x14ac:dyDescent="0.25">
      <c r="A1039" s="1">
        <v>43737</v>
      </c>
      <c r="B1039" t="e">
        <f>NA()</f>
        <v>#N/A</v>
      </c>
      <c r="C1039">
        <f>8013.75</f>
        <v>8013.75</v>
      </c>
      <c r="D1039" t="e">
        <f>NA()</f>
        <v>#N/A</v>
      </c>
      <c r="E1039" t="e">
        <f>NA()</f>
        <v>#N/A</v>
      </c>
      <c r="F1039" t="e">
        <f>NA()</f>
        <v>#N/A</v>
      </c>
      <c r="G1039" t="e">
        <f>NA()</f>
        <v>#N/A</v>
      </c>
    </row>
    <row r="1040" spans="1:7" x14ac:dyDescent="0.25">
      <c r="A1040" s="1">
        <v>43735</v>
      </c>
      <c r="B1040">
        <f>1497.01</f>
        <v>1497.01</v>
      </c>
      <c r="C1040">
        <f>8060.97</f>
        <v>8060.97</v>
      </c>
      <c r="D1040">
        <f>17.5409</f>
        <v>17.540900000000001</v>
      </c>
      <c r="E1040">
        <f>183</f>
        <v>183</v>
      </c>
      <c r="F1040">
        <f>330.62</f>
        <v>330.62</v>
      </c>
      <c r="G1040">
        <f>183.2444</f>
        <v>183.24440000000001</v>
      </c>
    </row>
    <row r="1041" spans="1:7" x14ac:dyDescent="0.25">
      <c r="A1041" s="1">
        <v>43734</v>
      </c>
      <c r="B1041">
        <f>1504.78</f>
        <v>1504.78</v>
      </c>
      <c r="C1041">
        <f>8094.12</f>
        <v>8094.12</v>
      </c>
      <c r="D1041">
        <f>17.8235</f>
        <v>17.823499999999999</v>
      </c>
      <c r="E1041">
        <f>183</f>
        <v>183</v>
      </c>
      <c r="F1041">
        <f>328.58</f>
        <v>328.58</v>
      </c>
      <c r="G1041">
        <f>183.658</f>
        <v>183.65799999999999</v>
      </c>
    </row>
    <row r="1042" spans="1:7" x14ac:dyDescent="0.25">
      <c r="A1042" s="1">
        <v>43733</v>
      </c>
      <c r="B1042">
        <f>1504.05</f>
        <v>1504.05</v>
      </c>
      <c r="C1042">
        <f>8511.8</f>
        <v>8511.7999999999993</v>
      </c>
      <c r="D1042">
        <f>17.911</f>
        <v>17.911000000000001</v>
      </c>
      <c r="E1042">
        <f>183</f>
        <v>183</v>
      </c>
      <c r="F1042">
        <f>323.83</f>
        <v>323.83</v>
      </c>
      <c r="G1042">
        <f>183.4025</f>
        <v>183.4025</v>
      </c>
    </row>
    <row r="1043" spans="1:7" x14ac:dyDescent="0.25">
      <c r="A1043" s="1">
        <v>43732</v>
      </c>
      <c r="B1043">
        <f>1531.87</f>
        <v>1531.87</v>
      </c>
      <c r="C1043">
        <f>8582</f>
        <v>8582</v>
      </c>
      <c r="D1043">
        <f>18.6084</f>
        <v>18.6084</v>
      </c>
      <c r="E1043">
        <f>183</f>
        <v>183</v>
      </c>
      <c r="F1043">
        <f>326.89</f>
        <v>326.89</v>
      </c>
      <c r="G1043">
        <f>184.2331</f>
        <v>184.23310000000001</v>
      </c>
    </row>
    <row r="1044" spans="1:7" x14ac:dyDescent="0.25">
      <c r="A1044" s="1">
        <v>43731</v>
      </c>
      <c r="B1044">
        <f>1522.24</f>
        <v>1522.24</v>
      </c>
      <c r="C1044">
        <f>9765.49</f>
        <v>9765.49</v>
      </c>
      <c r="D1044">
        <f>18.64</f>
        <v>18.64</v>
      </c>
      <c r="E1044">
        <f>183</f>
        <v>183</v>
      </c>
      <c r="F1044">
        <f>327.74</f>
        <v>327.74</v>
      </c>
      <c r="G1044">
        <f>183.9601</f>
        <v>183.96010000000001</v>
      </c>
    </row>
    <row r="1045" spans="1:7" x14ac:dyDescent="0.25">
      <c r="A1045" s="1">
        <v>43730</v>
      </c>
      <c r="B1045" t="e">
        <f>NA()</f>
        <v>#N/A</v>
      </c>
      <c r="C1045">
        <f>10008.8</f>
        <v>10008.799999999999</v>
      </c>
      <c r="D1045" t="e">
        <f>NA()</f>
        <v>#N/A</v>
      </c>
      <c r="E1045" t="e">
        <f>NA()</f>
        <v>#N/A</v>
      </c>
      <c r="F1045" t="e">
        <f>NA()</f>
        <v>#N/A</v>
      </c>
      <c r="G1045" t="e">
        <f>NA()</f>
        <v>#N/A</v>
      </c>
    </row>
    <row r="1046" spans="1:7" x14ac:dyDescent="0.25">
      <c r="A1046" s="1">
        <v>43728</v>
      </c>
      <c r="B1046">
        <f>1516.9</f>
        <v>1516.9</v>
      </c>
      <c r="C1046">
        <f>10135.94</f>
        <v>10135.94</v>
      </c>
      <c r="D1046">
        <f>17.991</f>
        <v>17.991</v>
      </c>
      <c r="E1046">
        <f>183</f>
        <v>183</v>
      </c>
      <c r="F1046">
        <f>328.58</f>
        <v>328.58</v>
      </c>
      <c r="G1046">
        <f>182.8728</f>
        <v>182.87280000000001</v>
      </c>
    </row>
    <row r="1047" spans="1:7" x14ac:dyDescent="0.25">
      <c r="A1047" s="1">
        <v>43727</v>
      </c>
      <c r="B1047">
        <f>1499.03</f>
        <v>1499.03</v>
      </c>
      <c r="C1047">
        <f>10258.85</f>
        <v>10258.85</v>
      </c>
      <c r="D1047">
        <f>17.79</f>
        <v>17.79</v>
      </c>
      <c r="E1047">
        <f>182</f>
        <v>182</v>
      </c>
      <c r="F1047">
        <f>331.13</f>
        <v>331.13</v>
      </c>
      <c r="G1047">
        <f>184.3582</f>
        <v>184.35820000000001</v>
      </c>
    </row>
    <row r="1048" spans="1:7" x14ac:dyDescent="0.25">
      <c r="A1048" s="1">
        <v>43726</v>
      </c>
      <c r="B1048">
        <f>1494</f>
        <v>1494</v>
      </c>
      <c r="C1048">
        <f>10196.93</f>
        <v>10196.93</v>
      </c>
      <c r="D1048">
        <f>17.7555</f>
        <v>17.755500000000001</v>
      </c>
      <c r="E1048">
        <f>182</f>
        <v>182</v>
      </c>
      <c r="F1048">
        <f>332.15</f>
        <v>332.15</v>
      </c>
      <c r="G1048">
        <f>183.8724</f>
        <v>183.8724</v>
      </c>
    </row>
    <row r="1049" spans="1:7" x14ac:dyDescent="0.25">
      <c r="A1049" s="1">
        <v>43725</v>
      </c>
      <c r="B1049">
        <f>1501.38</f>
        <v>1501.38</v>
      </c>
      <c r="C1049">
        <f>10250.3</f>
        <v>10250.299999999999</v>
      </c>
      <c r="D1049">
        <f>18.0165</f>
        <v>18.016500000000001</v>
      </c>
      <c r="E1049">
        <f>182</f>
        <v>182</v>
      </c>
      <c r="F1049">
        <f>328.58</f>
        <v>328.58</v>
      </c>
      <c r="G1049">
        <f>183.0598</f>
        <v>183.0598</v>
      </c>
    </row>
    <row r="1050" spans="1:7" x14ac:dyDescent="0.25">
      <c r="A1050" s="1">
        <v>43724</v>
      </c>
      <c r="B1050">
        <f>1498.43</f>
        <v>1498.43</v>
      </c>
      <c r="C1050">
        <f>10215.87</f>
        <v>10215.870000000001</v>
      </c>
      <c r="D1050">
        <f>17.8517</f>
        <v>17.851700000000001</v>
      </c>
      <c r="E1050">
        <f>182</f>
        <v>182</v>
      </c>
      <c r="F1050">
        <f>331.64</f>
        <v>331.64</v>
      </c>
      <c r="G1050">
        <f>185.1646</f>
        <v>185.16460000000001</v>
      </c>
    </row>
    <row r="1051" spans="1:7" x14ac:dyDescent="0.25">
      <c r="A1051" s="1">
        <v>43723</v>
      </c>
      <c r="B1051" t="e">
        <f>NA()</f>
        <v>#N/A</v>
      </c>
      <c r="C1051">
        <f>10275.78</f>
        <v>10275.780000000001</v>
      </c>
      <c r="D1051" t="e">
        <f>NA()</f>
        <v>#N/A</v>
      </c>
      <c r="E1051" t="e">
        <f>NA()</f>
        <v>#N/A</v>
      </c>
      <c r="F1051" t="e">
        <f>NA()</f>
        <v>#N/A</v>
      </c>
      <c r="G1051" t="e">
        <f>NA()</f>
        <v>#N/A</v>
      </c>
    </row>
    <row r="1052" spans="1:7" x14ac:dyDescent="0.25">
      <c r="A1052" s="1">
        <v>43721</v>
      </c>
      <c r="B1052">
        <f>1488.53</f>
        <v>1488.53</v>
      </c>
      <c r="C1052">
        <f>10270.67</f>
        <v>10270.67</v>
      </c>
      <c r="D1052">
        <f>17.4445</f>
        <v>17.444500000000001</v>
      </c>
      <c r="E1052">
        <f>181</f>
        <v>181</v>
      </c>
      <c r="F1052">
        <f>328.07</f>
        <v>328.07</v>
      </c>
      <c r="G1052">
        <f>183.4521</f>
        <v>183.4521</v>
      </c>
    </row>
    <row r="1053" spans="1:7" x14ac:dyDescent="0.25">
      <c r="A1053" s="1">
        <v>43720</v>
      </c>
      <c r="B1053">
        <f>1499.26</f>
        <v>1499.26</v>
      </c>
      <c r="C1053">
        <f>10331.07</f>
        <v>10331.07</v>
      </c>
      <c r="D1053">
        <f>18.1005</f>
        <v>18.1005</v>
      </c>
      <c r="E1053">
        <f>181</f>
        <v>181</v>
      </c>
      <c r="F1053">
        <f>328.24</f>
        <v>328.24</v>
      </c>
      <c r="G1053">
        <f>183.0601</f>
        <v>183.06010000000001</v>
      </c>
    </row>
    <row r="1054" spans="1:7" x14ac:dyDescent="0.25">
      <c r="A1054" s="1">
        <v>43719</v>
      </c>
      <c r="B1054">
        <f>1497.2</f>
        <v>1497.2</v>
      </c>
      <c r="C1054">
        <f>10099.08</f>
        <v>10099.08</v>
      </c>
      <c r="D1054">
        <f>18.12</f>
        <v>18.12</v>
      </c>
      <c r="E1054">
        <f>181</f>
        <v>181</v>
      </c>
      <c r="F1054">
        <f>324</f>
        <v>324</v>
      </c>
      <c r="G1054">
        <f>178.9007</f>
        <v>178.9007</v>
      </c>
    </row>
    <row r="1055" spans="1:7" x14ac:dyDescent="0.25">
      <c r="A1055" s="1">
        <v>43718</v>
      </c>
      <c r="B1055">
        <f>1485.78</f>
        <v>1485.78</v>
      </c>
      <c r="C1055">
        <f>10052.99</f>
        <v>10052.99</v>
      </c>
      <c r="D1055">
        <f>18.0035</f>
        <v>18.003499999999999</v>
      </c>
      <c r="E1055">
        <f>181</f>
        <v>181</v>
      </c>
      <c r="F1055">
        <f>327.23</f>
        <v>327.23</v>
      </c>
      <c r="G1055">
        <f>180.0995</f>
        <v>180.09950000000001</v>
      </c>
    </row>
    <row r="1056" spans="1:7" x14ac:dyDescent="0.25">
      <c r="A1056" s="1">
        <v>43717</v>
      </c>
      <c r="B1056">
        <f>1499.13</f>
        <v>1499.13</v>
      </c>
      <c r="C1056">
        <f>10237.89</f>
        <v>10237.89</v>
      </c>
      <c r="D1056">
        <f>18.0085</f>
        <v>18.008500000000002</v>
      </c>
      <c r="E1056">
        <f>181</f>
        <v>181</v>
      </c>
      <c r="F1056">
        <f>321.97</f>
        <v>321.97000000000003</v>
      </c>
      <c r="G1056">
        <f>176.9468</f>
        <v>176.9468</v>
      </c>
    </row>
    <row r="1057" spans="1:7" x14ac:dyDescent="0.25">
      <c r="A1057" s="1">
        <v>43716</v>
      </c>
      <c r="B1057" t="e">
        <f>NA()</f>
        <v>#N/A</v>
      </c>
      <c r="C1057">
        <f>10366.7</f>
        <v>10366.700000000001</v>
      </c>
      <c r="D1057" t="e">
        <f>NA()</f>
        <v>#N/A</v>
      </c>
      <c r="E1057" t="e">
        <f>NA()</f>
        <v>#N/A</v>
      </c>
      <c r="F1057" t="e">
        <f>NA()</f>
        <v>#N/A</v>
      </c>
      <c r="G1057" t="e">
        <f>NA()</f>
        <v>#N/A</v>
      </c>
    </row>
    <row r="1058" spans="1:7" x14ac:dyDescent="0.25">
      <c r="A1058" s="1">
        <v>43714</v>
      </c>
      <c r="B1058">
        <f>1506.82</f>
        <v>1506.82</v>
      </c>
      <c r="C1058">
        <f>10356.88</f>
        <v>10356.879999999999</v>
      </c>
      <c r="D1058">
        <f>18.178</f>
        <v>18.178000000000001</v>
      </c>
      <c r="E1058">
        <f>181</f>
        <v>181</v>
      </c>
      <c r="F1058">
        <f>314.67</f>
        <v>314.67</v>
      </c>
      <c r="G1058">
        <f>176.2574</f>
        <v>176.25739999999999</v>
      </c>
    </row>
    <row r="1059" spans="1:7" x14ac:dyDescent="0.25">
      <c r="A1059" s="1">
        <v>43713</v>
      </c>
      <c r="B1059">
        <f>1519.05</f>
        <v>1519.05</v>
      </c>
      <c r="C1059">
        <f>10518.1</f>
        <v>10518.1</v>
      </c>
      <c r="D1059">
        <f>18.651</f>
        <v>18.651</v>
      </c>
      <c r="E1059">
        <f>181</f>
        <v>181</v>
      </c>
      <c r="F1059">
        <f>316.37</f>
        <v>316.37</v>
      </c>
      <c r="G1059">
        <f>177.334</f>
        <v>177.334</v>
      </c>
    </row>
    <row r="1060" spans="1:7" x14ac:dyDescent="0.25">
      <c r="A1060" s="1">
        <v>43712</v>
      </c>
      <c r="B1060">
        <f>1552.55</f>
        <v>1552.55</v>
      </c>
      <c r="C1060">
        <f>10626.01</f>
        <v>10626.01</v>
      </c>
      <c r="D1060">
        <f>19.5968</f>
        <v>19.596800000000002</v>
      </c>
      <c r="E1060">
        <f>183</f>
        <v>183</v>
      </c>
      <c r="F1060">
        <f>312.64</f>
        <v>312.64</v>
      </c>
      <c r="G1060">
        <f>177.6912</f>
        <v>177.69120000000001</v>
      </c>
    </row>
    <row r="1061" spans="1:7" x14ac:dyDescent="0.25">
      <c r="A1061" s="1">
        <v>43711</v>
      </c>
      <c r="B1061">
        <f>1547.1</f>
        <v>1547.1</v>
      </c>
      <c r="C1061">
        <f>10712.47</f>
        <v>10712.47</v>
      </c>
      <c r="D1061">
        <f>19.264</f>
        <v>19.263999999999999</v>
      </c>
      <c r="E1061">
        <f>183</f>
        <v>183</v>
      </c>
      <c r="F1061">
        <f>307.72</f>
        <v>307.72000000000003</v>
      </c>
      <c r="G1061">
        <f>177.0176</f>
        <v>177.01759999999999</v>
      </c>
    </row>
    <row r="1062" spans="1:7" x14ac:dyDescent="0.25">
      <c r="A1062" s="1">
        <v>43710</v>
      </c>
      <c r="B1062">
        <f>1529.29</f>
        <v>1529.29</v>
      </c>
      <c r="C1062">
        <f>10408.87</f>
        <v>10408.870000000001</v>
      </c>
      <c r="D1062">
        <f>18.4694</f>
        <v>18.4694</v>
      </c>
      <c r="E1062">
        <f>183</f>
        <v>183</v>
      </c>
      <c r="F1062" t="e">
        <f>NA()</f>
        <v>#N/A</v>
      </c>
      <c r="G1062" t="e">
        <f>NA()</f>
        <v>#N/A</v>
      </c>
    </row>
    <row r="1063" spans="1:7" x14ac:dyDescent="0.25">
      <c r="A1063" s="1">
        <v>43709</v>
      </c>
      <c r="B1063" t="e">
        <f>NA()</f>
        <v>#N/A</v>
      </c>
      <c r="C1063">
        <f>9638.82</f>
        <v>9638.82</v>
      </c>
      <c r="D1063" t="e">
        <f>NA()</f>
        <v>#N/A</v>
      </c>
      <c r="E1063" t="e">
        <f>NA()</f>
        <v>#N/A</v>
      </c>
      <c r="F1063" t="e">
        <f>NA()</f>
        <v>#N/A</v>
      </c>
      <c r="G1063" t="e">
        <f>NA()</f>
        <v>#N/A</v>
      </c>
    </row>
    <row r="1064" spans="1:7" x14ac:dyDescent="0.25">
      <c r="A1064" s="1">
        <v>43707</v>
      </c>
      <c r="B1064">
        <f>1520.38</f>
        <v>1520.38</v>
      </c>
      <c r="C1064">
        <f>9626.18</f>
        <v>9626.18</v>
      </c>
      <c r="D1064">
        <f>18.3759</f>
        <v>18.375900000000001</v>
      </c>
      <c r="E1064">
        <f>183</f>
        <v>183</v>
      </c>
      <c r="F1064">
        <f>313.83</f>
        <v>313.83</v>
      </c>
      <c r="G1064">
        <f>179.7549</f>
        <v>179.75489999999999</v>
      </c>
    </row>
    <row r="1065" spans="1:7" x14ac:dyDescent="0.25">
      <c r="A1065" s="1">
        <v>43706</v>
      </c>
      <c r="B1065">
        <f>1527.63</f>
        <v>1527.63</v>
      </c>
      <c r="C1065">
        <f>9526.03</f>
        <v>9526.0300000000007</v>
      </c>
      <c r="D1065">
        <f>18.267</f>
        <v>18.266999999999999</v>
      </c>
      <c r="E1065">
        <f>184</f>
        <v>184</v>
      </c>
      <c r="F1065">
        <f>320.78</f>
        <v>320.77999999999997</v>
      </c>
      <c r="G1065">
        <f>180.8559</f>
        <v>180.85589999999999</v>
      </c>
    </row>
    <row r="1066" spans="1:7" x14ac:dyDescent="0.25">
      <c r="A1066" s="1">
        <v>43705</v>
      </c>
      <c r="B1066">
        <f>1539.01</f>
        <v>1539.01</v>
      </c>
      <c r="C1066">
        <f>9669.45</f>
        <v>9669.4500000000007</v>
      </c>
      <c r="D1066">
        <f>18.3565</f>
        <v>18.3565</v>
      </c>
      <c r="E1066">
        <f>184</f>
        <v>184</v>
      </c>
      <c r="F1066">
        <f>322.48</f>
        <v>322.48</v>
      </c>
      <c r="G1066">
        <f>180.8617</f>
        <v>180.86170000000001</v>
      </c>
    </row>
    <row r="1067" spans="1:7" x14ac:dyDescent="0.25">
      <c r="A1067" s="1">
        <v>43704</v>
      </c>
      <c r="B1067">
        <f>1542.81</f>
        <v>1542.81</v>
      </c>
      <c r="C1067">
        <f>10143.08</f>
        <v>10143.08</v>
      </c>
      <c r="D1067">
        <f>18.201</f>
        <v>18.201000000000001</v>
      </c>
      <c r="E1067">
        <f>182</f>
        <v>182</v>
      </c>
      <c r="F1067">
        <f>323.49</f>
        <v>323.49</v>
      </c>
      <c r="G1067">
        <f>179.6175</f>
        <v>179.61750000000001</v>
      </c>
    </row>
    <row r="1068" spans="1:7" x14ac:dyDescent="0.25">
      <c r="A1068" s="1">
        <v>43703</v>
      </c>
      <c r="B1068">
        <f>1527.31</f>
        <v>1527.31</v>
      </c>
      <c r="C1068">
        <f>10265.73</f>
        <v>10265.73</v>
      </c>
      <c r="D1068">
        <f>17.6665</f>
        <v>17.666499999999999</v>
      </c>
      <c r="E1068">
        <f>183</f>
        <v>183</v>
      </c>
      <c r="F1068">
        <f>322.48</f>
        <v>322.48</v>
      </c>
      <c r="G1068">
        <f>180.4075</f>
        <v>180.4075</v>
      </c>
    </row>
    <row r="1069" spans="1:7" x14ac:dyDescent="0.25">
      <c r="A1069" s="1">
        <v>43702</v>
      </c>
      <c r="B1069" t="e">
        <f>NA()</f>
        <v>#N/A</v>
      </c>
      <c r="C1069">
        <f>9998.22</f>
        <v>9998.2199999999993</v>
      </c>
      <c r="D1069" t="e">
        <f>NA()</f>
        <v>#N/A</v>
      </c>
      <c r="E1069" t="e">
        <f>NA()</f>
        <v>#N/A</v>
      </c>
      <c r="F1069" t="e">
        <f>NA()</f>
        <v>#N/A</v>
      </c>
      <c r="G1069" t="e">
        <f>NA()</f>
        <v>#N/A</v>
      </c>
    </row>
    <row r="1070" spans="1:7" x14ac:dyDescent="0.25">
      <c r="A1070" s="1">
        <v>43700</v>
      </c>
      <c r="B1070">
        <f>1526.96</f>
        <v>1526.96</v>
      </c>
      <c r="C1070">
        <f>10361.52</f>
        <v>10361.52</v>
      </c>
      <c r="D1070">
        <f>17.425</f>
        <v>17.425000000000001</v>
      </c>
      <c r="E1070">
        <f>183</f>
        <v>183</v>
      </c>
      <c r="F1070">
        <f>324.17</f>
        <v>324.17</v>
      </c>
      <c r="G1070">
        <f>179.7508</f>
        <v>179.7508</v>
      </c>
    </row>
    <row r="1071" spans="1:7" x14ac:dyDescent="0.25">
      <c r="A1071" s="1">
        <v>43699</v>
      </c>
      <c r="B1071">
        <f>1498.06</f>
        <v>1498.06</v>
      </c>
      <c r="C1071">
        <f>10182.76</f>
        <v>10182.76</v>
      </c>
      <c r="D1071">
        <f>17.0415</f>
        <v>17.041499999999999</v>
      </c>
      <c r="E1071">
        <f>185</f>
        <v>185</v>
      </c>
      <c r="F1071">
        <f>320.1</f>
        <v>320.10000000000002</v>
      </c>
      <c r="G1071">
        <f>180.8414</f>
        <v>180.84139999999999</v>
      </c>
    </row>
    <row r="1072" spans="1:7" x14ac:dyDescent="0.25">
      <c r="A1072" s="1">
        <v>43698</v>
      </c>
      <c r="B1072">
        <f>1502.65</f>
        <v>1502.65</v>
      </c>
      <c r="C1072">
        <f>10155.19</f>
        <v>10155.19</v>
      </c>
      <c r="D1072">
        <f>17.1215</f>
        <v>17.121500000000001</v>
      </c>
      <c r="E1072">
        <f>185</f>
        <v>185</v>
      </c>
      <c r="F1072">
        <f>317.56</f>
        <v>317.56</v>
      </c>
      <c r="G1072">
        <f>180.6487</f>
        <v>180.64869999999999</v>
      </c>
    </row>
    <row r="1073" spans="1:7" x14ac:dyDescent="0.25">
      <c r="A1073" s="1">
        <v>43697</v>
      </c>
      <c r="B1073">
        <f>1507.2</f>
        <v>1507.2</v>
      </c>
      <c r="C1073">
        <f>10706.71</f>
        <v>10706.71</v>
      </c>
      <c r="D1073">
        <f>17.1625</f>
        <v>17.162500000000001</v>
      </c>
      <c r="E1073">
        <f>187</f>
        <v>187</v>
      </c>
      <c r="F1073">
        <f>316.54</f>
        <v>316.54000000000002</v>
      </c>
      <c r="G1073">
        <f>179.9468</f>
        <v>179.9468</v>
      </c>
    </row>
    <row r="1074" spans="1:7" x14ac:dyDescent="0.25">
      <c r="A1074" s="1">
        <v>43696</v>
      </c>
      <c r="B1074">
        <f>1495.92</f>
        <v>1495.92</v>
      </c>
      <c r="C1074">
        <f>10678.85</f>
        <v>10678.85</v>
      </c>
      <c r="D1074">
        <f>16.8765</f>
        <v>16.8765</v>
      </c>
      <c r="E1074" t="e">
        <f>NA()</f>
        <v>#N/A</v>
      </c>
      <c r="F1074">
        <f>320.61</f>
        <v>320.61</v>
      </c>
      <c r="G1074">
        <f>181.4361</f>
        <v>181.43610000000001</v>
      </c>
    </row>
    <row r="1075" spans="1:7" x14ac:dyDescent="0.25">
      <c r="A1075" s="1">
        <v>43695</v>
      </c>
      <c r="B1075" t="e">
        <f>NA()</f>
        <v>#N/A</v>
      </c>
      <c r="C1075">
        <f>10363.71</f>
        <v>10363.709999999999</v>
      </c>
      <c r="D1075" t="e">
        <f>NA()</f>
        <v>#N/A</v>
      </c>
      <c r="E1075" t="e">
        <f>NA()</f>
        <v>#N/A</v>
      </c>
      <c r="F1075" t="e">
        <f>NA()</f>
        <v>#N/A</v>
      </c>
      <c r="G1075" t="e">
        <f>NA()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FC6B-3011-4BF5-9551-B87BA03E643D}">
  <dimension ref="A1:J785"/>
  <sheetViews>
    <sheetView workbookViewId="0">
      <selection activeCell="J2" sqref="J2"/>
    </sheetView>
  </sheetViews>
  <sheetFormatPr defaultRowHeight="15" x14ac:dyDescent="0.25"/>
  <cols>
    <col min="1" max="1" width="16" bestFit="1" customWidth="1"/>
    <col min="2" max="10" width="9.140625" bestFit="1" customWidth="1"/>
  </cols>
  <sheetData>
    <row r="1" spans="1:10" x14ac:dyDescent="0.25">
      <c r="A1" t="s">
        <v>0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46</v>
      </c>
      <c r="I1" t="s">
        <v>45</v>
      </c>
      <c r="J1" t="s">
        <v>8</v>
      </c>
    </row>
    <row r="2" spans="1:10" x14ac:dyDescent="0.25">
      <c r="B2" t="s">
        <v>44</v>
      </c>
      <c r="C2" t="s">
        <v>43</v>
      </c>
      <c r="D2" t="s">
        <v>42</v>
      </c>
      <c r="E2" t="s">
        <v>41</v>
      </c>
      <c r="F2" t="s">
        <v>40</v>
      </c>
      <c r="G2" t="s">
        <v>39</v>
      </c>
      <c r="H2" t="s">
        <v>38</v>
      </c>
      <c r="I2" t="s">
        <v>37</v>
      </c>
      <c r="J2" t="s">
        <v>16</v>
      </c>
    </row>
    <row r="3" spans="1:10" x14ac:dyDescent="0.25">
      <c r="A3" s="1">
        <v>44790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>
        <f>4275.58</f>
        <v>4275.58</v>
      </c>
    </row>
    <row r="4" spans="1:10" x14ac:dyDescent="0.25">
      <c r="A4" s="1">
        <v>44789</v>
      </c>
      <c r="B4">
        <f>223.2</f>
        <v>223.2</v>
      </c>
      <c r="C4">
        <f>133.5448</f>
        <v>133.54480000000001</v>
      </c>
      <c r="D4">
        <f>78.4</f>
        <v>78.400000000000006</v>
      </c>
      <c r="E4">
        <f>2844.42</f>
        <v>2844.42</v>
      </c>
      <c r="F4">
        <f>236.27</f>
        <v>236.27</v>
      </c>
      <c r="G4">
        <f>278.0357</f>
        <v>278.03570000000002</v>
      </c>
      <c r="H4">
        <f>234.09</f>
        <v>234.09</v>
      </c>
      <c r="I4">
        <f>510.52</f>
        <v>510.52</v>
      </c>
      <c r="J4">
        <f>4305.2</f>
        <v>4305.2</v>
      </c>
    </row>
    <row r="5" spans="1:10" x14ac:dyDescent="0.25">
      <c r="A5" s="1">
        <v>44788</v>
      </c>
      <c r="B5">
        <f>223.34</f>
        <v>223.34</v>
      </c>
      <c r="C5">
        <f>133.0036</f>
        <v>133.00360000000001</v>
      </c>
      <c r="D5">
        <f>77.66</f>
        <v>77.66</v>
      </c>
      <c r="E5">
        <f>2842.48</f>
        <v>2842.48</v>
      </c>
      <c r="F5">
        <f>236.35</f>
        <v>236.35</v>
      </c>
      <c r="G5">
        <f>276.2056</f>
        <v>276.2056</v>
      </c>
      <c r="H5">
        <f>235.22</f>
        <v>235.22</v>
      </c>
      <c r="I5">
        <f>509.17</f>
        <v>509.17</v>
      </c>
      <c r="J5">
        <f>4297.14</f>
        <v>4297.1400000000003</v>
      </c>
    </row>
    <row r="6" spans="1:10" x14ac:dyDescent="0.25">
      <c r="A6" s="1">
        <v>44785</v>
      </c>
      <c r="B6">
        <f>227.34</f>
        <v>227.34</v>
      </c>
      <c r="C6">
        <f>133.3317</f>
        <v>133.33170000000001</v>
      </c>
      <c r="D6">
        <f>77.33</f>
        <v>77.33</v>
      </c>
      <c r="E6">
        <f>2834.51</f>
        <v>2834.51</v>
      </c>
      <c r="F6">
        <f>240.85</f>
        <v>240.85</v>
      </c>
      <c r="G6">
        <f>273.849</f>
        <v>273.84899999999999</v>
      </c>
      <c r="H6">
        <f>234.32</f>
        <v>234.32</v>
      </c>
      <c r="I6">
        <f>505.35</f>
        <v>505.35</v>
      </c>
      <c r="J6">
        <f>4280.15</f>
        <v>4280.1499999999996</v>
      </c>
    </row>
    <row r="7" spans="1:10" x14ac:dyDescent="0.25">
      <c r="A7" s="1">
        <v>44784</v>
      </c>
      <c r="B7">
        <f>226.87</f>
        <v>226.87</v>
      </c>
      <c r="C7">
        <f>132.1495</f>
        <v>132.14949999999999</v>
      </c>
      <c r="D7">
        <f>76.93</f>
        <v>76.930000000000007</v>
      </c>
      <c r="E7">
        <f>2802.23</f>
        <v>2802.23</v>
      </c>
      <c r="F7">
        <f>240.05</f>
        <v>240.05</v>
      </c>
      <c r="G7">
        <f>273.3481</f>
        <v>273.34809999999999</v>
      </c>
      <c r="H7">
        <f>231.51</f>
        <v>231.51</v>
      </c>
      <c r="I7">
        <f>500.15</f>
        <v>500.15</v>
      </c>
      <c r="J7">
        <f>4207.27</f>
        <v>4207.2700000000004</v>
      </c>
    </row>
    <row r="8" spans="1:10" x14ac:dyDescent="0.25">
      <c r="A8" s="1">
        <v>44783</v>
      </c>
      <c r="B8">
        <f>221.52</f>
        <v>221.52</v>
      </c>
      <c r="C8">
        <f>131.1829</f>
        <v>131.18289999999999</v>
      </c>
      <c r="D8">
        <f>76.67</f>
        <v>76.67</v>
      </c>
      <c r="E8">
        <f>2803.37</f>
        <v>2803.37</v>
      </c>
      <c r="F8">
        <f>233.79</f>
        <v>233.79</v>
      </c>
      <c r="G8">
        <f>273.7486</f>
        <v>273.74860000000001</v>
      </c>
      <c r="H8">
        <f>232.1</f>
        <v>232.1</v>
      </c>
      <c r="I8">
        <f>501.56</f>
        <v>501.56</v>
      </c>
      <c r="J8">
        <f>4210.24</f>
        <v>4210.24</v>
      </c>
    </row>
    <row r="9" spans="1:10" x14ac:dyDescent="0.25">
      <c r="A9" s="1">
        <v>44782</v>
      </c>
      <c r="B9">
        <f>219.64</f>
        <v>219.64</v>
      </c>
      <c r="C9">
        <f>128.1134</f>
        <v>128.11340000000001</v>
      </c>
      <c r="D9">
        <f>75.95</f>
        <v>75.95</v>
      </c>
      <c r="E9">
        <f>2743.62</f>
        <v>2743.62</v>
      </c>
      <c r="F9">
        <f>231.71</f>
        <v>231.71</v>
      </c>
      <c r="G9">
        <f>271.0009</f>
        <v>271.0009</v>
      </c>
      <c r="H9">
        <f>228.61</f>
        <v>228.61</v>
      </c>
      <c r="I9">
        <f>495.26</f>
        <v>495.26</v>
      </c>
      <c r="J9">
        <f>4122.47</f>
        <v>4122.47</v>
      </c>
    </row>
    <row r="10" spans="1:10" x14ac:dyDescent="0.25">
      <c r="A10" s="1">
        <v>44781</v>
      </c>
      <c r="B10">
        <f>216.78</f>
        <v>216.78</v>
      </c>
      <c r="C10">
        <f>128.0618</f>
        <v>128.06180000000001</v>
      </c>
      <c r="D10">
        <f>76.34</f>
        <v>76.34</v>
      </c>
      <c r="E10">
        <f>2758.72</f>
        <v>2758.72</v>
      </c>
      <c r="F10">
        <f>228.42</f>
        <v>228.42</v>
      </c>
      <c r="G10">
        <f>271.4395</f>
        <v>271.43950000000001</v>
      </c>
      <c r="H10">
        <f>227.57</f>
        <v>227.57</v>
      </c>
      <c r="I10">
        <f>493.33</f>
        <v>493.33</v>
      </c>
      <c r="J10">
        <f>4140.06</f>
        <v>4140.0600000000004</v>
      </c>
    </row>
    <row r="11" spans="1:10" x14ac:dyDescent="0.25">
      <c r="A11" s="1">
        <v>44778</v>
      </c>
      <c r="B11">
        <f>214.61</f>
        <v>214.61</v>
      </c>
      <c r="C11">
        <f>127.5946</f>
        <v>127.5946</v>
      </c>
      <c r="D11">
        <f>75.97</f>
        <v>75.97</v>
      </c>
      <c r="E11">
        <f>2752.06</f>
        <v>2752.06</v>
      </c>
      <c r="F11">
        <f>226.36</f>
        <v>226.36</v>
      </c>
      <c r="G11">
        <f>270.5117</f>
        <v>270.51170000000002</v>
      </c>
      <c r="H11">
        <f>226.21</f>
        <v>226.21</v>
      </c>
      <c r="I11">
        <f>494.5</f>
        <v>494.5</v>
      </c>
      <c r="J11">
        <f>4145.19</f>
        <v>4145.1899999999996</v>
      </c>
    </row>
    <row r="12" spans="1:10" x14ac:dyDescent="0.25">
      <c r="A12" s="1">
        <v>44777</v>
      </c>
      <c r="B12">
        <f>212.56</f>
        <v>212.56</v>
      </c>
      <c r="C12">
        <f>127.3102</f>
        <v>127.31019999999999</v>
      </c>
      <c r="D12">
        <f>75.47</f>
        <v>75.47</v>
      </c>
      <c r="E12">
        <f>2761.65</f>
        <v>2761.65</v>
      </c>
      <c r="F12">
        <f>223.97</f>
        <v>223.97</v>
      </c>
      <c r="G12">
        <f>271.9974</f>
        <v>271.99740000000003</v>
      </c>
      <c r="H12">
        <f>226.26</f>
        <v>226.26</v>
      </c>
      <c r="I12">
        <f>496.58</f>
        <v>496.58</v>
      </c>
      <c r="J12">
        <f>4151.94</f>
        <v>4151.9399999999996</v>
      </c>
    </row>
    <row r="13" spans="1:10" x14ac:dyDescent="0.25">
      <c r="A13" s="1">
        <v>44776</v>
      </c>
      <c r="B13">
        <f>218.01</f>
        <v>218.01</v>
      </c>
      <c r="C13">
        <f>127.0432</f>
        <v>127.0432</v>
      </c>
      <c r="D13">
        <f>74.59</f>
        <v>74.59</v>
      </c>
      <c r="E13">
        <f>2755.25</f>
        <v>2755.25</v>
      </c>
      <c r="F13">
        <f>230.17</f>
        <v>230.17</v>
      </c>
      <c r="G13">
        <f>272.764</f>
        <v>272.76400000000001</v>
      </c>
      <c r="H13">
        <f>225.48</f>
        <v>225.48</v>
      </c>
      <c r="I13">
        <f>499.7</f>
        <v>499.7</v>
      </c>
      <c r="J13">
        <f>4155.17</f>
        <v>4155.17</v>
      </c>
    </row>
    <row r="14" spans="1:10" x14ac:dyDescent="0.25">
      <c r="A14" s="1">
        <v>44775</v>
      </c>
      <c r="B14">
        <f>222.2</f>
        <v>222.2</v>
      </c>
      <c r="C14">
        <f>125.8709</f>
        <v>125.87090000000001</v>
      </c>
      <c r="D14">
        <f>74</f>
        <v>74</v>
      </c>
      <c r="E14">
        <f>2728.3</f>
        <v>2728.3</v>
      </c>
      <c r="F14">
        <f>235.15</f>
        <v>235.15</v>
      </c>
      <c r="G14">
        <f>272.8057</f>
        <v>272.8057</v>
      </c>
      <c r="H14">
        <f>225.56</f>
        <v>225.56</v>
      </c>
      <c r="I14">
        <f>496.97</f>
        <v>496.97</v>
      </c>
      <c r="J14">
        <f>4091.19</f>
        <v>4091.19</v>
      </c>
    </row>
    <row r="15" spans="1:10" x14ac:dyDescent="0.25">
      <c r="A15" s="1">
        <v>44774</v>
      </c>
      <c r="B15">
        <f>223.51</f>
        <v>223.51</v>
      </c>
      <c r="C15">
        <f>127.3936</f>
        <v>127.39360000000001</v>
      </c>
      <c r="D15">
        <f>74.63</f>
        <v>74.63</v>
      </c>
      <c r="E15">
        <f>2749.26</f>
        <v>2749.26</v>
      </c>
      <c r="F15">
        <f>236.7</f>
        <v>236.7</v>
      </c>
      <c r="G15">
        <f>274.7598</f>
        <v>274.75979999999998</v>
      </c>
      <c r="H15">
        <f>228.65</f>
        <v>228.65</v>
      </c>
      <c r="I15">
        <f>496.63</f>
        <v>496.63</v>
      </c>
      <c r="J15">
        <f>4118.63</f>
        <v>4118.63</v>
      </c>
    </row>
    <row r="16" spans="1:10" x14ac:dyDescent="0.25">
      <c r="A16" s="1">
        <v>44771</v>
      </c>
      <c r="B16">
        <f>226.06</f>
        <v>226.06</v>
      </c>
      <c r="C16">
        <f>127.5064</f>
        <v>127.5064</v>
      </c>
      <c r="D16">
        <f>74.15</f>
        <v>74.150000000000006</v>
      </c>
      <c r="E16">
        <f>2746.37</f>
        <v>2746.37</v>
      </c>
      <c r="F16">
        <f>240.01</f>
        <v>240.01</v>
      </c>
      <c r="G16">
        <f>271.6765</f>
        <v>271.67649999999998</v>
      </c>
      <c r="H16">
        <f>229.77</f>
        <v>229.77</v>
      </c>
      <c r="I16">
        <f>491.18</f>
        <v>491.18</v>
      </c>
      <c r="J16">
        <f>4130.29</f>
        <v>4130.29</v>
      </c>
    </row>
    <row r="17" spans="1:10" x14ac:dyDescent="0.25">
      <c r="A17" s="1">
        <v>44770</v>
      </c>
      <c r="B17">
        <f>218.35</f>
        <v>218.35</v>
      </c>
      <c r="C17">
        <f>125.7964</f>
        <v>125.79640000000001</v>
      </c>
      <c r="D17">
        <f>73.83</f>
        <v>73.83</v>
      </c>
      <c r="E17">
        <f>2709.82</f>
        <v>2709.82</v>
      </c>
      <c r="F17">
        <f>231.39</f>
        <v>231.39</v>
      </c>
      <c r="G17">
        <f>272.1191</f>
        <v>272.1191</v>
      </c>
      <c r="H17">
        <f>228.37</f>
        <v>228.37</v>
      </c>
      <c r="I17">
        <f>482.82</f>
        <v>482.82</v>
      </c>
      <c r="J17">
        <f>4072.43</f>
        <v>4072.43</v>
      </c>
    </row>
    <row r="18" spans="1:10" x14ac:dyDescent="0.25">
      <c r="A18" s="1">
        <v>44769</v>
      </c>
      <c r="B18">
        <f>217.05</f>
        <v>217.05</v>
      </c>
      <c r="C18">
        <f>124.7237</f>
        <v>124.72369999999999</v>
      </c>
      <c r="D18">
        <f>74.24</f>
        <v>74.239999999999995</v>
      </c>
      <c r="E18">
        <f>2675.09</f>
        <v>2675.09</v>
      </c>
      <c r="F18">
        <f>230.12</f>
        <v>230.12</v>
      </c>
      <c r="G18">
        <f>268.9312</f>
        <v>268.93119999999999</v>
      </c>
      <c r="H18">
        <f>221.62</f>
        <v>221.62</v>
      </c>
      <c r="I18">
        <f>475.72</f>
        <v>475.72</v>
      </c>
      <c r="J18">
        <f>4023.61</f>
        <v>4023.61</v>
      </c>
    </row>
    <row r="19" spans="1:10" x14ac:dyDescent="0.25">
      <c r="A19" s="1">
        <v>44768</v>
      </c>
      <c r="B19">
        <f>213.58</f>
        <v>213.58</v>
      </c>
      <c r="C19">
        <f>123.3676</f>
        <v>123.3676</v>
      </c>
      <c r="D19">
        <f>73.23</f>
        <v>73.23</v>
      </c>
      <c r="E19">
        <f>2624.49</f>
        <v>2624.49</v>
      </c>
      <c r="F19">
        <f>226.24</f>
        <v>226.24</v>
      </c>
      <c r="G19">
        <f>267.7524</f>
        <v>267.75240000000002</v>
      </c>
      <c r="H19">
        <f>220.84</f>
        <v>220.84</v>
      </c>
      <c r="I19">
        <f>473.6</f>
        <v>473.6</v>
      </c>
      <c r="J19">
        <f>3921.05</f>
        <v>3921.05</v>
      </c>
    </row>
    <row r="20" spans="1:10" x14ac:dyDescent="0.25">
      <c r="A20" s="1">
        <v>44767</v>
      </c>
      <c r="B20">
        <f>214</f>
        <v>214</v>
      </c>
      <c r="C20">
        <f>124.7386</f>
        <v>124.73860000000001</v>
      </c>
      <c r="D20">
        <f>74.12</f>
        <v>74.12</v>
      </c>
      <c r="E20">
        <f>2651.22</f>
        <v>2651.22</v>
      </c>
      <c r="F20">
        <f>226.93</f>
        <v>226.93</v>
      </c>
      <c r="G20">
        <f>268.3317</f>
        <v>268.33170000000001</v>
      </c>
      <c r="H20">
        <f>220.63</f>
        <v>220.63</v>
      </c>
      <c r="I20">
        <f>480.54</f>
        <v>480.54</v>
      </c>
      <c r="J20">
        <f>3966.84</f>
        <v>3966.84</v>
      </c>
    </row>
    <row r="21" spans="1:10" x14ac:dyDescent="0.25">
      <c r="A21" s="1">
        <v>44764</v>
      </c>
      <c r="B21">
        <f>208.77</f>
        <v>208.77</v>
      </c>
      <c r="C21">
        <f>124.0853</f>
        <v>124.0853</v>
      </c>
      <c r="D21">
        <f>74.06</f>
        <v>74.06</v>
      </c>
      <c r="E21">
        <f>2650.82</f>
        <v>2650.82</v>
      </c>
      <c r="F21">
        <f>220.66</f>
        <v>220.66</v>
      </c>
      <c r="G21">
        <f>267.3181</f>
        <v>267.31810000000002</v>
      </c>
      <c r="H21">
        <f>220.73</f>
        <v>220.73</v>
      </c>
      <c r="I21">
        <f>479.34</f>
        <v>479.34</v>
      </c>
      <c r="J21">
        <f>3961.63</f>
        <v>3961.63</v>
      </c>
    </row>
    <row r="22" spans="1:10" x14ac:dyDescent="0.25">
      <c r="A22" s="1">
        <v>44763</v>
      </c>
      <c r="B22">
        <f>209.18</f>
        <v>209.18</v>
      </c>
      <c r="C22">
        <f>124.3267</f>
        <v>124.3267</v>
      </c>
      <c r="D22">
        <f>74.53</f>
        <v>74.53</v>
      </c>
      <c r="E22">
        <f>2663.84</f>
        <v>2663.84</v>
      </c>
      <c r="F22">
        <f>221.39</f>
        <v>221.39</v>
      </c>
      <c r="G22">
        <f>264.9296</f>
        <v>264.92959999999999</v>
      </c>
      <c r="H22">
        <f>218.17</f>
        <v>218.17</v>
      </c>
      <c r="I22">
        <f>480.71</f>
        <v>480.71</v>
      </c>
      <c r="J22">
        <f>3998.95</f>
        <v>3998.95</v>
      </c>
    </row>
    <row r="23" spans="1:10" x14ac:dyDescent="0.25">
      <c r="A23" s="1">
        <v>44762</v>
      </c>
      <c r="B23">
        <f>212.56</f>
        <v>212.56</v>
      </c>
      <c r="C23">
        <f>123.9502</f>
        <v>123.9502</v>
      </c>
      <c r="D23">
        <f>75.33</f>
        <v>75.33</v>
      </c>
      <c r="E23">
        <f>2643.93</f>
        <v>2643.93</v>
      </c>
      <c r="F23">
        <f>225.09</f>
        <v>225.09</v>
      </c>
      <c r="G23">
        <f>263.9515</f>
        <v>263.95150000000001</v>
      </c>
      <c r="H23">
        <f>216.75</f>
        <v>216.75</v>
      </c>
      <c r="I23">
        <f>480.64</f>
        <v>480.64</v>
      </c>
      <c r="J23">
        <f>3959.9</f>
        <v>3959.9</v>
      </c>
    </row>
    <row r="24" spans="1:10" x14ac:dyDescent="0.25">
      <c r="A24" s="1">
        <v>44761</v>
      </c>
      <c r="B24">
        <f>210.75</f>
        <v>210.75</v>
      </c>
      <c r="C24">
        <f>123.5853</f>
        <v>123.5853</v>
      </c>
      <c r="D24">
        <f>75.02</f>
        <v>75.02</v>
      </c>
      <c r="E24">
        <f>2628.34</f>
        <v>2628.34</v>
      </c>
      <c r="F24">
        <f>222.86</f>
        <v>222.86</v>
      </c>
      <c r="G24">
        <f>266.1155</f>
        <v>266.1155</v>
      </c>
      <c r="H24">
        <f>217.09</f>
        <v>217.09</v>
      </c>
      <c r="I24">
        <f>479.1</f>
        <v>479.1</v>
      </c>
      <c r="J24">
        <f>3936.69</f>
        <v>3936.69</v>
      </c>
    </row>
    <row r="25" spans="1:10" x14ac:dyDescent="0.25">
      <c r="A25" s="1">
        <v>44760</v>
      </c>
      <c r="B25">
        <f>206.07</f>
        <v>206.07</v>
      </c>
      <c r="C25">
        <f>120.5402</f>
        <v>120.5402</v>
      </c>
      <c r="D25">
        <f>73.67</f>
        <v>73.67</v>
      </c>
      <c r="E25">
        <f>2567.68</f>
        <v>2567.6799999999998</v>
      </c>
      <c r="F25">
        <f>217.54</f>
        <v>217.54</v>
      </c>
      <c r="G25">
        <f>263.4494</f>
        <v>263.44940000000003</v>
      </c>
      <c r="H25">
        <f>212.82</f>
        <v>212.82</v>
      </c>
      <c r="I25">
        <f>465.96</f>
        <v>465.96</v>
      </c>
      <c r="J25">
        <f>3830.85</f>
        <v>3830.85</v>
      </c>
    </row>
    <row r="26" spans="1:10" x14ac:dyDescent="0.25">
      <c r="A26" s="1">
        <v>44757</v>
      </c>
      <c r="B26">
        <f>200.81</f>
        <v>200.81</v>
      </c>
      <c r="C26">
        <f>119.6821</f>
        <v>119.68210000000001</v>
      </c>
      <c r="D26">
        <f>72.21</f>
        <v>72.209999999999994</v>
      </c>
      <c r="E26">
        <f>2568.64</f>
        <v>2568.64</v>
      </c>
      <c r="F26">
        <f>212.05</f>
        <v>212.05</v>
      </c>
      <c r="G26">
        <f>264.0463</f>
        <v>264.04629999999997</v>
      </c>
      <c r="H26">
        <f>213.59</f>
        <v>213.59</v>
      </c>
      <c r="I26">
        <f>468.03</f>
        <v>468.03</v>
      </c>
      <c r="J26">
        <f>3863.16</f>
        <v>3863.16</v>
      </c>
    </row>
    <row r="27" spans="1:10" x14ac:dyDescent="0.25">
      <c r="A27" s="1">
        <v>44756</v>
      </c>
      <c r="B27">
        <f>197.02</f>
        <v>197.02</v>
      </c>
      <c r="C27">
        <f>116.8983</f>
        <v>116.89830000000001</v>
      </c>
      <c r="D27">
        <f>71.77</f>
        <v>71.77</v>
      </c>
      <c r="E27">
        <f>2520.92</f>
        <v>2520.92</v>
      </c>
      <c r="F27">
        <f>207.66</f>
        <v>207.66</v>
      </c>
      <c r="G27">
        <f>261.5531</f>
        <v>261.55309999999997</v>
      </c>
      <c r="H27">
        <f>210.54</f>
        <v>210.54</v>
      </c>
      <c r="I27">
        <f>461.77</f>
        <v>461.77</v>
      </c>
      <c r="J27">
        <f>3790.38</f>
        <v>3790.38</v>
      </c>
    </row>
    <row r="28" spans="1:10" x14ac:dyDescent="0.25">
      <c r="A28" s="1">
        <v>44755</v>
      </c>
      <c r="B28">
        <f>201.75</f>
        <v>201.75</v>
      </c>
      <c r="C28">
        <f>120.0304</f>
        <v>120.0304</v>
      </c>
      <c r="D28">
        <f>72.13</f>
        <v>72.13</v>
      </c>
      <c r="E28">
        <f>2544.68</f>
        <v>2544.6799999999998</v>
      </c>
      <c r="F28">
        <f>213.05</f>
        <v>213.05</v>
      </c>
      <c r="G28">
        <f>263.2727</f>
        <v>263.27269999999999</v>
      </c>
      <c r="H28">
        <f>213.18</f>
        <v>213.18</v>
      </c>
      <c r="I28">
        <f>468.61</f>
        <v>468.61</v>
      </c>
      <c r="J28">
        <f>3801.78</f>
        <v>3801.78</v>
      </c>
    </row>
    <row r="29" spans="1:10" x14ac:dyDescent="0.25">
      <c r="A29" s="1">
        <v>44754</v>
      </c>
      <c r="B29">
        <f>201.84</f>
        <v>201.84</v>
      </c>
      <c r="C29">
        <f>120.9919</f>
        <v>120.9919</v>
      </c>
      <c r="D29">
        <f>71.37</f>
        <v>71.37</v>
      </c>
      <c r="E29">
        <f>2554.19</f>
        <v>2554.19</v>
      </c>
      <c r="F29">
        <f>212.8</f>
        <v>212.8</v>
      </c>
      <c r="G29">
        <f>263.378</f>
        <v>263.37799999999999</v>
      </c>
      <c r="H29">
        <f>213.7</f>
        <v>213.7</v>
      </c>
      <c r="I29">
        <f>474.73</f>
        <v>474.73</v>
      </c>
      <c r="J29">
        <f>3818.8</f>
        <v>3818.8</v>
      </c>
    </row>
    <row r="30" spans="1:10" x14ac:dyDescent="0.25">
      <c r="A30" s="1">
        <v>44753</v>
      </c>
      <c r="B30">
        <f>205.5</f>
        <v>205.5</v>
      </c>
      <c r="C30">
        <f>121.2887</f>
        <v>121.28870000000001</v>
      </c>
      <c r="D30">
        <f>70.87</f>
        <v>70.87</v>
      </c>
      <c r="E30">
        <f>2572.33</f>
        <v>2572.33</v>
      </c>
      <c r="F30">
        <f>216.89</f>
        <v>216.89</v>
      </c>
      <c r="G30">
        <f>263.2571</f>
        <v>263.25709999999998</v>
      </c>
      <c r="H30">
        <f>214.8</f>
        <v>214.8</v>
      </c>
      <c r="I30">
        <f>471.09</f>
        <v>471.09</v>
      </c>
      <c r="J30">
        <f>3854.43</f>
        <v>3854.43</v>
      </c>
    </row>
    <row r="31" spans="1:10" x14ac:dyDescent="0.25">
      <c r="A31" s="1">
        <v>44750</v>
      </c>
      <c r="B31">
        <f>207.64</f>
        <v>207.64</v>
      </c>
      <c r="C31">
        <f>122.6829</f>
        <v>122.6829</v>
      </c>
      <c r="D31">
        <f>71.87</f>
        <v>71.87</v>
      </c>
      <c r="E31">
        <f>2603.62</f>
        <v>2603.62</v>
      </c>
      <c r="F31">
        <f>219.17</f>
        <v>219.17</v>
      </c>
      <c r="G31">
        <f>264.0994</f>
        <v>264.0994</v>
      </c>
      <c r="H31">
        <f>215.35</f>
        <v>215.35</v>
      </c>
      <c r="I31">
        <f>474.53</f>
        <v>474.53</v>
      </c>
      <c r="J31">
        <f>3899.38</f>
        <v>3899.38</v>
      </c>
    </row>
    <row r="32" spans="1:10" x14ac:dyDescent="0.25">
      <c r="A32" s="1">
        <v>44749</v>
      </c>
      <c r="B32">
        <f>207.33</f>
        <v>207.33</v>
      </c>
      <c r="C32">
        <f>122.5129</f>
        <v>122.5129</v>
      </c>
      <c r="D32">
        <f>71.64</f>
        <v>71.64</v>
      </c>
      <c r="E32">
        <f>2602.03</f>
        <v>2602.0300000000002</v>
      </c>
      <c r="F32">
        <f>218.98</f>
        <v>218.98</v>
      </c>
      <c r="G32">
        <f>264.3283</f>
        <v>264.32830000000001</v>
      </c>
      <c r="H32">
        <f>216.2</f>
        <v>216.2</v>
      </c>
      <c r="I32">
        <f>472.95</f>
        <v>472.95</v>
      </c>
      <c r="J32">
        <f>3902.62</f>
        <v>3902.62</v>
      </c>
    </row>
    <row r="33" spans="1:10" x14ac:dyDescent="0.25">
      <c r="A33" s="1">
        <v>44748</v>
      </c>
      <c r="B33">
        <f>200.81</f>
        <v>200.81</v>
      </c>
      <c r="C33">
        <f>120.4265</f>
        <v>120.4265</v>
      </c>
      <c r="D33">
        <f>70.63</f>
        <v>70.63</v>
      </c>
      <c r="E33">
        <f>2561.2</f>
        <v>2561.1999999999998</v>
      </c>
      <c r="F33">
        <f>211.64</f>
        <v>211.64</v>
      </c>
      <c r="G33">
        <f>264.2296</f>
        <v>264.2296</v>
      </c>
      <c r="H33">
        <f>215.44</f>
        <v>215.44</v>
      </c>
      <c r="I33">
        <f>469</f>
        <v>469</v>
      </c>
      <c r="J33">
        <f>3845.08</f>
        <v>3845.08</v>
      </c>
    </row>
    <row r="34" spans="1:10" x14ac:dyDescent="0.25">
      <c r="A34" s="1">
        <v>44747</v>
      </c>
      <c r="B34">
        <f>205.37</f>
        <v>205.37</v>
      </c>
      <c r="C34">
        <f>120.8045</f>
        <v>120.8045</v>
      </c>
      <c r="D34">
        <f>71.47</f>
        <v>71.47</v>
      </c>
      <c r="E34">
        <f>2553.95</f>
        <v>2553.9499999999998</v>
      </c>
      <c r="F34">
        <f>216.47</f>
        <v>216.47</v>
      </c>
      <c r="G34">
        <f>262.246</f>
        <v>262.24599999999998</v>
      </c>
      <c r="H34">
        <f>214.92</f>
        <v>214.92</v>
      </c>
      <c r="I34">
        <f>460.72</f>
        <v>460.72</v>
      </c>
      <c r="J34">
        <f>3831.39</f>
        <v>3831.39</v>
      </c>
    </row>
    <row r="35" spans="1:10" x14ac:dyDescent="0.25">
      <c r="A35" s="1">
        <v>44746</v>
      </c>
      <c r="B35">
        <f>215.02</f>
        <v>215.02</v>
      </c>
      <c r="C35">
        <f>122.5697</f>
        <v>122.5697</v>
      </c>
      <c r="D35">
        <f>71.59</f>
        <v>71.59</v>
      </c>
      <c r="E35">
        <f>2567.87</f>
        <v>2567.87</v>
      </c>
      <c r="F35">
        <f>227.53</f>
        <v>227.53</v>
      </c>
      <c r="G35">
        <f>265.0794</f>
        <v>265.07940000000002</v>
      </c>
      <c r="H35">
        <f>216.25</f>
        <v>216.25</v>
      </c>
      <c r="I35">
        <f>481.12</f>
        <v>481.12</v>
      </c>
      <c r="J35" t="e">
        <f>NA()</f>
        <v>#N/A</v>
      </c>
    </row>
    <row r="36" spans="1:10" x14ac:dyDescent="0.25">
      <c r="A36" s="1">
        <v>44743</v>
      </c>
      <c r="B36">
        <f>212.29</f>
        <v>212.29</v>
      </c>
      <c r="C36">
        <f>122.1216</f>
        <v>122.1216</v>
      </c>
      <c r="D36">
        <f>71.34</f>
        <v>71.34</v>
      </c>
      <c r="E36">
        <f>2559.95</f>
        <v>2559.9499999999998</v>
      </c>
      <c r="F36">
        <f>224.26</f>
        <v>224.26</v>
      </c>
      <c r="G36">
        <f>264.03</f>
        <v>264.02999999999997</v>
      </c>
      <c r="H36">
        <f>216.17</f>
        <v>216.17</v>
      </c>
      <c r="I36">
        <f>481.97</f>
        <v>481.97</v>
      </c>
      <c r="J36">
        <f>3825.33</f>
        <v>3825.33</v>
      </c>
    </row>
    <row r="37" spans="1:10" x14ac:dyDescent="0.25">
      <c r="A37" s="1">
        <v>44742</v>
      </c>
      <c r="B37">
        <f>212.63</f>
        <v>212.63</v>
      </c>
      <c r="C37">
        <f>121.5123</f>
        <v>121.5123</v>
      </c>
      <c r="D37">
        <f>71.77</f>
        <v>71.77</v>
      </c>
      <c r="E37">
        <f>2546.19</f>
        <v>2546.19</v>
      </c>
      <c r="F37">
        <f>223.77</f>
        <v>223.77</v>
      </c>
      <c r="G37">
        <f>261.7846</f>
        <v>261.78460000000001</v>
      </c>
      <c r="H37">
        <f>213.6</f>
        <v>213.6</v>
      </c>
      <c r="I37">
        <f>476.76</f>
        <v>476.76</v>
      </c>
      <c r="J37">
        <f>3785.38</f>
        <v>3785.38</v>
      </c>
    </row>
    <row r="38" spans="1:10" x14ac:dyDescent="0.25">
      <c r="A38" s="1">
        <v>44741</v>
      </c>
      <c r="B38">
        <f>216.65</f>
        <v>216.65</v>
      </c>
      <c r="C38">
        <f>122.9559</f>
        <v>122.9559</v>
      </c>
      <c r="D38">
        <f>72.62</f>
        <v>72.62</v>
      </c>
      <c r="E38">
        <f>2574.45</f>
        <v>2574.4499999999998</v>
      </c>
      <c r="F38">
        <f>228.32</f>
        <v>228.32</v>
      </c>
      <c r="G38">
        <f>263.0251</f>
        <v>263.02510000000001</v>
      </c>
      <c r="H38">
        <f>214.82</f>
        <v>214.82</v>
      </c>
      <c r="I38">
        <f>469.61</f>
        <v>469.61</v>
      </c>
      <c r="J38">
        <f>3818.83</f>
        <v>3818.83</v>
      </c>
    </row>
    <row r="39" spans="1:10" x14ac:dyDescent="0.25">
      <c r="A39" s="1">
        <v>44740</v>
      </c>
      <c r="B39">
        <f>221.44</f>
        <v>221.44</v>
      </c>
      <c r="C39">
        <f>123.9252</f>
        <v>123.9252</v>
      </c>
      <c r="D39">
        <f>73.43</f>
        <v>73.430000000000007</v>
      </c>
      <c r="E39">
        <f>2584.26</f>
        <v>2584.2600000000002</v>
      </c>
      <c r="F39">
        <f>233.94</f>
        <v>233.94</v>
      </c>
      <c r="G39">
        <f>262.5207</f>
        <v>262.52069999999998</v>
      </c>
      <c r="H39">
        <f>217.13</f>
        <v>217.13</v>
      </c>
      <c r="I39">
        <f>474.01</f>
        <v>474.01</v>
      </c>
      <c r="J39">
        <f>3821.55</f>
        <v>3821.55</v>
      </c>
    </row>
    <row r="40" spans="1:10" x14ac:dyDescent="0.25">
      <c r="A40" s="1">
        <v>44739</v>
      </c>
      <c r="B40">
        <f>216.42</f>
        <v>216.42</v>
      </c>
      <c r="C40">
        <f>124.5503</f>
        <v>124.55029999999999</v>
      </c>
      <c r="D40">
        <f>73.27</f>
        <v>73.27</v>
      </c>
      <c r="E40">
        <f>2623.2</f>
        <v>2623.2</v>
      </c>
      <c r="F40">
        <f>228.51</f>
        <v>228.51</v>
      </c>
      <c r="G40">
        <f>265.2883</f>
        <v>265.28829999999999</v>
      </c>
      <c r="H40">
        <f>218.64</f>
        <v>218.64</v>
      </c>
      <c r="I40">
        <f>473.31</f>
        <v>473.31</v>
      </c>
      <c r="J40">
        <f>3900.11</f>
        <v>3900.11</v>
      </c>
    </row>
    <row r="41" spans="1:10" x14ac:dyDescent="0.25">
      <c r="A41" s="1">
        <v>44736</v>
      </c>
      <c r="B41">
        <f>210.99</f>
        <v>210.99</v>
      </c>
      <c r="C41">
        <f>124.1757</f>
        <v>124.17570000000001</v>
      </c>
      <c r="D41">
        <f>72.67</f>
        <v>72.67</v>
      </c>
      <c r="E41">
        <f>2619.48</f>
        <v>2619.48</v>
      </c>
      <c r="F41">
        <f>222.73</f>
        <v>222.73</v>
      </c>
      <c r="G41">
        <f>265.0322</f>
        <v>265.03219999999999</v>
      </c>
      <c r="H41">
        <f>218.62</f>
        <v>218.62</v>
      </c>
      <c r="I41">
        <f>471.63</f>
        <v>471.63</v>
      </c>
      <c r="J41">
        <f>3911.74</f>
        <v>3911.74</v>
      </c>
    </row>
    <row r="42" spans="1:10" x14ac:dyDescent="0.25">
      <c r="A42" s="1">
        <v>44735</v>
      </c>
      <c r="B42">
        <f>207.59</f>
        <v>207.59</v>
      </c>
      <c r="C42">
        <f>120.8828</f>
        <v>120.8828</v>
      </c>
      <c r="D42">
        <f>71.98</f>
        <v>71.98</v>
      </c>
      <c r="E42">
        <f>2549.05</f>
        <v>2549.0500000000002</v>
      </c>
      <c r="F42">
        <f>218.61</f>
        <v>218.61</v>
      </c>
      <c r="G42">
        <f>259.3678</f>
        <v>259.36779999999999</v>
      </c>
      <c r="H42">
        <f>214.79</f>
        <v>214.79</v>
      </c>
      <c r="I42">
        <f>459.11</f>
        <v>459.11</v>
      </c>
      <c r="J42">
        <f>3795.73</f>
        <v>3795.73</v>
      </c>
    </row>
    <row r="43" spans="1:10" x14ac:dyDescent="0.25">
      <c r="A43" s="1">
        <v>44734</v>
      </c>
      <c r="B43">
        <f>214.4</f>
        <v>214.4</v>
      </c>
      <c r="C43">
        <f>121.9829</f>
        <v>121.9829</v>
      </c>
      <c r="D43">
        <f>72.62</f>
        <v>72.62</v>
      </c>
      <c r="E43">
        <f>2537.26</f>
        <v>2537.2600000000002</v>
      </c>
      <c r="F43">
        <f>226.08</f>
        <v>226.08</v>
      </c>
      <c r="G43">
        <f>256.3712</f>
        <v>256.37119999999999</v>
      </c>
      <c r="H43">
        <f>211.54</f>
        <v>211.54</v>
      </c>
      <c r="I43">
        <f>464.81</f>
        <v>464.81</v>
      </c>
      <c r="J43">
        <f>3759.89</f>
        <v>3759.89</v>
      </c>
    </row>
    <row r="44" spans="1:10" x14ac:dyDescent="0.25">
      <c r="A44" s="1">
        <v>44733</v>
      </c>
      <c r="B44">
        <f>222.24</f>
        <v>222.24</v>
      </c>
      <c r="C44">
        <f>122.5933</f>
        <v>122.5933</v>
      </c>
      <c r="D44">
        <f>73.07</f>
        <v>73.069999999999993</v>
      </c>
      <c r="E44">
        <f>2543.36</f>
        <v>2543.36</v>
      </c>
      <c r="F44">
        <f>234.71</f>
        <v>234.71</v>
      </c>
      <c r="G44">
        <f>255.8222</f>
        <v>255.82220000000001</v>
      </c>
      <c r="H44">
        <f>209.55</f>
        <v>209.55</v>
      </c>
      <c r="I44">
        <f>468.73</f>
        <v>468.73</v>
      </c>
      <c r="J44">
        <f>3764.79</f>
        <v>3764.79</v>
      </c>
    </row>
    <row r="45" spans="1:10" x14ac:dyDescent="0.25">
      <c r="A45" s="1">
        <v>44732</v>
      </c>
      <c r="B45">
        <f>214.8</f>
        <v>214.8</v>
      </c>
      <c r="C45">
        <f>120.6888</f>
        <v>120.6888</v>
      </c>
      <c r="D45">
        <f>71.85</f>
        <v>71.849999999999994</v>
      </c>
      <c r="E45">
        <f>2494.99</f>
        <v>2494.9899999999998</v>
      </c>
      <c r="F45">
        <f>226.27</f>
        <v>226.27</v>
      </c>
      <c r="G45">
        <f>251.618</f>
        <v>251.61799999999999</v>
      </c>
      <c r="H45">
        <f>206.5</f>
        <v>206.5</v>
      </c>
      <c r="I45">
        <f>458.35</f>
        <v>458.35</v>
      </c>
      <c r="J45" t="e">
        <f>NA()</f>
        <v>#N/A</v>
      </c>
    </row>
    <row r="46" spans="1:10" x14ac:dyDescent="0.25">
      <c r="A46" s="1">
        <v>44729</v>
      </c>
      <c r="B46">
        <f>213.68</f>
        <v>213.68</v>
      </c>
      <c r="C46">
        <f>119.6251</f>
        <v>119.6251</v>
      </c>
      <c r="D46">
        <f>71.11</f>
        <v>71.11</v>
      </c>
      <c r="E46">
        <f>2485.77</f>
        <v>2485.77</v>
      </c>
      <c r="F46">
        <f>224.31</f>
        <v>224.31</v>
      </c>
      <c r="G46">
        <f>250.3564</f>
        <v>250.35640000000001</v>
      </c>
      <c r="H46">
        <f>205.74</f>
        <v>205.74</v>
      </c>
      <c r="I46">
        <f>454.11</f>
        <v>454.11</v>
      </c>
      <c r="J46">
        <f>3674.84</f>
        <v>3674.84</v>
      </c>
    </row>
    <row r="47" spans="1:10" x14ac:dyDescent="0.25">
      <c r="A47" s="1">
        <v>44728</v>
      </c>
      <c r="B47">
        <f>224.14</f>
        <v>224.14</v>
      </c>
      <c r="C47">
        <f>119.8374</f>
        <v>119.8374</v>
      </c>
      <c r="D47">
        <f>71.32</f>
        <v>71.319999999999993</v>
      </c>
      <c r="E47">
        <f>2490.54</f>
        <v>2490.54</v>
      </c>
      <c r="F47">
        <f>236.43</f>
        <v>236.43</v>
      </c>
      <c r="G47">
        <f>251.0508</f>
        <v>251.05080000000001</v>
      </c>
      <c r="H47">
        <f>205.31</f>
        <v>205.31</v>
      </c>
      <c r="I47">
        <f>453.52</f>
        <v>453.52</v>
      </c>
      <c r="J47">
        <f>3666.77</f>
        <v>3666.77</v>
      </c>
    </row>
    <row r="48" spans="1:10" x14ac:dyDescent="0.25">
      <c r="A48" s="1">
        <v>44727</v>
      </c>
      <c r="B48">
        <f>234.35</f>
        <v>234.35</v>
      </c>
      <c r="C48">
        <f>122.4237</f>
        <v>122.4237</v>
      </c>
      <c r="D48">
        <f>73.38</f>
        <v>73.38</v>
      </c>
      <c r="E48">
        <f>2556.67</f>
        <v>2556.67</v>
      </c>
      <c r="F48">
        <f>247.94</f>
        <v>247.94</v>
      </c>
      <c r="G48">
        <f>251.9828</f>
        <v>251.9828</v>
      </c>
      <c r="H48">
        <f>208.97</f>
        <v>208.97</v>
      </c>
      <c r="I48">
        <f>464.34</f>
        <v>464.34</v>
      </c>
      <c r="J48">
        <f>3789.99</f>
        <v>3789.99</v>
      </c>
    </row>
    <row r="49" spans="1:10" x14ac:dyDescent="0.25">
      <c r="A49" s="1">
        <v>44726</v>
      </c>
      <c r="B49">
        <f>238.49</f>
        <v>238.49</v>
      </c>
      <c r="C49">
        <f>120.8629</f>
        <v>120.8629</v>
      </c>
      <c r="D49">
        <f>73.37</f>
        <v>73.37</v>
      </c>
      <c r="E49">
        <f>2525.88</f>
        <v>2525.88</v>
      </c>
      <c r="F49">
        <f>252.16</f>
        <v>252.16</v>
      </c>
      <c r="G49">
        <f>251.2733</f>
        <v>251.27330000000001</v>
      </c>
      <c r="H49">
        <f>205.96</f>
        <v>205.96</v>
      </c>
      <c r="I49">
        <f>457.21</f>
        <v>457.21</v>
      </c>
      <c r="J49">
        <f>3735.48</f>
        <v>3735.48</v>
      </c>
    </row>
    <row r="50" spans="1:10" x14ac:dyDescent="0.25">
      <c r="A50" s="1">
        <v>44725</v>
      </c>
      <c r="B50">
        <f>239.04</f>
        <v>239.04</v>
      </c>
      <c r="C50">
        <f>121.8416</f>
        <v>121.8416</v>
      </c>
      <c r="D50">
        <f>74.72</f>
        <v>74.72</v>
      </c>
      <c r="E50">
        <f>2545.05</f>
        <v>2545.0500000000002</v>
      </c>
      <c r="F50">
        <f>252.5</f>
        <v>252.5</v>
      </c>
      <c r="G50">
        <f>255.0571</f>
        <v>255.05709999999999</v>
      </c>
      <c r="H50">
        <f>208.68</f>
        <v>208.68</v>
      </c>
      <c r="I50">
        <f>459.64</f>
        <v>459.64</v>
      </c>
      <c r="J50">
        <f>3749.63</f>
        <v>3749.63</v>
      </c>
    </row>
    <row r="51" spans="1:10" x14ac:dyDescent="0.25">
      <c r="A51" s="1">
        <v>44722</v>
      </c>
      <c r="B51">
        <f>249.85</f>
        <v>249.85</v>
      </c>
      <c r="C51">
        <f>125.4729</f>
        <v>125.4729</v>
      </c>
      <c r="D51">
        <f>77.71</f>
        <v>77.709999999999994</v>
      </c>
      <c r="E51">
        <f>2641.69</f>
        <v>2641.69</v>
      </c>
      <c r="F51">
        <f>264.21</f>
        <v>264.20999999999998</v>
      </c>
      <c r="G51">
        <f>259.889</f>
        <v>259.88900000000001</v>
      </c>
      <c r="H51">
        <f>217.63</f>
        <v>217.63</v>
      </c>
      <c r="I51">
        <f>476.71</f>
        <v>476.71</v>
      </c>
      <c r="J51">
        <f>3900.86</f>
        <v>3900.86</v>
      </c>
    </row>
    <row r="52" spans="1:10" x14ac:dyDescent="0.25">
      <c r="A52" s="1">
        <v>44721</v>
      </c>
      <c r="B52">
        <f>255.75</f>
        <v>255.75</v>
      </c>
      <c r="C52">
        <f>130.1536</f>
        <v>130.15360000000001</v>
      </c>
      <c r="D52">
        <f>79.9</f>
        <v>79.900000000000006</v>
      </c>
      <c r="E52">
        <f>2721.85</f>
        <v>2721.85</v>
      </c>
      <c r="F52">
        <f>270.44</f>
        <v>270.44</v>
      </c>
      <c r="G52">
        <f>262.5168</f>
        <v>262.51679999999999</v>
      </c>
      <c r="H52">
        <f>222.43</f>
        <v>222.43</v>
      </c>
      <c r="I52">
        <f>488</f>
        <v>488</v>
      </c>
      <c r="J52">
        <f>4017.82</f>
        <v>4017.82</v>
      </c>
    </row>
    <row r="53" spans="1:10" x14ac:dyDescent="0.25">
      <c r="A53" s="1">
        <v>44720</v>
      </c>
      <c r="B53">
        <f>260.49</f>
        <v>260.49</v>
      </c>
      <c r="C53">
        <f>133.0914</f>
        <v>133.09139999999999</v>
      </c>
      <c r="D53">
        <f>81.49</f>
        <v>81.489999999999995</v>
      </c>
      <c r="E53">
        <f>2783.29</f>
        <v>2783.29</v>
      </c>
      <c r="F53">
        <f>276.09</f>
        <v>276.08999999999997</v>
      </c>
      <c r="G53">
        <f>266.457</f>
        <v>266.45699999999999</v>
      </c>
      <c r="H53">
        <f>227.17</f>
        <v>227.17</v>
      </c>
      <c r="I53">
        <f>499.98</f>
        <v>499.98</v>
      </c>
      <c r="J53">
        <f>4115.77</f>
        <v>4115.7700000000004</v>
      </c>
    </row>
    <row r="54" spans="1:10" x14ac:dyDescent="0.25">
      <c r="A54" s="1">
        <v>44719</v>
      </c>
      <c r="B54">
        <f>259.51</f>
        <v>259.51</v>
      </c>
      <c r="C54">
        <f>135.0315</f>
        <v>135.03149999999999</v>
      </c>
      <c r="D54">
        <f>82.63</f>
        <v>82.63</v>
      </c>
      <c r="E54">
        <f>2805.33</f>
        <v>2805.33</v>
      </c>
      <c r="F54">
        <f>275.05</f>
        <v>275.05</v>
      </c>
      <c r="G54">
        <f>269.1167</f>
        <v>269.11669999999998</v>
      </c>
      <c r="H54">
        <f>231.12</f>
        <v>231.12</v>
      </c>
      <c r="I54">
        <f>508.1</f>
        <v>508.1</v>
      </c>
      <c r="J54">
        <f>4160.68</f>
        <v>4160.68</v>
      </c>
    </row>
    <row r="55" spans="1:10" x14ac:dyDescent="0.25">
      <c r="A55" s="1">
        <v>44718</v>
      </c>
      <c r="B55">
        <f>254.23</f>
        <v>254.23</v>
      </c>
      <c r="C55">
        <f>134.867</f>
        <v>134.86699999999999</v>
      </c>
      <c r="D55">
        <f>82.9</f>
        <v>82.9</v>
      </c>
      <c r="E55">
        <f>2789.83</f>
        <v>2789.83</v>
      </c>
      <c r="F55">
        <f>268.72</f>
        <v>268.72000000000003</v>
      </c>
      <c r="G55">
        <f>269.5399</f>
        <v>269.53989999999999</v>
      </c>
      <c r="H55">
        <f>229.93</f>
        <v>229.93</v>
      </c>
      <c r="I55">
        <f>499.45</f>
        <v>499.45</v>
      </c>
      <c r="J55">
        <f>4121.43</f>
        <v>4121.43</v>
      </c>
    </row>
    <row r="56" spans="1:10" x14ac:dyDescent="0.25">
      <c r="A56" s="1">
        <v>44715</v>
      </c>
      <c r="B56">
        <f>253.24</f>
        <v>253.24</v>
      </c>
      <c r="C56">
        <f>134.1223</f>
        <v>134.1223</v>
      </c>
      <c r="D56">
        <f>82.66</f>
        <v>82.66</v>
      </c>
      <c r="E56">
        <f>2779.06</f>
        <v>2779.06</v>
      </c>
      <c r="F56">
        <f>267.45</f>
        <v>267.45</v>
      </c>
      <c r="G56">
        <f>268.9128</f>
        <v>268.9128</v>
      </c>
      <c r="H56">
        <f>230.22</f>
        <v>230.22</v>
      </c>
      <c r="I56">
        <f>495.59</f>
        <v>495.59</v>
      </c>
      <c r="J56">
        <f>4108.54</f>
        <v>4108.54</v>
      </c>
    </row>
    <row r="57" spans="1:10" x14ac:dyDescent="0.25">
      <c r="A57" s="1">
        <v>44714</v>
      </c>
      <c r="B57">
        <f>250.89</f>
        <v>250.89</v>
      </c>
      <c r="C57">
        <f>135.5339</f>
        <v>135.53389999999999</v>
      </c>
      <c r="D57">
        <f>83.62</f>
        <v>83.62</v>
      </c>
      <c r="E57">
        <f>2814.03</f>
        <v>2814.03</v>
      </c>
      <c r="F57">
        <f>265.23</f>
        <v>265.23</v>
      </c>
      <c r="G57">
        <f>270.7305</f>
        <v>270.73050000000001</v>
      </c>
      <c r="H57">
        <f>232.41</f>
        <v>232.41</v>
      </c>
      <c r="I57">
        <f>494.48</f>
        <v>494.48</v>
      </c>
      <c r="J57">
        <f>4176.82</f>
        <v>4176.82</v>
      </c>
    </row>
    <row r="58" spans="1:10" x14ac:dyDescent="0.25">
      <c r="A58" s="1">
        <v>44713</v>
      </c>
      <c r="B58">
        <f>250.56</f>
        <v>250.56</v>
      </c>
      <c r="C58">
        <f>134.166</f>
        <v>134.166</v>
      </c>
      <c r="D58">
        <f>83.48</f>
        <v>83.48</v>
      </c>
      <c r="E58">
        <f>2770.43</f>
        <v>2770.43</v>
      </c>
      <c r="F58">
        <f>264.89</f>
        <v>264.89</v>
      </c>
      <c r="G58">
        <f>267.9821</f>
        <v>267.9821</v>
      </c>
      <c r="H58">
        <f>230.11</f>
        <v>230.11</v>
      </c>
      <c r="I58">
        <f>486.55</f>
        <v>486.55</v>
      </c>
      <c r="J58">
        <f>4101.23</f>
        <v>4101.2299999999996</v>
      </c>
    </row>
    <row r="59" spans="1:10" x14ac:dyDescent="0.25">
      <c r="A59" s="1">
        <v>44712</v>
      </c>
      <c r="B59">
        <f>248.8</f>
        <v>248.8</v>
      </c>
      <c r="C59">
        <f>135.6382</f>
        <v>135.63820000000001</v>
      </c>
      <c r="D59">
        <f>84.79</f>
        <v>84.79</v>
      </c>
      <c r="E59">
        <f>2791.01</f>
        <v>2791.01</v>
      </c>
      <c r="F59">
        <f>262.88</f>
        <v>262.88</v>
      </c>
      <c r="G59">
        <f>271.6274</f>
        <v>271.62740000000002</v>
      </c>
      <c r="H59">
        <f>232.06</f>
        <v>232.06</v>
      </c>
      <c r="I59">
        <f>486.72</f>
        <v>486.72</v>
      </c>
      <c r="J59">
        <f>4132.15</f>
        <v>4132.1499999999996</v>
      </c>
    </row>
    <row r="60" spans="1:10" x14ac:dyDescent="0.25">
      <c r="A60" s="1">
        <v>44711</v>
      </c>
      <c r="B60">
        <f>251.69</f>
        <v>251.69</v>
      </c>
      <c r="C60">
        <f>136.7149</f>
        <v>136.7149</v>
      </c>
      <c r="D60">
        <f>85.69</f>
        <v>85.69</v>
      </c>
      <c r="E60">
        <f>2814.75</f>
        <v>2814.75</v>
      </c>
      <c r="F60">
        <f>266.04</f>
        <v>266.04000000000002</v>
      </c>
      <c r="G60">
        <f>272.6499</f>
        <v>272.6499</v>
      </c>
      <c r="H60">
        <f>235.13</f>
        <v>235.13</v>
      </c>
      <c r="I60">
        <f>494.66</f>
        <v>494.66</v>
      </c>
      <c r="J60" t="e">
        <f>NA()</f>
        <v>#N/A</v>
      </c>
    </row>
    <row r="61" spans="1:10" x14ac:dyDescent="0.25">
      <c r="A61" s="1">
        <v>44708</v>
      </c>
      <c r="B61">
        <f>250.35</f>
        <v>250.35</v>
      </c>
      <c r="C61">
        <f>136.07</f>
        <v>136.07</v>
      </c>
      <c r="D61">
        <f>84.92</f>
        <v>84.92</v>
      </c>
      <c r="E61">
        <f>2802.59</f>
        <v>2802.59</v>
      </c>
      <c r="F61">
        <f>264.72</f>
        <v>264.72000000000003</v>
      </c>
      <c r="G61">
        <f>271.6986</f>
        <v>271.6986</v>
      </c>
      <c r="H61">
        <f>234.49</f>
        <v>234.49</v>
      </c>
      <c r="I61">
        <f>493.53</f>
        <v>493.53</v>
      </c>
      <c r="J61">
        <f>4158.24</f>
        <v>4158.24</v>
      </c>
    </row>
    <row r="62" spans="1:10" x14ac:dyDescent="0.25">
      <c r="A62" s="1">
        <v>44707</v>
      </c>
      <c r="B62">
        <f>247.84</f>
        <v>247.84</v>
      </c>
      <c r="C62">
        <f>133.8437</f>
        <v>133.84370000000001</v>
      </c>
      <c r="D62">
        <f>83.35</f>
        <v>83.35</v>
      </c>
      <c r="E62">
        <f>2743.96</f>
        <v>2743.96</v>
      </c>
      <c r="F62">
        <f>261.87</f>
        <v>261.87</v>
      </c>
      <c r="G62">
        <f>268.7647</f>
        <v>268.7647</v>
      </c>
      <c r="H62">
        <f>229.06</f>
        <v>229.06</v>
      </c>
      <c r="I62">
        <f>485.3</f>
        <v>485.3</v>
      </c>
      <c r="J62">
        <f>4057.84</f>
        <v>4057.84</v>
      </c>
    </row>
    <row r="63" spans="1:10" x14ac:dyDescent="0.25">
      <c r="A63" s="1">
        <v>44706</v>
      </c>
      <c r="B63">
        <f>245.25</f>
        <v>245.25</v>
      </c>
      <c r="C63">
        <f>131.5917</f>
        <v>131.5917</v>
      </c>
      <c r="D63">
        <f>80.86</f>
        <v>80.86</v>
      </c>
      <c r="E63">
        <f>2700.09</f>
        <v>2700.09</v>
      </c>
      <c r="F63">
        <f>259.22</f>
        <v>259.22000000000003</v>
      </c>
      <c r="G63">
        <f>266.6606</f>
        <v>266.66059999999999</v>
      </c>
      <c r="H63">
        <f>228.97</f>
        <v>228.97</v>
      </c>
      <c r="I63">
        <f>476.91</f>
        <v>476.91</v>
      </c>
      <c r="J63">
        <f>3978.73</f>
        <v>3978.73</v>
      </c>
    </row>
    <row r="64" spans="1:10" x14ac:dyDescent="0.25">
      <c r="A64" s="1">
        <v>44705</v>
      </c>
      <c r="B64">
        <f>241.43</f>
        <v>241.43</v>
      </c>
      <c r="C64">
        <f>130.7845</f>
        <v>130.78450000000001</v>
      </c>
      <c r="D64">
        <f>79.9</f>
        <v>79.900000000000006</v>
      </c>
      <c r="E64">
        <f>2680.46</f>
        <v>2680.46</v>
      </c>
      <c r="F64">
        <f>254.84</f>
        <v>254.84</v>
      </c>
      <c r="G64">
        <f>266.5224</f>
        <v>266.5224</v>
      </c>
      <c r="H64">
        <f>227.76</f>
        <v>227.76</v>
      </c>
      <c r="I64">
        <f>473.31</f>
        <v>473.31</v>
      </c>
      <c r="J64">
        <f>3941.48</f>
        <v>3941.48</v>
      </c>
    </row>
    <row r="65" spans="1:10" x14ac:dyDescent="0.25">
      <c r="A65" s="1">
        <v>44704</v>
      </c>
      <c r="B65">
        <f>241.72</f>
        <v>241.72</v>
      </c>
      <c r="C65">
        <f>130.9192</f>
        <v>130.91919999999999</v>
      </c>
      <c r="D65">
        <f>81.65</f>
        <v>81.650000000000006</v>
      </c>
      <c r="E65">
        <f>2702.25</f>
        <v>2702.25</v>
      </c>
      <c r="F65">
        <f>254.43</f>
        <v>254.43</v>
      </c>
      <c r="G65">
        <f>264.423</f>
        <v>264.423</v>
      </c>
      <c r="H65">
        <f>226.38</f>
        <v>226.38</v>
      </c>
      <c r="I65">
        <f>472.66</f>
        <v>472.66</v>
      </c>
      <c r="J65">
        <f>3973.75</f>
        <v>3973.75</v>
      </c>
    </row>
    <row r="66" spans="1:10" x14ac:dyDescent="0.25">
      <c r="A66" s="1">
        <v>44701</v>
      </c>
      <c r="B66">
        <f>236.54</f>
        <v>236.54</v>
      </c>
      <c r="C66">
        <f>127.8166</f>
        <v>127.81659999999999</v>
      </c>
      <c r="D66">
        <f>80.87</f>
        <v>80.87</v>
      </c>
      <c r="E66">
        <f>2655.91</f>
        <v>2655.91</v>
      </c>
      <c r="F66">
        <f>248.92</f>
        <v>248.92</v>
      </c>
      <c r="G66">
        <f>259.2029</f>
        <v>259.2029</v>
      </c>
      <c r="H66">
        <f>224</f>
        <v>224</v>
      </c>
      <c r="I66">
        <f>463.2</f>
        <v>463.2</v>
      </c>
      <c r="J66">
        <f>3901.36</f>
        <v>3901.36</v>
      </c>
    </row>
    <row r="67" spans="1:10" x14ac:dyDescent="0.25">
      <c r="A67" s="1">
        <v>44700</v>
      </c>
      <c r="B67">
        <f>234.99</f>
        <v>234.99</v>
      </c>
      <c r="C67">
        <f>127.5853</f>
        <v>127.5853</v>
      </c>
      <c r="D67">
        <f>80.73</f>
        <v>80.73</v>
      </c>
      <c r="E67">
        <f>2651.55</f>
        <v>2651.55</v>
      </c>
      <c r="F67">
        <f>248.15</f>
        <v>248.15</v>
      </c>
      <c r="G67">
        <f>258.7146</f>
        <v>258.71460000000002</v>
      </c>
      <c r="H67">
        <f>221.93</f>
        <v>221.93</v>
      </c>
      <c r="I67">
        <f>466.94</f>
        <v>466.94</v>
      </c>
      <c r="J67">
        <f>3900.79</f>
        <v>3900.79</v>
      </c>
    </row>
    <row r="68" spans="1:10" x14ac:dyDescent="0.25">
      <c r="A68" s="1">
        <v>44699</v>
      </c>
      <c r="B68">
        <f>236.2</f>
        <v>236.2</v>
      </c>
      <c r="C68">
        <f>128.462</f>
        <v>128.46199999999999</v>
      </c>
      <c r="D68">
        <f>81.35</f>
        <v>81.349999999999994</v>
      </c>
      <c r="E68">
        <f>2665.06</f>
        <v>2665.06</v>
      </c>
      <c r="F68">
        <f>249.25</f>
        <v>249.25</v>
      </c>
      <c r="G68">
        <f>264.298</f>
        <v>264.298</v>
      </c>
      <c r="H68">
        <f>222.38</f>
        <v>222.38</v>
      </c>
      <c r="I68">
        <f>473.59</f>
        <v>473.59</v>
      </c>
      <c r="J68">
        <f>3923.68</f>
        <v>3923.68</v>
      </c>
    </row>
    <row r="69" spans="1:10" x14ac:dyDescent="0.25">
      <c r="A69" s="1">
        <v>44698</v>
      </c>
      <c r="B69">
        <f>240.03</f>
        <v>240.03</v>
      </c>
      <c r="C69">
        <f>130.8224</f>
        <v>130.82239999999999</v>
      </c>
      <c r="D69">
        <f>81.46</f>
        <v>81.459999999999994</v>
      </c>
      <c r="E69">
        <f>2746.82</f>
        <v>2746.82</v>
      </c>
      <c r="F69">
        <f>253.36</f>
        <v>253.36</v>
      </c>
      <c r="G69">
        <f>276.8065</f>
        <v>276.80650000000003</v>
      </c>
      <c r="H69">
        <f>226.57</f>
        <v>226.57</v>
      </c>
      <c r="I69">
        <f>482.98</f>
        <v>482.98</v>
      </c>
      <c r="J69">
        <f>4088.85</f>
        <v>4088.85</v>
      </c>
    </row>
    <row r="70" spans="1:10" x14ac:dyDescent="0.25">
      <c r="A70" s="1">
        <v>44697</v>
      </c>
      <c r="B70">
        <f>236.28</f>
        <v>236.28</v>
      </c>
      <c r="C70">
        <f>127.5896</f>
        <v>127.5896</v>
      </c>
      <c r="D70">
        <f>78.87</f>
        <v>78.87</v>
      </c>
      <c r="E70">
        <f>2693.95</f>
        <v>2693.95</v>
      </c>
      <c r="F70">
        <f>249.5</f>
        <v>249.5</v>
      </c>
      <c r="G70">
        <f>278.2175</f>
        <v>278.21749999999997</v>
      </c>
      <c r="H70">
        <f>224.37</f>
        <v>224.37</v>
      </c>
      <c r="I70">
        <f>471.64</f>
        <v>471.64</v>
      </c>
      <c r="J70">
        <f>4008.01</f>
        <v>4008.01</v>
      </c>
    </row>
    <row r="71" spans="1:10" x14ac:dyDescent="0.25">
      <c r="A71" s="1">
        <v>44694</v>
      </c>
      <c r="B71">
        <f>231.58</f>
        <v>231.58</v>
      </c>
      <c r="C71">
        <f>128.0779</f>
        <v>128.0779</v>
      </c>
      <c r="D71">
        <f>78.78</f>
        <v>78.78</v>
      </c>
      <c r="E71">
        <f>2701.33</f>
        <v>2701.33</v>
      </c>
      <c r="F71">
        <f>244.4</f>
        <v>244.4</v>
      </c>
      <c r="G71">
        <f>276.8634</f>
        <v>276.86340000000001</v>
      </c>
      <c r="H71">
        <f>225.31</f>
        <v>225.31</v>
      </c>
      <c r="I71">
        <f>471.28</f>
        <v>471.28</v>
      </c>
      <c r="J71">
        <f>4023.89</f>
        <v>4023.89</v>
      </c>
    </row>
    <row r="72" spans="1:10" x14ac:dyDescent="0.25">
      <c r="A72" s="1">
        <v>44693</v>
      </c>
      <c r="B72">
        <f>224.94</f>
        <v>224.94</v>
      </c>
      <c r="C72">
        <f>126.0189</f>
        <v>126.0189</v>
      </c>
      <c r="D72">
        <f>77.37</f>
        <v>77.37</v>
      </c>
      <c r="E72">
        <f>2639.75</f>
        <v>2639.75</v>
      </c>
      <c r="F72">
        <f>237.14</f>
        <v>237.14</v>
      </c>
      <c r="G72">
        <f>273.0877</f>
        <v>273.08769999999998</v>
      </c>
      <c r="H72">
        <f>220.13</f>
        <v>220.13</v>
      </c>
      <c r="I72">
        <f>465.43</f>
        <v>465.43</v>
      </c>
      <c r="J72">
        <f>3930.08</f>
        <v>3930.08</v>
      </c>
    </row>
    <row r="73" spans="1:10" x14ac:dyDescent="0.25">
      <c r="A73" s="1">
        <v>44692</v>
      </c>
      <c r="B73">
        <f>227.4</f>
        <v>227.4</v>
      </c>
      <c r="C73">
        <f>127.331</f>
        <v>127.331</v>
      </c>
      <c r="D73">
        <f>79.48</f>
        <v>79.48</v>
      </c>
      <c r="E73">
        <f>2652.59</f>
        <v>2652.59</v>
      </c>
      <c r="F73">
        <f>239.77</f>
        <v>239.77</v>
      </c>
      <c r="G73">
        <f>274.1754</f>
        <v>274.17540000000002</v>
      </c>
      <c r="H73">
        <f>219.73</f>
        <v>219.73</v>
      </c>
      <c r="I73">
        <f>472.98</f>
        <v>472.98</v>
      </c>
      <c r="J73">
        <f>3935.18</f>
        <v>3935.18</v>
      </c>
    </row>
    <row r="74" spans="1:10" x14ac:dyDescent="0.25">
      <c r="A74" s="1">
        <v>44691</v>
      </c>
      <c r="B74">
        <f>223.63</f>
        <v>223.63</v>
      </c>
      <c r="C74">
        <f>127.6316</f>
        <v>127.63160000000001</v>
      </c>
      <c r="D74">
        <f>79.57</f>
        <v>79.569999999999993</v>
      </c>
      <c r="E74">
        <f>2677.25</f>
        <v>2677.25</v>
      </c>
      <c r="F74">
        <f>235.54</f>
        <v>235.54</v>
      </c>
      <c r="G74">
        <f>273.4143</f>
        <v>273.41430000000003</v>
      </c>
      <c r="H74">
        <f>219.24</f>
        <v>219.24</v>
      </c>
      <c r="I74">
        <f>473.64</f>
        <v>473.64</v>
      </c>
      <c r="J74">
        <f>4001.05</f>
        <v>4001.05</v>
      </c>
    </row>
    <row r="75" spans="1:10" x14ac:dyDescent="0.25">
      <c r="A75" s="1">
        <v>44690</v>
      </c>
      <c r="B75">
        <f>223.15</f>
        <v>223.15</v>
      </c>
      <c r="C75">
        <f>128.1731</f>
        <v>128.17310000000001</v>
      </c>
      <c r="D75">
        <f>79.8</f>
        <v>79.8</v>
      </c>
      <c r="E75">
        <f>2671.83</f>
        <v>2671.83</v>
      </c>
      <c r="F75">
        <f>234.68</f>
        <v>234.68</v>
      </c>
      <c r="G75">
        <f>274.0466</f>
        <v>274.04660000000001</v>
      </c>
      <c r="H75">
        <f>223.02</f>
        <v>223.02</v>
      </c>
      <c r="I75">
        <f>473.3</f>
        <v>473.3</v>
      </c>
      <c r="J75">
        <f>3991.24</f>
        <v>3991.24</v>
      </c>
    </row>
    <row r="76" spans="1:10" x14ac:dyDescent="0.25">
      <c r="A76" s="1">
        <v>44687</v>
      </c>
      <c r="B76">
        <f>238.43</f>
        <v>238.43</v>
      </c>
      <c r="C76">
        <f>131.3464</f>
        <v>131.34639999999999</v>
      </c>
      <c r="D76">
        <f>83.02</f>
        <v>83.02</v>
      </c>
      <c r="E76">
        <f>2762.21</f>
        <v>2762.21</v>
      </c>
      <c r="F76">
        <f>251.63</f>
        <v>251.63</v>
      </c>
      <c r="G76">
        <f>276.2701</f>
        <v>276.27010000000001</v>
      </c>
      <c r="H76">
        <f>232.33</f>
        <v>232.33</v>
      </c>
      <c r="I76">
        <f>493.9</f>
        <v>493.9</v>
      </c>
      <c r="J76">
        <f>4123.34</f>
        <v>4123.34</v>
      </c>
    </row>
    <row r="77" spans="1:10" x14ac:dyDescent="0.25">
      <c r="A77" s="1">
        <v>44686</v>
      </c>
      <c r="B77">
        <f>234.15</f>
        <v>234.15</v>
      </c>
      <c r="C77">
        <f>132.672</f>
        <v>132.672</v>
      </c>
      <c r="D77">
        <f>84.13</f>
        <v>84.13</v>
      </c>
      <c r="E77">
        <f>2784.12</f>
        <v>2784.12</v>
      </c>
      <c r="F77">
        <f>246.34</f>
        <v>246.34</v>
      </c>
      <c r="G77">
        <f>277.9765</f>
        <v>277.97649999999999</v>
      </c>
      <c r="H77">
        <f>235.34</f>
        <v>235.34</v>
      </c>
      <c r="I77">
        <f>495.84</f>
        <v>495.84</v>
      </c>
      <c r="J77">
        <f>4146.87</f>
        <v>4146.87</v>
      </c>
    </row>
    <row r="78" spans="1:10" x14ac:dyDescent="0.25">
      <c r="A78" s="1">
        <v>44685</v>
      </c>
      <c r="B78">
        <f>235.87</f>
        <v>235.87</v>
      </c>
      <c r="C78">
        <f>135.7655</f>
        <v>135.7655</v>
      </c>
      <c r="D78">
        <f>85.66</f>
        <v>85.66</v>
      </c>
      <c r="E78">
        <f>2864.43</f>
        <v>2864.43</v>
      </c>
      <c r="F78">
        <f>248.03</f>
        <v>248.03</v>
      </c>
      <c r="G78">
        <f>281.5668</f>
        <v>281.5668</v>
      </c>
      <c r="H78">
        <f>239.52</f>
        <v>239.52</v>
      </c>
      <c r="I78">
        <f>500.49</f>
        <v>500.49</v>
      </c>
      <c r="J78">
        <f>4300.17</f>
        <v>4300.17</v>
      </c>
    </row>
    <row r="79" spans="1:10" x14ac:dyDescent="0.25">
      <c r="A79" s="1">
        <v>44684</v>
      </c>
      <c r="B79">
        <f>230</f>
        <v>230</v>
      </c>
      <c r="C79">
        <f>133.6074</f>
        <v>133.60740000000001</v>
      </c>
      <c r="D79">
        <f>85.91</f>
        <v>85.91</v>
      </c>
      <c r="E79">
        <f>2809.82</f>
        <v>2809.82</v>
      </c>
      <c r="F79">
        <f>241.3</f>
        <v>241.3</v>
      </c>
      <c r="G79">
        <f>279.2111</f>
        <v>279.21109999999999</v>
      </c>
      <c r="H79">
        <f>238.06</f>
        <v>238.06</v>
      </c>
      <c r="I79">
        <f>493.18</f>
        <v>493.18</v>
      </c>
      <c r="J79">
        <f>4175.48</f>
        <v>4175.4799999999996</v>
      </c>
    </row>
    <row r="80" spans="1:10" x14ac:dyDescent="0.25">
      <c r="A80" s="1">
        <v>44683</v>
      </c>
      <c r="B80">
        <f>224.38</f>
        <v>224.38</v>
      </c>
      <c r="C80">
        <f>131.994</f>
        <v>131.994</v>
      </c>
      <c r="D80">
        <f>84.83</f>
        <v>84.83</v>
      </c>
      <c r="E80">
        <f>2796.33</f>
        <v>2796.33</v>
      </c>
      <c r="F80">
        <f>234.63</f>
        <v>234.63</v>
      </c>
      <c r="G80">
        <f>279.6638</f>
        <v>279.66379999999998</v>
      </c>
      <c r="H80">
        <f>236.17</f>
        <v>236.17</v>
      </c>
      <c r="I80">
        <f>485.37</f>
        <v>485.37</v>
      </c>
      <c r="J80">
        <f>4155.38</f>
        <v>4155.38</v>
      </c>
    </row>
    <row r="81" spans="1:10" x14ac:dyDescent="0.25">
      <c r="A81" s="1">
        <v>44680</v>
      </c>
      <c r="B81">
        <f>223.76</f>
        <v>223.76</v>
      </c>
      <c r="C81">
        <f>132.6345</f>
        <v>132.6345</v>
      </c>
      <c r="D81">
        <f>85.07</f>
        <v>85.07</v>
      </c>
      <c r="E81">
        <f>2795.62</f>
        <v>2795.62</v>
      </c>
      <c r="F81">
        <f>233.54</f>
        <v>233.54</v>
      </c>
      <c r="G81">
        <f>282.8423</f>
        <v>282.84230000000002</v>
      </c>
      <c r="H81">
        <f>241.86</f>
        <v>241.86</v>
      </c>
      <c r="I81">
        <f>488.12</f>
        <v>488.12</v>
      </c>
      <c r="J81">
        <f>4131.93</f>
        <v>4131.93</v>
      </c>
    </row>
    <row r="82" spans="1:10" x14ac:dyDescent="0.25">
      <c r="A82" s="1">
        <v>44679</v>
      </c>
      <c r="B82">
        <f>226.76</f>
        <v>226.76</v>
      </c>
      <c r="C82">
        <f>134.7686</f>
        <v>134.76859999999999</v>
      </c>
      <c r="D82">
        <f>84.86</f>
        <v>84.86</v>
      </c>
      <c r="E82">
        <f>2861.55</f>
        <v>2861.55</v>
      </c>
      <c r="F82">
        <f>236.93</f>
        <v>236.93</v>
      </c>
      <c r="G82">
        <f>286.3448</f>
        <v>286.34480000000002</v>
      </c>
      <c r="H82">
        <f>250.48</f>
        <v>250.48</v>
      </c>
      <c r="I82">
        <f>497.54</f>
        <v>497.54</v>
      </c>
      <c r="J82">
        <f>4287.5</f>
        <v>4287.5</v>
      </c>
    </row>
    <row r="83" spans="1:10" x14ac:dyDescent="0.25">
      <c r="A83" s="1">
        <v>44678</v>
      </c>
      <c r="B83">
        <f>220.78</f>
        <v>220.78</v>
      </c>
      <c r="C83">
        <f>133.3456</f>
        <v>133.34559999999999</v>
      </c>
      <c r="D83">
        <f>84.12</f>
        <v>84.12</v>
      </c>
      <c r="E83">
        <f>2807.51</f>
        <v>2807.51</v>
      </c>
      <c r="F83">
        <f>230.16</f>
        <v>230.16</v>
      </c>
      <c r="G83">
        <f>283.5404</f>
        <v>283.54039999999998</v>
      </c>
      <c r="H83">
        <f>247.19</f>
        <v>247.19</v>
      </c>
      <c r="I83">
        <f>496.26</f>
        <v>496.26</v>
      </c>
      <c r="J83">
        <f>4183.96</f>
        <v>4183.96</v>
      </c>
    </row>
    <row r="84" spans="1:10" x14ac:dyDescent="0.25">
      <c r="A84" s="1">
        <v>44677</v>
      </c>
      <c r="B84">
        <f>218.77</f>
        <v>218.77</v>
      </c>
      <c r="C84">
        <f>134.1047</f>
        <v>134.10470000000001</v>
      </c>
      <c r="D84">
        <f>84.32</f>
        <v>84.32</v>
      </c>
      <c r="E84">
        <f>2811</f>
        <v>2811</v>
      </c>
      <c r="F84">
        <f>227.81</f>
        <v>227.81</v>
      </c>
      <c r="G84">
        <f>283.9393</f>
        <v>283.9393</v>
      </c>
      <c r="H84">
        <f>248.96</f>
        <v>248.96</v>
      </c>
      <c r="I84">
        <f>502.2</f>
        <v>502.2</v>
      </c>
      <c r="J84">
        <f>4175.2</f>
        <v>4175.2</v>
      </c>
    </row>
    <row r="85" spans="1:10" x14ac:dyDescent="0.25">
      <c r="A85" s="1">
        <v>44676</v>
      </c>
      <c r="B85">
        <f>218.29</f>
        <v>218.29</v>
      </c>
      <c r="C85">
        <f>137.0309</f>
        <v>137.0309</v>
      </c>
      <c r="D85">
        <f>85.77</f>
        <v>85.77</v>
      </c>
      <c r="E85">
        <f>2877.71</f>
        <v>2877.71</v>
      </c>
      <c r="F85">
        <f>227.52</f>
        <v>227.52</v>
      </c>
      <c r="G85">
        <f>287.1991</f>
        <v>287.19909999999999</v>
      </c>
      <c r="H85">
        <f>251.95</f>
        <v>251.95</v>
      </c>
      <c r="I85">
        <f>508.37</f>
        <v>508.37</v>
      </c>
      <c r="J85">
        <f>4296.12</f>
        <v>4296.12</v>
      </c>
    </row>
    <row r="86" spans="1:10" x14ac:dyDescent="0.25">
      <c r="A86" s="1">
        <v>44673</v>
      </c>
      <c r="B86">
        <f>226.82</f>
        <v>226.82</v>
      </c>
      <c r="C86">
        <f>138.3689</f>
        <v>138.3689</v>
      </c>
      <c r="D86">
        <f>87.29</f>
        <v>87.29</v>
      </c>
      <c r="E86">
        <f>2882.45</f>
        <v>2882.45</v>
      </c>
      <c r="F86">
        <f>236.25</f>
        <v>236.25</v>
      </c>
      <c r="G86">
        <f>287.1037</f>
        <v>287.1037</v>
      </c>
      <c r="H86">
        <f>253.4</f>
        <v>253.4</v>
      </c>
      <c r="I86">
        <f>514.13</f>
        <v>514.13</v>
      </c>
      <c r="J86">
        <f>4271.78</f>
        <v>4271.78</v>
      </c>
    </row>
    <row r="87" spans="1:10" x14ac:dyDescent="0.25">
      <c r="A87" s="1">
        <v>44672</v>
      </c>
      <c r="B87">
        <f>233.03</f>
        <v>233.03</v>
      </c>
      <c r="C87">
        <f>142.4195</f>
        <v>142.4195</v>
      </c>
      <c r="D87">
        <f>89.02</f>
        <v>89.02</v>
      </c>
      <c r="E87">
        <f>2959.92</f>
        <v>2959.92</v>
      </c>
      <c r="F87">
        <f>243.23</f>
        <v>243.23</v>
      </c>
      <c r="G87">
        <f>290.9539</f>
        <v>290.95389999999998</v>
      </c>
      <c r="H87">
        <f>257.83</f>
        <v>257.83</v>
      </c>
      <c r="I87">
        <f>520.32</f>
        <v>520.32000000000005</v>
      </c>
      <c r="J87">
        <f>4393.66</f>
        <v>4393.66</v>
      </c>
    </row>
    <row r="88" spans="1:10" x14ac:dyDescent="0.25">
      <c r="A88" s="1">
        <v>44671</v>
      </c>
      <c r="B88">
        <f>237.25</f>
        <v>237.25</v>
      </c>
      <c r="C88">
        <f>143.8684</f>
        <v>143.86840000000001</v>
      </c>
      <c r="D88">
        <f>87.79</f>
        <v>87.79</v>
      </c>
      <c r="E88">
        <f>2994.64</f>
        <v>2994.64</v>
      </c>
      <c r="F88">
        <f>248.08</f>
        <v>248.08</v>
      </c>
      <c r="G88">
        <f>290.8145</f>
        <v>290.81450000000001</v>
      </c>
      <c r="H88">
        <f>258.48</f>
        <v>258.48</v>
      </c>
      <c r="I88">
        <f>530.41</f>
        <v>530.41</v>
      </c>
      <c r="J88">
        <f>4459.45</f>
        <v>4459.45</v>
      </c>
    </row>
    <row r="89" spans="1:10" x14ac:dyDescent="0.25">
      <c r="A89" s="1">
        <v>44670</v>
      </c>
      <c r="B89">
        <f>235.87</f>
        <v>235.87</v>
      </c>
      <c r="C89">
        <f>142.0474</f>
        <v>142.04740000000001</v>
      </c>
      <c r="D89">
        <f>87</f>
        <v>87</v>
      </c>
      <c r="E89">
        <f>2984.7</f>
        <v>2984.7</v>
      </c>
      <c r="F89">
        <f>246.36</f>
        <v>246.36</v>
      </c>
      <c r="G89">
        <f>286.382</f>
        <v>286.38200000000001</v>
      </c>
      <c r="H89">
        <f>254.77</f>
        <v>254.77</v>
      </c>
      <c r="I89">
        <f>529.38</f>
        <v>529.38</v>
      </c>
      <c r="J89">
        <f>4462.21</f>
        <v>4462.21</v>
      </c>
    </row>
    <row r="90" spans="1:10" x14ac:dyDescent="0.25">
      <c r="A90" s="1">
        <v>44669</v>
      </c>
      <c r="B90">
        <f>236.37</f>
        <v>236.37</v>
      </c>
      <c r="C90">
        <f>141.0614</f>
        <v>141.06139999999999</v>
      </c>
      <c r="D90">
        <f>86.63</f>
        <v>86.63</v>
      </c>
      <c r="E90">
        <f>2954.15</f>
        <v>2954.15</v>
      </c>
      <c r="F90">
        <f>247.32</f>
        <v>247.32</v>
      </c>
      <c r="G90">
        <f>285.2721</f>
        <v>285.27210000000002</v>
      </c>
      <c r="H90">
        <f>251.46</f>
        <v>251.46</v>
      </c>
      <c r="I90">
        <f>528.05</f>
        <v>528.04999999999995</v>
      </c>
      <c r="J90">
        <f>4391.69</f>
        <v>4391.6899999999996</v>
      </c>
    </row>
    <row r="91" spans="1:10" x14ac:dyDescent="0.25">
      <c r="A91" s="1">
        <v>44666</v>
      </c>
      <c r="B91">
        <f>234.44</f>
        <v>234.44</v>
      </c>
      <c r="C91">
        <f>140.8145</f>
        <v>140.81450000000001</v>
      </c>
      <c r="D91">
        <f>87.39</f>
        <v>87.39</v>
      </c>
      <c r="E91">
        <f>2959.67</f>
        <v>2959.67</v>
      </c>
      <c r="F91">
        <f>244.96</f>
        <v>244.96</v>
      </c>
      <c r="G91">
        <f>287.0043</f>
        <v>287.0043</v>
      </c>
      <c r="H91">
        <f>252.36</f>
        <v>252.36</v>
      </c>
      <c r="I91">
        <f>528.73</f>
        <v>528.73</v>
      </c>
      <c r="J91" t="e">
        <f>NA()</f>
        <v>#N/A</v>
      </c>
    </row>
    <row r="92" spans="1:10" x14ac:dyDescent="0.25">
      <c r="A92" s="1">
        <v>44665</v>
      </c>
      <c r="B92">
        <f>234.45</f>
        <v>234.45</v>
      </c>
      <c r="C92">
        <f>140.7861</f>
        <v>140.7861</v>
      </c>
      <c r="D92">
        <f>87.58</f>
        <v>87.58</v>
      </c>
      <c r="E92">
        <f>2960.64</f>
        <v>2960.64</v>
      </c>
      <c r="F92">
        <f>244.95</f>
        <v>244.95</v>
      </c>
      <c r="G92">
        <f>287.1599</f>
        <v>287.15989999999999</v>
      </c>
      <c r="H92">
        <f>252.38</f>
        <v>252.38</v>
      </c>
      <c r="I92">
        <f>528.71</f>
        <v>528.71</v>
      </c>
      <c r="J92">
        <f>4392.59</f>
        <v>4392.59</v>
      </c>
    </row>
    <row r="93" spans="1:10" x14ac:dyDescent="0.25">
      <c r="A93" s="1">
        <v>44664</v>
      </c>
      <c r="B93">
        <f>234.02</f>
        <v>234.02</v>
      </c>
      <c r="C93">
        <f>141.5123</f>
        <v>141.51230000000001</v>
      </c>
      <c r="D93">
        <f>85.51</f>
        <v>85.51</v>
      </c>
      <c r="E93">
        <f>2985.07</f>
        <v>2985.07</v>
      </c>
      <c r="F93">
        <f>244.1</f>
        <v>244.1</v>
      </c>
      <c r="G93">
        <f>287.0359</f>
        <v>287.03590000000003</v>
      </c>
      <c r="H93">
        <f>252.75</f>
        <v>252.75</v>
      </c>
      <c r="I93">
        <f>525.99</f>
        <v>525.99</v>
      </c>
      <c r="J93">
        <f>4446.59</f>
        <v>4446.59</v>
      </c>
    </row>
    <row r="94" spans="1:10" x14ac:dyDescent="0.25">
      <c r="A94" s="1">
        <v>44663</v>
      </c>
      <c r="B94">
        <f>231.57</f>
        <v>231.57</v>
      </c>
      <c r="C94">
        <f>141.8067</f>
        <v>141.80670000000001</v>
      </c>
      <c r="D94">
        <f>83.63</f>
        <v>83.63</v>
      </c>
      <c r="E94">
        <f>2959.78</f>
        <v>2959.78</v>
      </c>
      <c r="F94">
        <f>241.62</f>
        <v>241.62</v>
      </c>
      <c r="G94">
        <f>286.4016</f>
        <v>286.40159999999997</v>
      </c>
      <c r="H94">
        <f>252.17</f>
        <v>252.17</v>
      </c>
      <c r="I94">
        <f>522.86</f>
        <v>522.86</v>
      </c>
      <c r="J94">
        <f>4397.45</f>
        <v>4397.45</v>
      </c>
    </row>
    <row r="95" spans="1:10" x14ac:dyDescent="0.25">
      <c r="A95" s="1">
        <v>44662</v>
      </c>
      <c r="B95">
        <f>228.81</f>
        <v>228.81</v>
      </c>
      <c r="C95">
        <f>143.1074</f>
        <v>143.10740000000001</v>
      </c>
      <c r="D95">
        <f>83.24</f>
        <v>83.24</v>
      </c>
      <c r="E95">
        <f>2972.4</f>
        <v>2972.4</v>
      </c>
      <c r="F95">
        <f>238.04</f>
        <v>238.04</v>
      </c>
      <c r="G95">
        <f>287.4747</f>
        <v>287.47469999999998</v>
      </c>
      <c r="H95">
        <f>253.34</f>
        <v>253.34</v>
      </c>
      <c r="I95">
        <f>521.1</f>
        <v>521.1</v>
      </c>
      <c r="J95">
        <f>4412.53</f>
        <v>4412.53</v>
      </c>
    </row>
    <row r="96" spans="1:10" x14ac:dyDescent="0.25">
      <c r="A96" s="1">
        <v>44659</v>
      </c>
      <c r="B96">
        <f>233.41</f>
        <v>233.41</v>
      </c>
      <c r="C96">
        <f>143.4619</f>
        <v>143.46190000000001</v>
      </c>
      <c r="D96">
        <f>83.08</f>
        <v>83.08</v>
      </c>
      <c r="E96">
        <f>3012.19</f>
        <v>3012.19</v>
      </c>
      <c r="F96">
        <f>243.4</f>
        <v>243.4</v>
      </c>
      <c r="G96">
        <f>288.669</f>
        <v>288.66899999999998</v>
      </c>
      <c r="H96">
        <f>255.77</f>
        <v>255.77</v>
      </c>
      <c r="I96">
        <f>518.21</f>
        <v>518.21</v>
      </c>
      <c r="J96">
        <f>4488.28</f>
        <v>4488.28</v>
      </c>
    </row>
    <row r="97" spans="1:10" x14ac:dyDescent="0.25">
      <c r="A97" s="1">
        <v>44658</v>
      </c>
      <c r="B97">
        <f>228.2</f>
        <v>228.2</v>
      </c>
      <c r="C97">
        <f>142.3136</f>
        <v>142.31360000000001</v>
      </c>
      <c r="D97">
        <f>83.59</f>
        <v>83.59</v>
      </c>
      <c r="E97">
        <f>3014.08</f>
        <v>3014.08</v>
      </c>
      <c r="F97">
        <f>237.86</f>
        <v>237.86</v>
      </c>
      <c r="G97">
        <f>287.3743</f>
        <v>287.37430000000001</v>
      </c>
      <c r="H97">
        <f>255.26</f>
        <v>255.26</v>
      </c>
      <c r="I97">
        <f>521.68</f>
        <v>521.67999999999995</v>
      </c>
      <c r="J97">
        <f>4500.21</f>
        <v>4500.21</v>
      </c>
    </row>
    <row r="98" spans="1:10" x14ac:dyDescent="0.25">
      <c r="A98" s="1">
        <v>44657</v>
      </c>
      <c r="B98">
        <f>227.64</f>
        <v>227.64</v>
      </c>
      <c r="C98">
        <f>143.195</f>
        <v>143.19499999999999</v>
      </c>
      <c r="D98">
        <f>85.21</f>
        <v>85.21</v>
      </c>
      <c r="E98">
        <f>3012.24</f>
        <v>3012.24</v>
      </c>
      <c r="F98">
        <f>237.02</f>
        <v>237.02</v>
      </c>
      <c r="G98">
        <f>285.5481</f>
        <v>285.54809999999998</v>
      </c>
      <c r="H98">
        <f>257.58</f>
        <v>257.58</v>
      </c>
      <c r="I98">
        <f>517.08</f>
        <v>517.08000000000004</v>
      </c>
      <c r="J98">
        <f>4481.15</f>
        <v>4481.1499999999996</v>
      </c>
    </row>
    <row r="99" spans="1:10" x14ac:dyDescent="0.25">
      <c r="A99" s="1">
        <v>44656</v>
      </c>
      <c r="B99">
        <f>227.49</f>
        <v>227.49</v>
      </c>
      <c r="C99">
        <f>144.814</f>
        <v>144.81399999999999</v>
      </c>
      <c r="D99">
        <f>87.06</f>
        <v>87.06</v>
      </c>
      <c r="E99">
        <f>3049.39</f>
        <v>3049.39</v>
      </c>
      <c r="F99">
        <f>236.72</f>
        <v>236.72</v>
      </c>
      <c r="G99">
        <f>284.2954</f>
        <v>284.29539999999997</v>
      </c>
      <c r="H99">
        <f>255.83</f>
        <v>255.83</v>
      </c>
      <c r="I99">
        <f>518.79</f>
        <v>518.79</v>
      </c>
      <c r="J99">
        <f>4525.12</f>
        <v>4525.12</v>
      </c>
    </row>
    <row r="100" spans="1:10" x14ac:dyDescent="0.25">
      <c r="A100" s="1">
        <v>44655</v>
      </c>
      <c r="B100">
        <f>229.36</f>
        <v>229.36</v>
      </c>
      <c r="C100">
        <f>145.8532</f>
        <v>145.85319999999999</v>
      </c>
      <c r="D100">
        <f>87.47</f>
        <v>87.47</v>
      </c>
      <c r="E100">
        <f>3081.38</f>
        <v>3081.38</v>
      </c>
      <c r="F100">
        <f>238.48</f>
        <v>238.48</v>
      </c>
      <c r="G100">
        <f>283.6357</f>
        <v>283.63569999999999</v>
      </c>
      <c r="H100">
        <f>255.81</f>
        <v>255.81</v>
      </c>
      <c r="I100">
        <f>525.72</f>
        <v>525.72</v>
      </c>
      <c r="J100">
        <f>4582.64</f>
        <v>4582.6400000000003</v>
      </c>
    </row>
    <row r="101" spans="1:10" x14ac:dyDescent="0.25">
      <c r="A101" s="1">
        <v>44652</v>
      </c>
      <c r="B101">
        <f>228.86</f>
        <v>228.86</v>
      </c>
      <c r="C101">
        <f>146.1382</f>
        <v>146.13820000000001</v>
      </c>
      <c r="D101">
        <f>87.46</f>
        <v>87.46</v>
      </c>
      <c r="E101">
        <f>3057.07</f>
        <v>3057.07</v>
      </c>
      <c r="F101">
        <f>238.08</f>
        <v>238.08</v>
      </c>
      <c r="G101">
        <f>283.4623</f>
        <v>283.46230000000003</v>
      </c>
      <c r="H101">
        <f>256.18</f>
        <v>256.18</v>
      </c>
      <c r="I101">
        <f>527.33</f>
        <v>527.33000000000004</v>
      </c>
      <c r="J101">
        <f>4545.86</f>
        <v>4545.8599999999997</v>
      </c>
    </row>
    <row r="102" spans="1:10" x14ac:dyDescent="0.25">
      <c r="A102" s="1">
        <v>44651</v>
      </c>
      <c r="B102">
        <f>227.15</f>
        <v>227.15</v>
      </c>
      <c r="C102">
        <f>146.3322</f>
        <v>146.3322</v>
      </c>
      <c r="D102">
        <f>87.27</f>
        <v>87.27</v>
      </c>
      <c r="E102">
        <f>3053.07</f>
        <v>3053.07</v>
      </c>
      <c r="F102">
        <f>236.36</f>
        <v>236.36</v>
      </c>
      <c r="G102">
        <f>281.5368</f>
        <v>281.53680000000003</v>
      </c>
      <c r="H102">
        <f>252.35</f>
        <v>252.35</v>
      </c>
      <c r="I102">
        <f>524.71</f>
        <v>524.71</v>
      </c>
      <c r="J102">
        <f>4530.41</f>
        <v>4530.41</v>
      </c>
    </row>
    <row r="103" spans="1:10" x14ac:dyDescent="0.25">
      <c r="A103" s="1">
        <v>44650</v>
      </c>
      <c r="B103">
        <f>229.62</f>
        <v>229.62</v>
      </c>
      <c r="C103">
        <f>149.1306</f>
        <v>149.13059999999999</v>
      </c>
      <c r="D103">
        <f>87.49</f>
        <v>87.49</v>
      </c>
      <c r="E103">
        <f>3096.67</f>
        <v>3096.67</v>
      </c>
      <c r="F103">
        <f>239.17</f>
        <v>239.17</v>
      </c>
      <c r="G103">
        <f>283.3002</f>
        <v>283.30020000000002</v>
      </c>
      <c r="H103">
        <f>255.42</f>
        <v>255.42</v>
      </c>
      <c r="I103">
        <f>532.3</f>
        <v>532.29999999999995</v>
      </c>
      <c r="J103">
        <f>4602.45</f>
        <v>4602.45</v>
      </c>
    </row>
    <row r="104" spans="1:10" x14ac:dyDescent="0.25">
      <c r="A104" s="1">
        <v>44649</v>
      </c>
      <c r="B104">
        <f>226.13</f>
        <v>226.13</v>
      </c>
      <c r="C104">
        <f>150.0018</f>
        <v>150.0018</v>
      </c>
      <c r="D104">
        <f>86.75</f>
        <v>86.75</v>
      </c>
      <c r="E104">
        <f>3110.81</f>
        <v>3110.81</v>
      </c>
      <c r="F104">
        <f>235.09</f>
        <v>235.09</v>
      </c>
      <c r="G104">
        <f>282.379</f>
        <v>282.37900000000002</v>
      </c>
      <c r="H104">
        <f>256.5</f>
        <v>256.5</v>
      </c>
      <c r="I104">
        <f>529.68</f>
        <v>529.67999999999995</v>
      </c>
      <c r="J104">
        <f>4631.6</f>
        <v>4631.6000000000004</v>
      </c>
    </row>
    <row r="105" spans="1:10" x14ac:dyDescent="0.25">
      <c r="A105" s="1">
        <v>44648</v>
      </c>
      <c r="B105">
        <f>226.84</f>
        <v>226.84</v>
      </c>
      <c r="C105">
        <f>148.0941</f>
        <v>148.0941</v>
      </c>
      <c r="D105">
        <f>85.28</f>
        <v>85.28</v>
      </c>
      <c r="E105">
        <f>3061.63</f>
        <v>3061.63</v>
      </c>
      <c r="F105">
        <f>236.36</f>
        <v>236.36</v>
      </c>
      <c r="G105">
        <f>278.6645</f>
        <v>278.66449999999998</v>
      </c>
      <c r="H105">
        <f>250.36</f>
        <v>250.36</v>
      </c>
      <c r="I105">
        <f>524.29</f>
        <v>524.29</v>
      </c>
      <c r="J105">
        <f>4575.52</f>
        <v>4575.5200000000004</v>
      </c>
    </row>
    <row r="106" spans="1:10" x14ac:dyDescent="0.25">
      <c r="A106" s="1">
        <v>44645</v>
      </c>
      <c r="B106">
        <f>231.65</f>
        <v>231.65</v>
      </c>
      <c r="C106">
        <f>148.4329</f>
        <v>148.43289999999999</v>
      </c>
      <c r="D106">
        <f>84.95</f>
        <v>84.95</v>
      </c>
      <c r="E106">
        <f>3049.11</f>
        <v>3049.11</v>
      </c>
      <c r="F106">
        <f>241.9</f>
        <v>241.9</v>
      </c>
      <c r="G106">
        <f>277.8406</f>
        <v>277.84059999999999</v>
      </c>
      <c r="H106">
        <f>248.29</f>
        <v>248.29</v>
      </c>
      <c r="I106">
        <f>532.2</f>
        <v>532.20000000000005</v>
      </c>
      <c r="J106">
        <f>4543.06</f>
        <v>4543.0600000000004</v>
      </c>
    </row>
    <row r="107" spans="1:10" x14ac:dyDescent="0.25">
      <c r="A107" s="1">
        <v>44644</v>
      </c>
      <c r="B107">
        <f>227.53</f>
        <v>227.53</v>
      </c>
      <c r="C107">
        <f>147.7151</f>
        <v>147.71510000000001</v>
      </c>
      <c r="D107">
        <f>84.5</f>
        <v>84.5</v>
      </c>
      <c r="E107">
        <f>3041.48</f>
        <v>3041.48</v>
      </c>
      <c r="F107">
        <f>237.12</f>
        <v>237.12</v>
      </c>
      <c r="G107">
        <f>276.5295</f>
        <v>276.52949999999998</v>
      </c>
      <c r="H107">
        <f>245.84</f>
        <v>245.84</v>
      </c>
      <c r="I107">
        <f>528.3</f>
        <v>528.29999999999995</v>
      </c>
      <c r="J107">
        <f>4520.16</f>
        <v>4520.16</v>
      </c>
    </row>
    <row r="108" spans="1:10" x14ac:dyDescent="0.25">
      <c r="A108" s="1">
        <v>44643</v>
      </c>
      <c r="B108">
        <f>226.92</f>
        <v>226.92</v>
      </c>
      <c r="C108">
        <f>147.309</f>
        <v>147.309</v>
      </c>
      <c r="D108">
        <f>83.5</f>
        <v>83.5</v>
      </c>
      <c r="E108">
        <f>3012.79</f>
        <v>3012.79</v>
      </c>
      <c r="F108">
        <f>236.84</f>
        <v>236.84</v>
      </c>
      <c r="G108">
        <f>275.4161</f>
        <v>275.41609999999997</v>
      </c>
      <c r="H108">
        <f>245.12</f>
        <v>245.12</v>
      </c>
      <c r="I108">
        <f>523.33</f>
        <v>523.33000000000004</v>
      </c>
      <c r="J108">
        <f>4456.24</f>
        <v>4456.24</v>
      </c>
    </row>
    <row r="109" spans="1:10" x14ac:dyDescent="0.25">
      <c r="A109" s="1">
        <v>44642</v>
      </c>
      <c r="B109">
        <f>223.12</f>
        <v>223.12</v>
      </c>
      <c r="C109">
        <f>149.4216</f>
        <v>149.42160000000001</v>
      </c>
      <c r="D109">
        <f>83.96</f>
        <v>83.96</v>
      </c>
      <c r="E109">
        <f>3040.37</f>
        <v>3040.37</v>
      </c>
      <c r="F109">
        <f>232.66</f>
        <v>232.66</v>
      </c>
      <c r="G109">
        <f>277.8132</f>
        <v>277.81319999999999</v>
      </c>
      <c r="H109">
        <f>247.44</f>
        <v>247.44</v>
      </c>
      <c r="I109">
        <f>525.83</f>
        <v>525.83000000000004</v>
      </c>
      <c r="J109">
        <f>4511.61</f>
        <v>4511.6099999999997</v>
      </c>
    </row>
    <row r="110" spans="1:10" x14ac:dyDescent="0.25">
      <c r="A110" s="1">
        <v>44641</v>
      </c>
      <c r="B110">
        <f>223.58</f>
        <v>223.58</v>
      </c>
      <c r="C110">
        <f>147.1479</f>
        <v>147.14789999999999</v>
      </c>
      <c r="D110">
        <f>83.66</f>
        <v>83.66</v>
      </c>
      <c r="E110">
        <f>3010.08</f>
        <v>3010.08</v>
      </c>
      <c r="F110">
        <f>233.79</f>
        <v>233.79</v>
      </c>
      <c r="G110">
        <f>276.4265</f>
        <v>276.42649999999998</v>
      </c>
      <c r="H110">
        <f>246.81</f>
        <v>246.81</v>
      </c>
      <c r="I110">
        <f>519.43</f>
        <v>519.42999999999995</v>
      </c>
      <c r="J110">
        <f>4461.18</f>
        <v>4461.18</v>
      </c>
    </row>
    <row r="111" spans="1:10" x14ac:dyDescent="0.25">
      <c r="A111" s="1">
        <v>44638</v>
      </c>
      <c r="B111">
        <f>216.8</f>
        <v>216.8</v>
      </c>
      <c r="C111">
        <f>147.1148</f>
        <v>147.1148</v>
      </c>
      <c r="D111">
        <f>84.85</f>
        <v>84.85</v>
      </c>
      <c r="E111">
        <f>3010.59</f>
        <v>3010.59</v>
      </c>
      <c r="F111">
        <f>226.06</f>
        <v>226.06</v>
      </c>
      <c r="G111">
        <f>276.7025</f>
        <v>276.70249999999999</v>
      </c>
      <c r="H111">
        <f>248.24</f>
        <v>248.24</v>
      </c>
      <c r="I111">
        <f>513.86</f>
        <v>513.86</v>
      </c>
      <c r="J111">
        <f>4463.12</f>
        <v>4463.12</v>
      </c>
    </row>
    <row r="112" spans="1:10" x14ac:dyDescent="0.25">
      <c r="A112" s="1">
        <v>44637</v>
      </c>
      <c r="B112">
        <f>217.06</f>
        <v>217.06</v>
      </c>
      <c r="C112">
        <f>146.6648</f>
        <v>146.66480000000001</v>
      </c>
      <c r="D112">
        <f>84.45</f>
        <v>84.45</v>
      </c>
      <c r="E112">
        <f>2981.31</f>
        <v>2981.31</v>
      </c>
      <c r="F112">
        <f>226.67</f>
        <v>226.67</v>
      </c>
      <c r="G112">
        <f>275.5025</f>
        <v>275.5025</v>
      </c>
      <c r="H112">
        <f>247.47</f>
        <v>247.47</v>
      </c>
      <c r="I112">
        <f>514.71</f>
        <v>514.71</v>
      </c>
      <c r="J112">
        <f>4411.67</f>
        <v>4411.67</v>
      </c>
    </row>
    <row r="113" spans="1:10" x14ac:dyDescent="0.25">
      <c r="A113" s="1">
        <v>44636</v>
      </c>
      <c r="B113">
        <f>210.35</f>
        <v>210.35</v>
      </c>
      <c r="C113">
        <f>144.8189</f>
        <v>144.81890000000001</v>
      </c>
      <c r="D113">
        <f>83.39</f>
        <v>83.39</v>
      </c>
      <c r="E113">
        <f>2936.33</f>
        <v>2936.33</v>
      </c>
      <c r="F113">
        <f>219.6</f>
        <v>219.6</v>
      </c>
      <c r="G113">
        <f>272.4536</f>
        <v>272.45359999999999</v>
      </c>
      <c r="H113">
        <f>243.15</f>
        <v>243.15</v>
      </c>
      <c r="I113">
        <f>507.37</f>
        <v>507.37</v>
      </c>
      <c r="J113">
        <f>4357.86</f>
        <v>4357.8599999999997</v>
      </c>
    </row>
    <row r="114" spans="1:10" x14ac:dyDescent="0.25">
      <c r="A114" s="1">
        <v>44635</v>
      </c>
      <c r="B114">
        <f>210.49</f>
        <v>210.49</v>
      </c>
      <c r="C114">
        <f>140.4757</f>
        <v>140.47569999999999</v>
      </c>
      <c r="D114">
        <f>79.72</f>
        <v>79.72</v>
      </c>
      <c r="E114">
        <f>2865.89</f>
        <v>2865.89</v>
      </c>
      <c r="F114">
        <f>220.06</f>
        <v>220.06</v>
      </c>
      <c r="G114">
        <f>270.2558</f>
        <v>270.25580000000002</v>
      </c>
      <c r="H114">
        <f>240.19</f>
        <v>240.19</v>
      </c>
      <c r="I114">
        <f>512.48</f>
        <v>512.48</v>
      </c>
      <c r="J114">
        <f>4262.45</f>
        <v>4262.45</v>
      </c>
    </row>
    <row r="115" spans="1:10" x14ac:dyDescent="0.25">
      <c r="A115" s="1">
        <v>44634</v>
      </c>
      <c r="B115">
        <f>215.92</f>
        <v>215.92</v>
      </c>
      <c r="C115">
        <f>139.6552</f>
        <v>139.65520000000001</v>
      </c>
      <c r="D115">
        <f>78.12</f>
        <v>78.12</v>
      </c>
      <c r="E115">
        <f>2826.49</f>
        <v>2826.49</v>
      </c>
      <c r="F115">
        <f>225.25</f>
        <v>225.25</v>
      </c>
      <c r="G115">
        <f>266.7621</f>
        <v>266.76209999999998</v>
      </c>
      <c r="H115">
        <f>239.67</f>
        <v>239.67</v>
      </c>
      <c r="I115">
        <f>506.99</f>
        <v>506.99</v>
      </c>
      <c r="J115">
        <f>4173.11</f>
        <v>4173.1099999999997</v>
      </c>
    </row>
    <row r="116" spans="1:10" x14ac:dyDescent="0.25">
      <c r="A116" s="1">
        <v>44631</v>
      </c>
      <c r="B116">
        <f>221.14</f>
        <v>221.14</v>
      </c>
      <c r="C116">
        <f>138.0116</f>
        <v>138.01159999999999</v>
      </c>
      <c r="D116">
        <f>78.34</f>
        <v>78.34</v>
      </c>
      <c r="E116">
        <f>2840.05</f>
        <v>2840.05</v>
      </c>
      <c r="F116">
        <f>230.82</f>
        <v>230.82</v>
      </c>
      <c r="G116">
        <f>265.2253</f>
        <v>265.2253</v>
      </c>
      <c r="H116">
        <f>240.88</f>
        <v>240.88</v>
      </c>
      <c r="I116">
        <f>505.74</f>
        <v>505.74</v>
      </c>
      <c r="J116">
        <f>4204.31</f>
        <v>4204.3100000000004</v>
      </c>
    </row>
    <row r="117" spans="1:10" x14ac:dyDescent="0.25">
      <c r="A117" s="1">
        <v>44630</v>
      </c>
      <c r="B117">
        <f>222.43</f>
        <v>222.43</v>
      </c>
      <c r="C117">
        <f>138.3016</f>
        <v>138.30160000000001</v>
      </c>
      <c r="D117">
        <f>78.74</f>
        <v>78.739999999999995</v>
      </c>
      <c r="E117">
        <f>2871.52</f>
        <v>2871.52</v>
      </c>
      <c r="F117">
        <f>232.18</f>
        <v>232.18</v>
      </c>
      <c r="G117">
        <f>268.0136</f>
        <v>268.0136</v>
      </c>
      <c r="H117">
        <f>243.23</f>
        <v>243.23</v>
      </c>
      <c r="I117">
        <f>509.53</f>
        <v>509.53</v>
      </c>
      <c r="J117">
        <f>4259.52</f>
        <v>4259.5200000000004</v>
      </c>
    </row>
    <row r="118" spans="1:10" x14ac:dyDescent="0.25">
      <c r="A118" s="1">
        <v>44629</v>
      </c>
      <c r="B118">
        <f>219.5</f>
        <v>219.5</v>
      </c>
      <c r="C118">
        <f>138.8804</f>
        <v>138.88040000000001</v>
      </c>
      <c r="D118">
        <f>76.81</f>
        <v>76.81</v>
      </c>
      <c r="E118">
        <f>2881.78</f>
        <v>2881.78</v>
      </c>
      <c r="F118">
        <f>229.25</f>
        <v>229.25</v>
      </c>
      <c r="G118">
        <f>270.6669</f>
        <v>270.6669</v>
      </c>
      <c r="H118">
        <f>241.61</f>
        <v>241.61</v>
      </c>
      <c r="I118">
        <f>513.25</f>
        <v>513.25</v>
      </c>
      <c r="J118">
        <f>4277.88</f>
        <v>4277.88</v>
      </c>
    </row>
    <row r="119" spans="1:10" x14ac:dyDescent="0.25">
      <c r="A119" s="1">
        <v>44628</v>
      </c>
      <c r="B119">
        <f>227.28</f>
        <v>227.28</v>
      </c>
      <c r="C119">
        <f>133.382</f>
        <v>133.38200000000001</v>
      </c>
      <c r="D119">
        <f>73.86</f>
        <v>73.86</v>
      </c>
      <c r="E119">
        <f>2797.7</f>
        <v>2797.7</v>
      </c>
      <c r="F119">
        <f>234.08</f>
        <v>234.08</v>
      </c>
      <c r="G119">
        <f>264.9344</f>
        <v>264.93439999999998</v>
      </c>
      <c r="H119">
        <f>237.74</f>
        <v>237.74</v>
      </c>
      <c r="I119">
        <f>499.91</f>
        <v>499.91</v>
      </c>
      <c r="J119">
        <f>4170.7</f>
        <v>4170.7</v>
      </c>
    </row>
    <row r="120" spans="1:10" x14ac:dyDescent="0.25">
      <c r="A120" s="1">
        <v>44627</v>
      </c>
      <c r="B120">
        <f>224.63</f>
        <v>224.63</v>
      </c>
      <c r="C120">
        <f>133.9043</f>
        <v>133.90430000000001</v>
      </c>
      <c r="D120">
        <f>73.81</f>
        <v>73.81</v>
      </c>
      <c r="E120">
        <f>2819.54</f>
        <v>2819.54</v>
      </c>
      <c r="F120">
        <f>231.61</f>
        <v>231.61</v>
      </c>
      <c r="G120">
        <f>271.0418</f>
        <v>271.04180000000002</v>
      </c>
      <c r="H120">
        <f>239.55</f>
        <v>239.55</v>
      </c>
      <c r="I120">
        <f>509.79</f>
        <v>509.79</v>
      </c>
      <c r="J120">
        <f>4201.09</f>
        <v>4201.09</v>
      </c>
    </row>
    <row r="121" spans="1:10" x14ac:dyDescent="0.25">
      <c r="A121" s="1">
        <v>44624</v>
      </c>
      <c r="B121">
        <f>221.99</f>
        <v>221.99</v>
      </c>
      <c r="C121">
        <f>138.6168</f>
        <v>138.61680000000001</v>
      </c>
      <c r="D121">
        <f>79.8</f>
        <v>79.8</v>
      </c>
      <c r="E121">
        <f>2896.52</f>
        <v>2896.52</v>
      </c>
      <c r="F121">
        <f>227.42</f>
        <v>227.42</v>
      </c>
      <c r="G121">
        <f>276.847</f>
        <v>276.84699999999998</v>
      </c>
      <c r="H121">
        <f>243.93</f>
        <v>243.93</v>
      </c>
      <c r="I121">
        <f>515.29</f>
        <v>515.29</v>
      </c>
      <c r="J121">
        <f>4328.87</f>
        <v>4328.87</v>
      </c>
    </row>
    <row r="122" spans="1:10" x14ac:dyDescent="0.25">
      <c r="A122" s="1">
        <v>44623</v>
      </c>
      <c r="B122">
        <f>221.52</f>
        <v>221.52</v>
      </c>
      <c r="C122">
        <f>142.3944</f>
        <v>142.39439999999999</v>
      </c>
      <c r="D122">
        <f>82.37</f>
        <v>82.37</v>
      </c>
      <c r="E122">
        <f>2942.45</f>
        <v>2942.45</v>
      </c>
      <c r="F122">
        <f>225.88</f>
        <v>225.88</v>
      </c>
      <c r="G122">
        <f>279.6008</f>
        <v>279.60079999999999</v>
      </c>
      <c r="H122">
        <f>243.96</f>
        <v>243.96</v>
      </c>
      <c r="I122">
        <f>520.35</f>
        <v>520.35</v>
      </c>
      <c r="J122">
        <f>4363.49</f>
        <v>4363.49</v>
      </c>
    </row>
    <row r="123" spans="1:10" x14ac:dyDescent="0.25">
      <c r="A123" s="1">
        <v>44622</v>
      </c>
      <c r="B123">
        <f>222.4</f>
        <v>222.4</v>
      </c>
      <c r="C123">
        <f>142.9439</f>
        <v>142.94390000000001</v>
      </c>
      <c r="D123">
        <f>83.3</f>
        <v>83.3</v>
      </c>
      <c r="E123">
        <f>2964.24</f>
        <v>2964.24</v>
      </c>
      <c r="F123">
        <f>227.71</f>
        <v>227.71</v>
      </c>
      <c r="G123">
        <f>279.5782</f>
        <v>279.57819999999998</v>
      </c>
      <c r="H123">
        <f>242.56</f>
        <v>242.56</v>
      </c>
      <c r="I123">
        <f>529.72</f>
        <v>529.72</v>
      </c>
      <c r="J123">
        <f>4386.54</f>
        <v>4386.54</v>
      </c>
    </row>
    <row r="124" spans="1:10" x14ac:dyDescent="0.25">
      <c r="A124" s="1">
        <v>44621</v>
      </c>
      <c r="B124">
        <f>216.78</f>
        <v>216.78</v>
      </c>
      <c r="C124">
        <f>141.0542</f>
        <v>141.05420000000001</v>
      </c>
      <c r="D124">
        <f>83.7</f>
        <v>83.7</v>
      </c>
      <c r="E124">
        <f>2930.77</f>
        <v>2930.77</v>
      </c>
      <c r="F124">
        <f>221.61</f>
        <v>221.61</v>
      </c>
      <c r="G124">
        <f>279.2913</f>
        <v>279.29129999999998</v>
      </c>
      <c r="H124">
        <f>240.13</f>
        <v>240.13</v>
      </c>
      <c r="I124">
        <f>527.13</f>
        <v>527.13</v>
      </c>
      <c r="J124">
        <f>4306.26</f>
        <v>4306.26</v>
      </c>
    </row>
    <row r="125" spans="1:10" x14ac:dyDescent="0.25">
      <c r="A125" s="1">
        <v>44620</v>
      </c>
      <c r="B125">
        <f>216.47</f>
        <v>216.47</v>
      </c>
      <c r="C125">
        <f>145.9498</f>
        <v>145.94980000000001</v>
      </c>
      <c r="D125">
        <f>85.75</f>
        <v>85.75</v>
      </c>
      <c r="E125">
        <f>2977.95</f>
        <v>2977.95</v>
      </c>
      <c r="F125">
        <f>220.39</f>
        <v>220.39</v>
      </c>
      <c r="G125">
        <f>281.6824</f>
        <v>281.68239999999997</v>
      </c>
      <c r="H125">
        <f>241.18</f>
        <v>241.18</v>
      </c>
      <c r="I125">
        <f>535.08</f>
        <v>535.08000000000004</v>
      </c>
      <c r="J125">
        <f>4373.94</f>
        <v>4373.9399999999996</v>
      </c>
    </row>
    <row r="126" spans="1:10" x14ac:dyDescent="0.25">
      <c r="A126" s="1">
        <v>44617</v>
      </c>
      <c r="B126">
        <f>215.6</f>
        <v>215.6</v>
      </c>
      <c r="C126">
        <f>148.042</f>
        <v>148.042</v>
      </c>
      <c r="D126">
        <f>87.05</f>
        <v>87.05</v>
      </c>
      <c r="E126">
        <f>2980.2</f>
        <v>2980.2</v>
      </c>
      <c r="F126">
        <f>217.44</f>
        <v>217.44</v>
      </c>
      <c r="G126">
        <f>283.7183</f>
        <v>283.7183</v>
      </c>
      <c r="H126">
        <f>243.79</f>
        <v>243.79</v>
      </c>
      <c r="I126">
        <f>515.24</f>
        <v>515.24</v>
      </c>
      <c r="J126">
        <f>4384.65</f>
        <v>4384.6499999999996</v>
      </c>
    </row>
    <row r="127" spans="1:10" x14ac:dyDescent="0.25">
      <c r="A127" s="1">
        <v>44616</v>
      </c>
      <c r="B127">
        <f>208.87</f>
        <v>208.87</v>
      </c>
      <c r="C127">
        <f>143.7407</f>
        <v>143.7407</v>
      </c>
      <c r="D127">
        <f>84.68</f>
        <v>84.68</v>
      </c>
      <c r="E127">
        <f>2905.94</f>
        <v>2905.94</v>
      </c>
      <c r="F127">
        <f>211.68</f>
        <v>211.68</v>
      </c>
      <c r="G127">
        <f>274.7793</f>
        <v>274.77929999999998</v>
      </c>
      <c r="H127">
        <f>238.19</f>
        <v>238.19</v>
      </c>
      <c r="I127">
        <f>495.6</f>
        <v>495.6</v>
      </c>
      <c r="J127">
        <f>4288.7</f>
        <v>4288.7</v>
      </c>
    </row>
    <row r="128" spans="1:10" x14ac:dyDescent="0.25">
      <c r="A128" s="1">
        <v>44615</v>
      </c>
      <c r="B128">
        <f>215.36</f>
        <v>215.36</v>
      </c>
      <c r="C128">
        <f>148.2771</f>
        <v>148.27709999999999</v>
      </c>
      <c r="D128">
        <f>88.45</f>
        <v>88.45</v>
      </c>
      <c r="E128">
        <f>2909.33</f>
        <v>2909.33</v>
      </c>
      <c r="F128">
        <f>214.68</f>
        <v>214.68</v>
      </c>
      <c r="G128">
        <f>282.6321</f>
        <v>282.63209999999998</v>
      </c>
      <c r="H128">
        <f>237.53</f>
        <v>237.53</v>
      </c>
      <c r="I128">
        <f>493.82</f>
        <v>493.82</v>
      </c>
      <c r="J128">
        <f>4225.5</f>
        <v>4225.5</v>
      </c>
    </row>
    <row r="129" spans="1:10" x14ac:dyDescent="0.25">
      <c r="A129" s="1">
        <v>44614</v>
      </c>
      <c r="B129">
        <f>214.75</f>
        <v>214.75</v>
      </c>
      <c r="C129">
        <f>150.0593</f>
        <v>150.05930000000001</v>
      </c>
      <c r="D129">
        <f>89.78</f>
        <v>89.78</v>
      </c>
      <c r="E129">
        <f>2949.64</f>
        <v>2949.64</v>
      </c>
      <c r="F129">
        <f>213.76</f>
        <v>213.76</v>
      </c>
      <c r="G129">
        <f>283.5548</f>
        <v>283.5548</v>
      </c>
      <c r="H129">
        <f>240.06</f>
        <v>240.06</v>
      </c>
      <c r="I129">
        <f>497.25</f>
        <v>497.25</v>
      </c>
      <c r="J129">
        <f>4304.76</f>
        <v>4304.76</v>
      </c>
    </row>
    <row r="130" spans="1:10" x14ac:dyDescent="0.25">
      <c r="A130" s="1">
        <v>44613</v>
      </c>
      <c r="B130">
        <f>216.41</f>
        <v>216.41</v>
      </c>
      <c r="C130">
        <f>150.9965</f>
        <v>150.9965</v>
      </c>
      <c r="D130">
        <f>91.23</f>
        <v>91.23</v>
      </c>
      <c r="E130">
        <f>2975.91</f>
        <v>2975.91</v>
      </c>
      <c r="F130">
        <f>215.4</f>
        <v>215.4</v>
      </c>
      <c r="G130">
        <f>285.6106</f>
        <v>285.61059999999998</v>
      </c>
      <c r="H130">
        <f>241.24</f>
        <v>241.24</v>
      </c>
      <c r="I130">
        <f>499.32</f>
        <v>499.32</v>
      </c>
      <c r="J130" t="e">
        <f>NA()</f>
        <v>#N/A</v>
      </c>
    </row>
    <row r="131" spans="1:10" x14ac:dyDescent="0.25">
      <c r="A131" s="1">
        <v>44610</v>
      </c>
      <c r="B131">
        <f>217.87</f>
        <v>217.87</v>
      </c>
      <c r="C131">
        <f>151.3231</f>
        <v>151.32310000000001</v>
      </c>
      <c r="D131">
        <f>91.22</f>
        <v>91.22</v>
      </c>
      <c r="E131">
        <f>2983.59</f>
        <v>2983.59</v>
      </c>
      <c r="F131">
        <f>215.75</f>
        <v>215.75</v>
      </c>
      <c r="G131">
        <f>286.2585</f>
        <v>286.25850000000003</v>
      </c>
      <c r="H131">
        <f>241.7</f>
        <v>241.7</v>
      </c>
      <c r="I131">
        <f>501.75</f>
        <v>501.75</v>
      </c>
      <c r="J131">
        <f>4348.87</f>
        <v>4348.87</v>
      </c>
    </row>
    <row r="132" spans="1:10" x14ac:dyDescent="0.25">
      <c r="A132" s="1">
        <v>44609</v>
      </c>
      <c r="B132">
        <f>220.12</f>
        <v>220.12</v>
      </c>
      <c r="C132">
        <f>152.0806</f>
        <v>152.0806</v>
      </c>
      <c r="D132">
        <f>91.8</f>
        <v>91.8</v>
      </c>
      <c r="E132">
        <f>3009.09</f>
        <v>3009.09</v>
      </c>
      <c r="F132">
        <f>217.78</f>
        <v>217.78</v>
      </c>
      <c r="G132">
        <f>285.8058</f>
        <v>285.80579999999998</v>
      </c>
      <c r="H132">
        <f>242.92</f>
        <v>242.92</v>
      </c>
      <c r="I132">
        <f>507.14</f>
        <v>507.14</v>
      </c>
      <c r="J132">
        <f>4380.26</f>
        <v>4380.26</v>
      </c>
    </row>
    <row r="133" spans="1:10" x14ac:dyDescent="0.25">
      <c r="A133" s="1">
        <v>44608</v>
      </c>
      <c r="B133">
        <f>221.37</f>
        <v>221.37</v>
      </c>
      <c r="C133">
        <f>154.9254</f>
        <v>154.9254</v>
      </c>
      <c r="D133">
        <f>92.56</f>
        <v>92.56</v>
      </c>
      <c r="E133">
        <f>3060.29</f>
        <v>3060.29</v>
      </c>
      <c r="F133">
        <f>218.58</f>
        <v>218.58</v>
      </c>
      <c r="G133">
        <f>283.923</f>
        <v>283.923</v>
      </c>
      <c r="H133">
        <f>244.97</f>
        <v>244.97</v>
      </c>
      <c r="I133">
        <f>511.03</f>
        <v>511.03</v>
      </c>
      <c r="J133">
        <f>4475.01</f>
        <v>4475.01</v>
      </c>
    </row>
    <row r="134" spans="1:10" x14ac:dyDescent="0.25">
      <c r="A134" s="1">
        <v>44607</v>
      </c>
      <c r="B134">
        <f>219.17</f>
        <v>219.17</v>
      </c>
      <c r="C134">
        <f>154.6457</f>
        <v>154.64570000000001</v>
      </c>
      <c r="D134">
        <f>91.24</f>
        <v>91.24</v>
      </c>
      <c r="E134">
        <f>3054.26</f>
        <v>3054.26</v>
      </c>
      <c r="F134">
        <f>216.71</f>
        <v>216.71</v>
      </c>
      <c r="G134">
        <f>283.4922</f>
        <v>283.49220000000003</v>
      </c>
      <c r="H134">
        <f>243.34</f>
        <v>243.34</v>
      </c>
      <c r="I134">
        <f>506.11</f>
        <v>506.11</v>
      </c>
      <c r="J134">
        <f>4471.07</f>
        <v>4471.07</v>
      </c>
    </row>
    <row r="135" spans="1:10" x14ac:dyDescent="0.25">
      <c r="A135" s="1">
        <v>44606</v>
      </c>
      <c r="B135">
        <f>220.67</f>
        <v>220.67</v>
      </c>
      <c r="C135">
        <f>153.0535</f>
        <v>153.05350000000001</v>
      </c>
      <c r="D135">
        <f>89.77</f>
        <v>89.77</v>
      </c>
      <c r="E135">
        <f>3011.45</f>
        <v>3011.45</v>
      </c>
      <c r="F135">
        <f>219.46</f>
        <v>219.46</v>
      </c>
      <c r="G135">
        <f>282.0124</f>
        <v>282.01240000000001</v>
      </c>
      <c r="H135">
        <f>242.15</f>
        <v>242.15</v>
      </c>
      <c r="I135">
        <f>499.81</f>
        <v>499.81</v>
      </c>
      <c r="J135">
        <f>4401.67</f>
        <v>4401.67</v>
      </c>
    </row>
    <row r="136" spans="1:10" x14ac:dyDescent="0.25">
      <c r="A136" s="1">
        <v>44603</v>
      </c>
      <c r="B136">
        <f>225.46</f>
        <v>225.46</v>
      </c>
      <c r="C136">
        <f>155.4786</f>
        <v>155.4786</v>
      </c>
      <c r="D136">
        <f>91.33</f>
        <v>91.33</v>
      </c>
      <c r="E136">
        <f>3039.18</f>
        <v>3039.18</v>
      </c>
      <c r="F136">
        <f>224.4</f>
        <v>224.4</v>
      </c>
      <c r="G136">
        <f>284.7158</f>
        <v>284.7158</v>
      </c>
      <c r="H136">
        <f>244.48</f>
        <v>244.48</v>
      </c>
      <c r="I136">
        <f>508.86</f>
        <v>508.86</v>
      </c>
      <c r="J136">
        <f>4418.64</f>
        <v>4418.6400000000003</v>
      </c>
    </row>
    <row r="137" spans="1:10" x14ac:dyDescent="0.25">
      <c r="A137" s="1">
        <v>44602</v>
      </c>
      <c r="B137">
        <f>221.9</f>
        <v>221.9</v>
      </c>
      <c r="C137">
        <f>157.3879</f>
        <v>157.3879</v>
      </c>
      <c r="D137">
        <f>92.68</f>
        <v>92.68</v>
      </c>
      <c r="E137">
        <f>3087.98</f>
        <v>3087.98</v>
      </c>
      <c r="F137">
        <f>220.02</f>
        <v>220.02</v>
      </c>
      <c r="G137">
        <f>284.6908</f>
        <v>284.69080000000002</v>
      </c>
      <c r="H137">
        <f>247.18</f>
        <v>247.18</v>
      </c>
      <c r="I137">
        <f>507.4</f>
        <v>507.4</v>
      </c>
      <c r="J137">
        <f>4504.08</f>
        <v>4504.08</v>
      </c>
    </row>
    <row r="138" spans="1:10" x14ac:dyDescent="0.25">
      <c r="A138" s="1">
        <v>44601</v>
      </c>
      <c r="B138">
        <f>222.26</f>
        <v>222.26</v>
      </c>
      <c r="C138">
        <f>158.0217</f>
        <v>158.02170000000001</v>
      </c>
      <c r="D138">
        <f>92.55</f>
        <v>92.55</v>
      </c>
      <c r="E138">
        <f>3124.93</f>
        <v>3124.93</v>
      </c>
      <c r="F138">
        <f>220.57</f>
        <v>220.57</v>
      </c>
      <c r="G138">
        <f>286.417</f>
        <v>286.41699999999997</v>
      </c>
      <c r="H138">
        <f>251.27</f>
        <v>251.27</v>
      </c>
      <c r="I138">
        <f>508.46</f>
        <v>508.46</v>
      </c>
      <c r="J138">
        <f>4587.18</f>
        <v>4587.18</v>
      </c>
    </row>
    <row r="139" spans="1:10" x14ac:dyDescent="0.25">
      <c r="A139" s="1">
        <v>44600</v>
      </c>
      <c r="B139">
        <f>220.12</f>
        <v>220.12</v>
      </c>
      <c r="C139">
        <f>156.5945</f>
        <v>156.59450000000001</v>
      </c>
      <c r="D139">
        <f>91.01</f>
        <v>91.01</v>
      </c>
      <c r="E139">
        <f>3077.13</f>
        <v>3077.13</v>
      </c>
      <c r="F139">
        <f>218.48</f>
        <v>218.48</v>
      </c>
      <c r="G139">
        <f>285.9104</f>
        <v>285.91039999999998</v>
      </c>
      <c r="H139">
        <f>246.03</f>
        <v>246.03</v>
      </c>
      <c r="I139">
        <f>502.65</f>
        <v>502.65</v>
      </c>
      <c r="J139">
        <f>4521.54</f>
        <v>4521.54</v>
      </c>
    </row>
    <row r="140" spans="1:10" x14ac:dyDescent="0.25">
      <c r="A140" s="1">
        <v>44599</v>
      </c>
      <c r="B140">
        <f>223.47</f>
        <v>223.47</v>
      </c>
      <c r="C140">
        <f>154.9438</f>
        <v>154.94380000000001</v>
      </c>
      <c r="D140">
        <f>88.61</f>
        <v>88.61</v>
      </c>
      <c r="E140">
        <f>3059.44</f>
        <v>3059.44</v>
      </c>
      <c r="F140">
        <f>222.92</f>
        <v>222.92</v>
      </c>
      <c r="G140">
        <f>285.6337</f>
        <v>285.63369999999998</v>
      </c>
      <c r="H140">
        <f>247.71</f>
        <v>247.71</v>
      </c>
      <c r="I140">
        <f>496.59</f>
        <v>496.59</v>
      </c>
      <c r="J140">
        <f>4483.87</f>
        <v>4483.87</v>
      </c>
    </row>
    <row r="141" spans="1:10" x14ac:dyDescent="0.25">
      <c r="A141" s="1">
        <v>44596</v>
      </c>
      <c r="B141">
        <f>221.3</f>
        <v>221.3</v>
      </c>
      <c r="C141">
        <f>153.827</f>
        <v>153.827</v>
      </c>
      <c r="D141">
        <f>86.5</f>
        <v>86.5</v>
      </c>
      <c r="E141">
        <f>3061.46</f>
        <v>3061.46</v>
      </c>
      <c r="F141">
        <f>220.76</f>
        <v>220.76</v>
      </c>
      <c r="G141">
        <f>285.0748</f>
        <v>285.07479999999998</v>
      </c>
      <c r="H141">
        <f>248.13</f>
        <v>248.13</v>
      </c>
      <c r="I141">
        <f>489.82</f>
        <v>489.82</v>
      </c>
      <c r="J141">
        <f>4500.53</f>
        <v>4500.53</v>
      </c>
    </row>
    <row r="142" spans="1:10" x14ac:dyDescent="0.25">
      <c r="A142" s="1">
        <v>44595</v>
      </c>
      <c r="B142">
        <f>218.24</f>
        <v>218.24</v>
      </c>
      <c r="C142">
        <f>152.8037</f>
        <v>152.80369999999999</v>
      </c>
      <c r="D142">
        <f>85.35</f>
        <v>85.35</v>
      </c>
      <c r="E142">
        <f>3052.5</f>
        <v>3052.5</v>
      </c>
      <c r="F142">
        <f>217.26</f>
        <v>217.26</v>
      </c>
      <c r="G142">
        <f>288.0804</f>
        <v>288.0804</v>
      </c>
      <c r="H142">
        <f>250.87</f>
        <v>250.87</v>
      </c>
      <c r="I142">
        <f>491.35</f>
        <v>491.35</v>
      </c>
      <c r="J142">
        <f>4477.44</f>
        <v>4477.4399999999996</v>
      </c>
    </row>
    <row r="143" spans="1:10" x14ac:dyDescent="0.25">
      <c r="A143" s="1">
        <v>44594</v>
      </c>
      <c r="B143">
        <f>219.42</f>
        <v>219.42</v>
      </c>
      <c r="C143">
        <f>153.6933</f>
        <v>153.69329999999999</v>
      </c>
      <c r="D143">
        <f>85.76</f>
        <v>85.76</v>
      </c>
      <c r="E143">
        <f>3113.84</f>
        <v>3113.84</v>
      </c>
      <c r="F143">
        <f>218.21</f>
        <v>218.21</v>
      </c>
      <c r="G143">
        <f>288.7797</f>
        <v>288.77969999999999</v>
      </c>
      <c r="H143">
        <f>252.59</f>
        <v>252.59</v>
      </c>
      <c r="I143">
        <f>492.27</f>
        <v>492.27</v>
      </c>
      <c r="J143">
        <f>4589.38</f>
        <v>4589.38</v>
      </c>
    </row>
    <row r="144" spans="1:10" x14ac:dyDescent="0.25">
      <c r="A144" s="1">
        <v>44593</v>
      </c>
      <c r="B144">
        <f>218.95</f>
        <v>218.95</v>
      </c>
      <c r="C144">
        <f>152.4438</f>
        <v>152.44380000000001</v>
      </c>
      <c r="D144">
        <f>85.13</f>
        <v>85.13</v>
      </c>
      <c r="E144">
        <f>3086.62</f>
        <v>3086.62</v>
      </c>
      <c r="F144">
        <f>217.49</f>
        <v>217.49</v>
      </c>
      <c r="G144">
        <f>285.1432</f>
        <v>285.14319999999998</v>
      </c>
      <c r="H144">
        <f>249.21</f>
        <v>249.21</v>
      </c>
      <c r="I144">
        <f>490.96</f>
        <v>490.96</v>
      </c>
      <c r="J144">
        <f>4546.54</f>
        <v>4546.54</v>
      </c>
    </row>
    <row r="145" spans="1:10" x14ac:dyDescent="0.25">
      <c r="A145" s="1">
        <v>44592</v>
      </c>
      <c r="B145">
        <f>213.39</f>
        <v>213.39</v>
      </c>
      <c r="C145">
        <f>150.1524</f>
        <v>150.1524</v>
      </c>
      <c r="D145">
        <f>84</f>
        <v>84</v>
      </c>
      <c r="E145">
        <f>3059.05</f>
        <v>3059.05</v>
      </c>
      <c r="F145">
        <f>210.94</f>
        <v>210.94</v>
      </c>
      <c r="G145">
        <f>284.1523</f>
        <v>284.15230000000003</v>
      </c>
      <c r="H145">
        <f>250.37</f>
        <v>250.37</v>
      </c>
      <c r="I145">
        <f>483.62</f>
        <v>483.62</v>
      </c>
      <c r="J145">
        <f>4515.55</f>
        <v>4515.55</v>
      </c>
    </row>
    <row r="146" spans="1:10" x14ac:dyDescent="0.25">
      <c r="A146" s="1">
        <v>44589</v>
      </c>
      <c r="B146">
        <f>212.43</f>
        <v>212.43</v>
      </c>
      <c r="C146">
        <f>148.8425</f>
        <v>148.8425</v>
      </c>
      <c r="D146">
        <f>82.44</f>
        <v>82.44</v>
      </c>
      <c r="E146">
        <f>3005.63</f>
        <v>3005.63</v>
      </c>
      <c r="F146">
        <f>210.17</f>
        <v>210.17</v>
      </c>
      <c r="G146">
        <f>282.6682</f>
        <v>282.66820000000001</v>
      </c>
      <c r="H146">
        <f>247.5</f>
        <v>247.5</v>
      </c>
      <c r="I146">
        <f>481.2</f>
        <v>481.2</v>
      </c>
      <c r="J146">
        <f>4431.85</f>
        <v>4431.8500000000004</v>
      </c>
    </row>
    <row r="147" spans="1:10" x14ac:dyDescent="0.25">
      <c r="A147" s="1">
        <v>44588</v>
      </c>
      <c r="B147">
        <f>213.62</f>
        <v>213.62</v>
      </c>
      <c r="C147">
        <f>148.101</f>
        <v>148.101</v>
      </c>
      <c r="D147">
        <f>81.94</f>
        <v>81.94</v>
      </c>
      <c r="E147">
        <f>2955.34</f>
        <v>2955.34</v>
      </c>
      <c r="F147">
        <f>211.53</f>
        <v>211.53</v>
      </c>
      <c r="G147">
        <f>281.222</f>
        <v>281.22199999999998</v>
      </c>
      <c r="H147">
        <f>241.67</f>
        <v>241.67</v>
      </c>
      <c r="I147">
        <f>480.25</f>
        <v>480.25</v>
      </c>
      <c r="J147">
        <f>4326.51</f>
        <v>4326.51</v>
      </c>
    </row>
    <row r="148" spans="1:10" x14ac:dyDescent="0.25">
      <c r="A148" s="1">
        <v>44587</v>
      </c>
      <c r="B148">
        <f>212.01</f>
        <v>212.01</v>
      </c>
      <c r="C148">
        <f>149.2204</f>
        <v>149.22040000000001</v>
      </c>
      <c r="D148">
        <f>83.79</f>
        <v>83.79</v>
      </c>
      <c r="E148">
        <f>2979.7</f>
        <v>2979.7</v>
      </c>
      <c r="F148">
        <f>210.07</f>
        <v>210.07</v>
      </c>
      <c r="G148">
        <f>281.1984</f>
        <v>281.19839999999999</v>
      </c>
      <c r="H148">
        <f>245.49</f>
        <v>245.49</v>
      </c>
      <c r="I148">
        <f>489.02</f>
        <v>489.02</v>
      </c>
      <c r="J148">
        <f>4349.93</f>
        <v>4349.93</v>
      </c>
    </row>
    <row r="149" spans="1:10" x14ac:dyDescent="0.25">
      <c r="A149" s="1">
        <v>44586</v>
      </c>
      <c r="B149">
        <f>209.69</f>
        <v>209.69</v>
      </c>
      <c r="C149">
        <f>148.1965</f>
        <v>148.19649999999999</v>
      </c>
      <c r="D149">
        <f>83.08</f>
        <v>83.08</v>
      </c>
      <c r="E149">
        <f>2975.48</f>
        <v>2975.48</v>
      </c>
      <c r="F149">
        <f>207.8</f>
        <v>207.8</v>
      </c>
      <c r="G149">
        <f>282.7065</f>
        <v>282.70650000000001</v>
      </c>
      <c r="H149">
        <f>247.67</f>
        <v>247.67</v>
      </c>
      <c r="I149">
        <f>489.6</f>
        <v>489.6</v>
      </c>
      <c r="J149">
        <f>4356.45</f>
        <v>4356.45</v>
      </c>
    </row>
    <row r="150" spans="1:10" x14ac:dyDescent="0.25">
      <c r="A150" s="1">
        <v>44585</v>
      </c>
      <c r="B150">
        <f>204</f>
        <v>204</v>
      </c>
      <c r="C150">
        <f>147.6753</f>
        <v>147.67529999999999</v>
      </c>
      <c r="D150">
        <f>83.47</f>
        <v>83.47</v>
      </c>
      <c r="E150">
        <f>3005.52</f>
        <v>3005.52</v>
      </c>
      <c r="F150">
        <f>201.45</f>
        <v>201.45</v>
      </c>
      <c r="G150">
        <f>284.6486</f>
        <v>284.64859999999999</v>
      </c>
      <c r="H150">
        <f>248.94</f>
        <v>248.94</v>
      </c>
      <c r="I150">
        <f>485.3</f>
        <v>485.3</v>
      </c>
      <c r="J150">
        <f>4410.13</f>
        <v>4410.13</v>
      </c>
    </row>
    <row r="151" spans="1:10" x14ac:dyDescent="0.25">
      <c r="A151" s="1">
        <v>44582</v>
      </c>
      <c r="B151">
        <f>207.26</f>
        <v>207.26</v>
      </c>
      <c r="C151">
        <f>149.3057</f>
        <v>149.3057</v>
      </c>
      <c r="D151">
        <f>84.83</f>
        <v>84.83</v>
      </c>
      <c r="E151">
        <f>3025.1</f>
        <v>3025.1</v>
      </c>
      <c r="F151">
        <f>203.95</f>
        <v>203.95</v>
      </c>
      <c r="G151">
        <f>286.6624</f>
        <v>286.66239999999999</v>
      </c>
      <c r="H151">
        <f>248.96</f>
        <v>248.96</v>
      </c>
      <c r="I151">
        <f>489.29</f>
        <v>489.29</v>
      </c>
      <c r="J151">
        <f>4397.94</f>
        <v>4397.9399999999996</v>
      </c>
    </row>
    <row r="152" spans="1:10" x14ac:dyDescent="0.25">
      <c r="A152" s="1">
        <v>44581</v>
      </c>
      <c r="B152">
        <f>211.61</f>
        <v>211.61</v>
      </c>
      <c r="C152">
        <f>152.1045</f>
        <v>152.1045</v>
      </c>
      <c r="D152">
        <f>85.45</f>
        <v>85.45</v>
      </c>
      <c r="E152">
        <f>3082.25</f>
        <v>3082.25</v>
      </c>
      <c r="F152">
        <f>208.8</f>
        <v>208.8</v>
      </c>
      <c r="G152">
        <f>287.0453</f>
        <v>287.0453</v>
      </c>
      <c r="H152">
        <f>249.32</f>
        <v>249.32</v>
      </c>
      <c r="I152">
        <f>498.15</f>
        <v>498.15</v>
      </c>
      <c r="J152">
        <f>4482.73</f>
        <v>4482.7299999999996</v>
      </c>
    </row>
    <row r="153" spans="1:10" x14ac:dyDescent="0.25">
      <c r="A153" s="1">
        <v>44580</v>
      </c>
      <c r="B153">
        <f>212.94</f>
        <v>212.94</v>
      </c>
      <c r="C153">
        <f>152.3561</f>
        <v>152.3561</v>
      </c>
      <c r="D153">
        <f>84.63</f>
        <v>84.63</v>
      </c>
      <c r="E153">
        <f>3098.6</f>
        <v>3098.6</v>
      </c>
      <c r="F153">
        <f>210.52</f>
        <v>210.52</v>
      </c>
      <c r="G153">
        <f>287.5378</f>
        <v>287.5378</v>
      </c>
      <c r="H153">
        <f>251.01</f>
        <v>251.01</v>
      </c>
      <c r="I153">
        <f>501.7</f>
        <v>501.7</v>
      </c>
      <c r="J153">
        <f>4532.76</f>
        <v>4532.76</v>
      </c>
    </row>
    <row r="154" spans="1:10" x14ac:dyDescent="0.25">
      <c r="A154" s="1">
        <v>44579</v>
      </c>
      <c r="B154">
        <f>212.8</f>
        <v>212.8</v>
      </c>
      <c r="C154">
        <f>154.1793</f>
        <v>154.17930000000001</v>
      </c>
      <c r="D154">
        <f>85.89</f>
        <v>85.89</v>
      </c>
      <c r="E154">
        <f>3124.21</f>
        <v>3124.21</v>
      </c>
      <c r="F154">
        <f>211.03</f>
        <v>211.03</v>
      </c>
      <c r="G154">
        <f>286.7902</f>
        <v>286.79020000000003</v>
      </c>
      <c r="H154">
        <f>253.15</f>
        <v>253.15</v>
      </c>
      <c r="I154">
        <f>506.62</f>
        <v>506.62</v>
      </c>
      <c r="J154">
        <f>4577.11</f>
        <v>4577.1099999999997</v>
      </c>
    </row>
    <row r="155" spans="1:10" x14ac:dyDescent="0.25">
      <c r="A155" s="1">
        <v>44578</v>
      </c>
      <c r="B155">
        <f>213</f>
        <v>213</v>
      </c>
      <c r="C155">
        <f>156.9208</f>
        <v>156.92080000000001</v>
      </c>
      <c r="D155">
        <f>86.83</f>
        <v>86.83</v>
      </c>
      <c r="E155">
        <f>3176.19</f>
        <v>3176.19</v>
      </c>
      <c r="F155">
        <f>210.06</f>
        <v>210.06</v>
      </c>
      <c r="G155">
        <f>290.8438</f>
        <v>290.84379999999999</v>
      </c>
      <c r="H155">
        <f>254.7</f>
        <v>254.7</v>
      </c>
      <c r="I155">
        <f>510.35</f>
        <v>510.35</v>
      </c>
      <c r="J155" t="e">
        <f>NA()</f>
        <v>#N/A</v>
      </c>
    </row>
    <row r="156" spans="1:10" x14ac:dyDescent="0.25">
      <c r="A156" s="1">
        <v>44575</v>
      </c>
      <c r="B156">
        <f>212.55</f>
        <v>212.55</v>
      </c>
      <c r="C156">
        <f>156.812</f>
        <v>156.81200000000001</v>
      </c>
      <c r="D156">
        <f>86.76</f>
        <v>86.76</v>
      </c>
      <c r="E156">
        <f>3173.12</f>
        <v>3173.12</v>
      </c>
      <c r="F156">
        <f>209.38</f>
        <v>209.38</v>
      </c>
      <c r="G156">
        <f>290.8803</f>
        <v>290.88029999999998</v>
      </c>
      <c r="H156">
        <f>254.99</f>
        <v>254.99</v>
      </c>
      <c r="I156">
        <f>510.37</f>
        <v>510.37</v>
      </c>
      <c r="J156">
        <f>4662.85</f>
        <v>4662.8500000000004</v>
      </c>
    </row>
    <row r="157" spans="1:10" x14ac:dyDescent="0.25">
      <c r="A157" s="1">
        <v>44574</v>
      </c>
      <c r="B157">
        <f>209.81</f>
        <v>209.81</v>
      </c>
      <c r="C157">
        <f>158.1086</f>
        <v>158.1086</v>
      </c>
      <c r="D157">
        <f>87.22</f>
        <v>87.22</v>
      </c>
      <c r="E157">
        <f>3182.06</f>
        <v>3182.06</v>
      </c>
      <c r="F157">
        <f>206.3</f>
        <v>206.3</v>
      </c>
      <c r="G157">
        <f>291.3009</f>
        <v>291.30090000000001</v>
      </c>
      <c r="H157">
        <f>257.71</f>
        <v>257.70999999999998</v>
      </c>
      <c r="I157">
        <f>506.23</f>
        <v>506.23</v>
      </c>
      <c r="J157">
        <f>4659.03</f>
        <v>4659.03</v>
      </c>
    </row>
    <row r="158" spans="1:10" x14ac:dyDescent="0.25">
      <c r="A158" s="1">
        <v>44573</v>
      </c>
      <c r="B158">
        <f>210.42</f>
        <v>210.42</v>
      </c>
      <c r="C158">
        <f>157.7373</f>
        <v>157.7373</v>
      </c>
      <c r="D158">
        <f>86.43</f>
        <v>86.43</v>
      </c>
      <c r="E158">
        <f>3214.19</f>
        <v>3214.19</v>
      </c>
      <c r="F158">
        <f>206.66</f>
        <v>206.66</v>
      </c>
      <c r="G158">
        <f>290.9254</f>
        <v>290.92540000000002</v>
      </c>
      <c r="H158">
        <f>258.04</f>
        <v>258.04000000000002</v>
      </c>
      <c r="I158">
        <f>501.85</f>
        <v>501.85</v>
      </c>
      <c r="J158">
        <f>4726.35</f>
        <v>4726.3500000000004</v>
      </c>
    </row>
    <row r="159" spans="1:10" x14ac:dyDescent="0.25">
      <c r="A159" s="1">
        <v>44572</v>
      </c>
      <c r="B159">
        <f>207.28</f>
        <v>207.28</v>
      </c>
      <c r="C159">
        <f>156.5962</f>
        <v>156.59620000000001</v>
      </c>
      <c r="D159">
        <f>86.46</f>
        <v>86.46</v>
      </c>
      <c r="E159">
        <f>3193.39</f>
        <v>3193.39</v>
      </c>
      <c r="F159">
        <f>203.74</f>
        <v>203.74</v>
      </c>
      <c r="G159">
        <f>289.8988</f>
        <v>289.89879999999999</v>
      </c>
      <c r="H159">
        <f>256.64</f>
        <v>256.64</v>
      </c>
      <c r="I159">
        <f>501.09</f>
        <v>501.09</v>
      </c>
      <c r="J159">
        <f>4713.07</f>
        <v>4713.07</v>
      </c>
    </row>
    <row r="160" spans="1:10" x14ac:dyDescent="0.25">
      <c r="A160" s="1">
        <v>44571</v>
      </c>
      <c r="B160">
        <f>202.38</f>
        <v>202.38</v>
      </c>
      <c r="C160">
        <f>155.2184</f>
        <v>155.2184</v>
      </c>
      <c r="D160">
        <f>85.65</f>
        <v>85.65</v>
      </c>
      <c r="E160">
        <f>3166.14</f>
        <v>3166.14</v>
      </c>
      <c r="F160">
        <f>198.63</f>
        <v>198.63</v>
      </c>
      <c r="G160">
        <f>290.2225</f>
        <v>290.22250000000003</v>
      </c>
      <c r="H160">
        <f>256.9</f>
        <v>256.89999999999998</v>
      </c>
      <c r="I160">
        <f>497.52</f>
        <v>497.52</v>
      </c>
      <c r="J160">
        <f>4670.29</f>
        <v>4670.29</v>
      </c>
    </row>
    <row r="161" spans="1:10" x14ac:dyDescent="0.25">
      <c r="A161" s="1">
        <v>44568</v>
      </c>
      <c r="B161">
        <f>202.62</f>
        <v>202.62</v>
      </c>
      <c r="C161">
        <f>155.6103</f>
        <v>155.6103</v>
      </c>
      <c r="D161">
        <f>85.48</f>
        <v>85.48</v>
      </c>
      <c r="E161">
        <f>3177.54</f>
        <v>3177.54</v>
      </c>
      <c r="F161">
        <f>198.93</f>
        <v>198.93</v>
      </c>
      <c r="G161">
        <f>292.2671</f>
        <v>292.26710000000003</v>
      </c>
      <c r="H161">
        <f>258.24</f>
        <v>258.24</v>
      </c>
      <c r="I161">
        <f>499.61</f>
        <v>499.61</v>
      </c>
      <c r="J161">
        <f>4677.03</f>
        <v>4677.03</v>
      </c>
    </row>
    <row r="162" spans="1:10" x14ac:dyDescent="0.25">
      <c r="A162" s="1">
        <v>44567</v>
      </c>
      <c r="B162">
        <f>199.72</f>
        <v>199.72</v>
      </c>
      <c r="C162">
        <f>153.7953</f>
        <v>153.7953</v>
      </c>
      <c r="D162">
        <f>84.12</f>
        <v>84.12</v>
      </c>
      <c r="E162">
        <f>3184.62</f>
        <v>3184.62</v>
      </c>
      <c r="F162">
        <f>196.14</f>
        <v>196.14</v>
      </c>
      <c r="G162">
        <f>292.5603</f>
        <v>292.56029999999998</v>
      </c>
      <c r="H162">
        <f>259.44</f>
        <v>259.44</v>
      </c>
      <c r="I162">
        <f>495.53</f>
        <v>495.53</v>
      </c>
      <c r="J162">
        <f>4696.05</f>
        <v>4696.05</v>
      </c>
    </row>
    <row r="163" spans="1:10" x14ac:dyDescent="0.25">
      <c r="A163" s="1">
        <v>44566</v>
      </c>
      <c r="B163">
        <f>198.1</f>
        <v>198.1</v>
      </c>
      <c r="C163">
        <f>152.7216</f>
        <v>152.7216</v>
      </c>
      <c r="D163">
        <f>85.21</f>
        <v>85.21</v>
      </c>
      <c r="E163">
        <f>3203.03</f>
        <v>3203.03</v>
      </c>
      <c r="F163">
        <f>193.69</f>
        <v>193.69</v>
      </c>
      <c r="G163">
        <f>294.6663</f>
        <v>294.66629999999998</v>
      </c>
      <c r="H163">
        <f>260.94</f>
        <v>260.94</v>
      </c>
      <c r="I163">
        <f>495.27</f>
        <v>495.27</v>
      </c>
      <c r="J163">
        <f>4700.58</f>
        <v>4700.58</v>
      </c>
    </row>
    <row r="164" spans="1:10" x14ac:dyDescent="0.25">
      <c r="A164" s="1">
        <v>44565</v>
      </c>
      <c r="B164">
        <f>197.4</f>
        <v>197.4</v>
      </c>
      <c r="C164">
        <f>153.7997</f>
        <v>153.7997</v>
      </c>
      <c r="D164">
        <f>85.66</f>
        <v>85.66</v>
      </c>
      <c r="E164">
        <f>3248.12</f>
        <v>3248.12</v>
      </c>
      <c r="F164">
        <f>192.54</f>
        <v>192.54</v>
      </c>
      <c r="G164">
        <f>295.5115</f>
        <v>295.51150000000001</v>
      </c>
      <c r="H164">
        <f>267.1</f>
        <v>267.10000000000002</v>
      </c>
      <c r="I164">
        <f>497.23</f>
        <v>497.23</v>
      </c>
      <c r="J164">
        <f>4793.54</f>
        <v>4793.54</v>
      </c>
    </row>
    <row r="165" spans="1:10" x14ac:dyDescent="0.25">
      <c r="A165" s="1">
        <v>44564</v>
      </c>
      <c r="B165">
        <f>191.75</f>
        <v>191.75</v>
      </c>
      <c r="C165">
        <f>150.1305</f>
        <v>150.13050000000001</v>
      </c>
      <c r="D165">
        <f>84.25</f>
        <v>84.25</v>
      </c>
      <c r="E165">
        <f>3241.43</f>
        <v>3241.43</v>
      </c>
      <c r="F165">
        <f>186.22</f>
        <v>186.22</v>
      </c>
      <c r="G165">
        <f>293.2565</f>
        <v>293.25650000000002</v>
      </c>
      <c r="H165">
        <f>267.29</f>
        <v>267.29000000000002</v>
      </c>
      <c r="I165">
        <f>485.56</f>
        <v>485.56</v>
      </c>
      <c r="J165">
        <f>4796.56</f>
        <v>4796.5600000000004</v>
      </c>
    </row>
    <row r="166" spans="1:10" x14ac:dyDescent="0.25">
      <c r="A166" s="1">
        <v>44561</v>
      </c>
      <c r="B166">
        <f>189.02</f>
        <v>189.02</v>
      </c>
      <c r="C166">
        <f>149.3949</f>
        <v>149.39490000000001</v>
      </c>
      <c r="D166">
        <f>83.05</f>
        <v>83.05</v>
      </c>
      <c r="E166">
        <f>3231.73</f>
        <v>3231.73</v>
      </c>
      <c r="F166">
        <f>183.8</f>
        <v>183.8</v>
      </c>
      <c r="G166">
        <f>293.248</f>
        <v>293.24799999999999</v>
      </c>
      <c r="H166">
        <f>269.46</f>
        <v>269.45999999999998</v>
      </c>
      <c r="I166">
        <f>481.17</f>
        <v>481.17</v>
      </c>
      <c r="J166">
        <f>4766.18</f>
        <v>4766.18</v>
      </c>
    </row>
    <row r="167" spans="1:10" x14ac:dyDescent="0.25">
      <c r="A167" s="1">
        <v>44560</v>
      </c>
      <c r="B167">
        <f>188.39</f>
        <v>188.39</v>
      </c>
      <c r="C167">
        <f>149.4079</f>
        <v>149.40790000000001</v>
      </c>
      <c r="D167">
        <f>82.73</f>
        <v>82.73</v>
      </c>
      <c r="E167">
        <f>3237.07</f>
        <v>3237.07</v>
      </c>
      <c r="F167">
        <f>183.14</f>
        <v>183.14</v>
      </c>
      <c r="G167">
        <f>291.9934</f>
        <v>291.99340000000001</v>
      </c>
      <c r="H167">
        <f>269.15</f>
        <v>269.14999999999998</v>
      </c>
      <c r="I167">
        <f>480.06</f>
        <v>480.06</v>
      </c>
      <c r="J167">
        <f>4778.73</f>
        <v>4778.7299999999996</v>
      </c>
    </row>
    <row r="168" spans="1:10" x14ac:dyDescent="0.25">
      <c r="A168" s="1">
        <v>44559</v>
      </c>
      <c r="B168">
        <f>189.36</f>
        <v>189.36</v>
      </c>
      <c r="C168">
        <f>149.7206</f>
        <v>149.72059999999999</v>
      </c>
      <c r="D168">
        <f>83.14</f>
        <v>83.14</v>
      </c>
      <c r="E168">
        <f>3243.95</f>
        <v>3243.95</v>
      </c>
      <c r="F168">
        <f>184.3</f>
        <v>184.3</v>
      </c>
      <c r="G168">
        <f>293.0508</f>
        <v>293.05079999999998</v>
      </c>
      <c r="H168">
        <f>268.4</f>
        <v>268.39999999999998</v>
      </c>
      <c r="I168">
        <f>480.05</f>
        <v>480.05</v>
      </c>
      <c r="J168">
        <f>4793.06</f>
        <v>4793.0600000000004</v>
      </c>
    </row>
    <row r="169" spans="1:10" x14ac:dyDescent="0.25">
      <c r="A169" s="1">
        <v>44558</v>
      </c>
      <c r="B169">
        <f>189.94</f>
        <v>189.94</v>
      </c>
      <c r="C169">
        <f>149.4672</f>
        <v>149.46719999999999</v>
      </c>
      <c r="D169">
        <f>82.61</f>
        <v>82.61</v>
      </c>
      <c r="E169">
        <f>3239.28</f>
        <v>3239.28</v>
      </c>
      <c r="F169">
        <f>184.8</f>
        <v>184.8</v>
      </c>
      <c r="G169">
        <f>291.6674</f>
        <v>291.66739999999999</v>
      </c>
      <c r="H169">
        <f>266.77</f>
        <v>266.77</v>
      </c>
      <c r="I169">
        <f>481.13</f>
        <v>481.13</v>
      </c>
      <c r="J169">
        <f>4786.35</f>
        <v>4786.3500000000004</v>
      </c>
    </row>
    <row r="170" spans="1:10" x14ac:dyDescent="0.25">
      <c r="A170" s="1">
        <v>44557</v>
      </c>
      <c r="B170">
        <f>189.69</f>
        <v>189.69</v>
      </c>
      <c r="C170">
        <f>149.254</f>
        <v>149.25399999999999</v>
      </c>
      <c r="D170">
        <f>81.92</f>
        <v>81.92</v>
      </c>
      <c r="E170">
        <f>3237.7</f>
        <v>3237.7</v>
      </c>
      <c r="F170">
        <f>184.86</f>
        <v>184.86</v>
      </c>
      <c r="G170">
        <f>289.9022</f>
        <v>289.90219999999999</v>
      </c>
      <c r="H170">
        <f>265.38</f>
        <v>265.38</v>
      </c>
      <c r="I170">
        <f>477.78</f>
        <v>477.78</v>
      </c>
      <c r="J170">
        <f>4791.19</f>
        <v>4791.1899999999996</v>
      </c>
    </row>
    <row r="171" spans="1:10" x14ac:dyDescent="0.25">
      <c r="A171" s="1">
        <v>44554</v>
      </c>
      <c r="B171">
        <f>187.69</f>
        <v>187.69</v>
      </c>
      <c r="C171">
        <f>148.3382</f>
        <v>148.3382</v>
      </c>
      <c r="D171">
        <f>82.09</f>
        <v>82.09</v>
      </c>
      <c r="E171">
        <f>3206.85</f>
        <v>3206.85</v>
      </c>
      <c r="F171">
        <f>182.64</f>
        <v>182.64</v>
      </c>
      <c r="G171">
        <f>288.2809</f>
        <v>288.28089999999997</v>
      </c>
      <c r="H171">
        <f>261.86</f>
        <v>261.86</v>
      </c>
      <c r="I171">
        <f>475.77</f>
        <v>475.77</v>
      </c>
      <c r="J171" t="e">
        <f>NA()</f>
        <v>#N/A</v>
      </c>
    </row>
    <row r="172" spans="1:10" x14ac:dyDescent="0.25">
      <c r="A172" s="1">
        <v>44553</v>
      </c>
      <c r="B172">
        <f>187.61</f>
        <v>187.61</v>
      </c>
      <c r="C172">
        <f>148.2672</f>
        <v>148.2672</v>
      </c>
      <c r="D172">
        <f>81.88</f>
        <v>81.88</v>
      </c>
      <c r="E172">
        <f>3206.08</f>
        <v>3206.08</v>
      </c>
      <c r="F172">
        <f>182.58</f>
        <v>182.58</v>
      </c>
      <c r="G172">
        <f>288.2519</f>
        <v>288.25189999999998</v>
      </c>
      <c r="H172">
        <f>261.62</f>
        <v>261.62</v>
      </c>
      <c r="I172">
        <f>475.64</f>
        <v>475.64</v>
      </c>
      <c r="J172">
        <f>4725.79</f>
        <v>4725.79</v>
      </c>
    </row>
    <row r="173" spans="1:10" x14ac:dyDescent="0.25">
      <c r="A173" s="1">
        <v>44552</v>
      </c>
      <c r="B173">
        <f>186.83</f>
        <v>186.83</v>
      </c>
      <c r="C173">
        <f>146.9677</f>
        <v>146.96770000000001</v>
      </c>
      <c r="D173">
        <f>80.91</f>
        <v>80.91</v>
      </c>
      <c r="E173">
        <f>3183.62</f>
        <v>3183.62</v>
      </c>
      <c r="F173">
        <f>181.79</f>
        <v>181.79</v>
      </c>
      <c r="G173">
        <f>287.5514</f>
        <v>287.5514</v>
      </c>
      <c r="H173">
        <f>261.8</f>
        <v>261.8</v>
      </c>
      <c r="I173">
        <f>470.5</f>
        <v>470.5</v>
      </c>
      <c r="J173">
        <f>4696.56</f>
        <v>4696.5600000000004</v>
      </c>
    </row>
    <row r="174" spans="1:10" x14ac:dyDescent="0.25">
      <c r="A174" s="1">
        <v>44551</v>
      </c>
      <c r="B174">
        <f>185.22</f>
        <v>185.22</v>
      </c>
      <c r="C174">
        <f>145.8291</f>
        <v>145.82910000000001</v>
      </c>
      <c r="D174">
        <f>79.98</f>
        <v>79.98</v>
      </c>
      <c r="E174">
        <f>3152.31</f>
        <v>3152.31</v>
      </c>
      <c r="F174">
        <f>180.42</f>
        <v>180.42</v>
      </c>
      <c r="G174">
        <f>285.9244</f>
        <v>285.92439999999999</v>
      </c>
      <c r="H174">
        <f>259.85</f>
        <v>259.85000000000002</v>
      </c>
      <c r="I174">
        <f>464.86</f>
        <v>464.86</v>
      </c>
      <c r="J174">
        <f>4649.23</f>
        <v>4649.2299999999996</v>
      </c>
    </row>
    <row r="175" spans="1:10" x14ac:dyDescent="0.25">
      <c r="A175" s="1">
        <v>44550</v>
      </c>
      <c r="B175">
        <f>180.75</f>
        <v>180.75</v>
      </c>
      <c r="C175">
        <f>143.3298</f>
        <v>143.32980000000001</v>
      </c>
      <c r="D175">
        <f>77.75</f>
        <v>77.75</v>
      </c>
      <c r="E175">
        <f>3100.5</f>
        <v>3100.5</v>
      </c>
      <c r="F175">
        <f>175.61</f>
        <v>175.61</v>
      </c>
      <c r="G175">
        <f>285.7541</f>
        <v>285.75409999999999</v>
      </c>
      <c r="H175">
        <f>258.13</f>
        <v>258.13</v>
      </c>
      <c r="I175">
        <f>450.05</f>
        <v>450.05</v>
      </c>
      <c r="J175">
        <f>4568.02</f>
        <v>4568.0200000000004</v>
      </c>
    </row>
    <row r="176" spans="1:10" x14ac:dyDescent="0.25">
      <c r="A176" s="1">
        <v>44547</v>
      </c>
      <c r="B176">
        <f>183.53</f>
        <v>183.53</v>
      </c>
      <c r="C176">
        <f>146.0482</f>
        <v>146.04820000000001</v>
      </c>
      <c r="D176">
        <f>79.05</f>
        <v>79.05</v>
      </c>
      <c r="E176">
        <f>3139.75</f>
        <v>3139.75</v>
      </c>
      <c r="F176">
        <f>177.94</f>
        <v>177.94</v>
      </c>
      <c r="G176">
        <f>286.3198</f>
        <v>286.31979999999999</v>
      </c>
      <c r="H176">
        <f>260.64</f>
        <v>260.64</v>
      </c>
      <c r="I176">
        <f>458.68</f>
        <v>458.68</v>
      </c>
      <c r="J176">
        <f>4620.64</f>
        <v>4620.6400000000003</v>
      </c>
    </row>
    <row r="177" spans="1:10" x14ac:dyDescent="0.25">
      <c r="A177" s="1">
        <v>44546</v>
      </c>
      <c r="B177">
        <f>187.12</f>
        <v>187.12</v>
      </c>
      <c r="C177">
        <f>148.3893</f>
        <v>148.38929999999999</v>
      </c>
      <c r="D177">
        <f>78.85</f>
        <v>78.849999999999994</v>
      </c>
      <c r="E177">
        <f>3167.33</f>
        <v>3167.33</v>
      </c>
      <c r="F177">
        <f>181.53</f>
        <v>181.53</v>
      </c>
      <c r="G177">
        <f>289.0854</f>
        <v>289.08539999999999</v>
      </c>
      <c r="H177">
        <f>260.89</f>
        <v>260.89</v>
      </c>
      <c r="I177">
        <f>458.69</f>
        <v>458.69</v>
      </c>
      <c r="J177">
        <f>4668.67</f>
        <v>4668.67</v>
      </c>
    </row>
    <row r="178" spans="1:10" x14ac:dyDescent="0.25">
      <c r="A178" s="1">
        <v>44545</v>
      </c>
      <c r="B178">
        <f>184.05</f>
        <v>184.05</v>
      </c>
      <c r="C178">
        <f>146.5391</f>
        <v>146.53909999999999</v>
      </c>
      <c r="D178">
        <f>78.98</f>
        <v>78.98</v>
      </c>
      <c r="E178">
        <f>3175.11</f>
        <v>3175.11</v>
      </c>
      <c r="F178">
        <f>178.95</f>
        <v>178.95</v>
      </c>
      <c r="G178">
        <f>286.4217</f>
        <v>286.42169999999999</v>
      </c>
      <c r="H178">
        <f>260.08</f>
        <v>260.08</v>
      </c>
      <c r="I178">
        <f>459.67</f>
        <v>459.67</v>
      </c>
      <c r="J178">
        <f>4709.85</f>
        <v>4709.8500000000004</v>
      </c>
    </row>
    <row r="179" spans="1:10" x14ac:dyDescent="0.25">
      <c r="A179" s="1">
        <v>44544</v>
      </c>
      <c r="B179">
        <f>185.37</f>
        <v>185.37</v>
      </c>
      <c r="C179">
        <f>146.2883</f>
        <v>146.28829999999999</v>
      </c>
      <c r="D179">
        <f>79.32</f>
        <v>79.319999999999993</v>
      </c>
      <c r="E179">
        <f>3138.06</f>
        <v>3138.06</v>
      </c>
      <c r="F179">
        <f>180.3</f>
        <v>180.3</v>
      </c>
      <c r="G179">
        <f>284.7684</f>
        <v>284.76839999999999</v>
      </c>
      <c r="H179">
        <f>257.54</f>
        <v>257.54000000000002</v>
      </c>
      <c r="I179">
        <f>461.25</f>
        <v>461.25</v>
      </c>
      <c r="J179">
        <f>4634.09</f>
        <v>4634.09</v>
      </c>
    </row>
    <row r="180" spans="1:10" x14ac:dyDescent="0.25">
      <c r="A180" s="1">
        <v>44543</v>
      </c>
      <c r="B180">
        <f>185.89</f>
        <v>185.89</v>
      </c>
      <c r="C180">
        <f>145.9081</f>
        <v>145.90809999999999</v>
      </c>
      <c r="D180">
        <f>80.29</f>
        <v>80.290000000000006</v>
      </c>
      <c r="E180">
        <f>3162</f>
        <v>3162</v>
      </c>
      <c r="F180">
        <f>180.73</f>
        <v>180.73</v>
      </c>
      <c r="G180">
        <f>285.3546</f>
        <v>285.3546</v>
      </c>
      <c r="H180">
        <f>260.45</f>
        <v>260.45</v>
      </c>
      <c r="I180">
        <f>464.16</f>
        <v>464.16</v>
      </c>
      <c r="J180">
        <f>4668.97</f>
        <v>4668.97</v>
      </c>
    </row>
    <row r="181" spans="1:10" x14ac:dyDescent="0.25">
      <c r="A181" s="1">
        <v>44540</v>
      </c>
      <c r="B181">
        <f>190.17</f>
        <v>190.17</v>
      </c>
      <c r="C181">
        <f>147.5654</f>
        <v>147.56540000000001</v>
      </c>
      <c r="D181">
        <f>81.9</f>
        <v>81.900000000000006</v>
      </c>
      <c r="E181">
        <f>3188.26</f>
        <v>3188.26</v>
      </c>
      <c r="F181">
        <f>184.9</f>
        <v>184.9</v>
      </c>
      <c r="G181">
        <f>283.8851</f>
        <v>283.88510000000002</v>
      </c>
      <c r="H181">
        <f>258.63</f>
        <v>258.63</v>
      </c>
      <c r="I181">
        <f>471.78</f>
        <v>471.78</v>
      </c>
      <c r="J181">
        <f>4712.02</f>
        <v>4712.0200000000004</v>
      </c>
    </row>
    <row r="182" spans="1:10" x14ac:dyDescent="0.25">
      <c r="A182" s="1">
        <v>44539</v>
      </c>
      <c r="B182">
        <f>189.72</f>
        <v>189.72</v>
      </c>
      <c r="C182">
        <f>147.6442</f>
        <v>147.64420000000001</v>
      </c>
      <c r="D182">
        <f>83.23</f>
        <v>83.23</v>
      </c>
      <c r="E182">
        <f>3172.49</f>
        <v>3172.49</v>
      </c>
      <c r="F182">
        <f>184.31</f>
        <v>184.31</v>
      </c>
      <c r="G182">
        <f>280.2732</f>
        <v>280.27319999999997</v>
      </c>
      <c r="H182">
        <f>258.06</f>
        <v>258.06</v>
      </c>
      <c r="I182">
        <f>472.27</f>
        <v>472.27</v>
      </c>
      <c r="J182">
        <f>4667.45</f>
        <v>4667.45</v>
      </c>
    </row>
    <row r="183" spans="1:10" x14ac:dyDescent="0.25">
      <c r="A183" s="1">
        <v>44538</v>
      </c>
      <c r="B183">
        <f>191.56</f>
        <v>191.56</v>
      </c>
      <c r="C183">
        <f>148.3376</f>
        <v>148.33760000000001</v>
      </c>
      <c r="D183">
        <f>83.67</f>
        <v>83.67</v>
      </c>
      <c r="E183">
        <f>3196.39</f>
        <v>3196.39</v>
      </c>
      <c r="F183">
        <f>186.71</f>
        <v>186.71</v>
      </c>
      <c r="G183">
        <f>280.0311</f>
        <v>280.03109999999998</v>
      </c>
      <c r="H183">
        <f>260.47</f>
        <v>260.47000000000003</v>
      </c>
      <c r="I183">
        <f>475.52</f>
        <v>475.52</v>
      </c>
      <c r="J183">
        <f>4701.21</f>
        <v>4701.21</v>
      </c>
    </row>
    <row r="184" spans="1:10" x14ac:dyDescent="0.25">
      <c r="A184" s="1">
        <v>44537</v>
      </c>
      <c r="B184">
        <f>191.65</f>
        <v>191.65</v>
      </c>
      <c r="C184">
        <f>148.5921</f>
        <v>148.59209999999999</v>
      </c>
      <c r="D184">
        <f>83.03</f>
        <v>83.03</v>
      </c>
      <c r="E184">
        <f>3184.17</f>
        <v>3184.17</v>
      </c>
      <c r="F184">
        <f>186.88</f>
        <v>186.88</v>
      </c>
      <c r="G184">
        <f>280.4073</f>
        <v>280.40730000000002</v>
      </c>
      <c r="H184">
        <f>259.44</f>
        <v>259.44</v>
      </c>
      <c r="I184">
        <f>470.45</f>
        <v>470.45</v>
      </c>
      <c r="J184">
        <f>4686.75</f>
        <v>4686.75</v>
      </c>
    </row>
    <row r="185" spans="1:10" x14ac:dyDescent="0.25">
      <c r="A185" s="1">
        <v>44536</v>
      </c>
      <c r="B185">
        <f>187.7</f>
        <v>187.7</v>
      </c>
      <c r="C185">
        <f>146.0521</f>
        <v>146.0521</v>
      </c>
      <c r="D185">
        <f>81.38</f>
        <v>81.38</v>
      </c>
      <c r="E185">
        <f>3117.31</f>
        <v>3117.31</v>
      </c>
      <c r="F185">
        <f>182.86</f>
        <v>182.86</v>
      </c>
      <c r="G185">
        <f>278.7051</f>
        <v>278.70510000000002</v>
      </c>
      <c r="H185">
        <f>255.54</f>
        <v>255.54</v>
      </c>
      <c r="I185">
        <f>466.34</f>
        <v>466.34</v>
      </c>
      <c r="J185">
        <f>4591.67</f>
        <v>4591.67</v>
      </c>
    </row>
    <row r="186" spans="1:10" x14ac:dyDescent="0.25">
      <c r="A186" s="1">
        <v>44533</v>
      </c>
      <c r="B186">
        <f>185.69</f>
        <v>185.69</v>
      </c>
      <c r="C186">
        <f>144.4142</f>
        <v>144.41419999999999</v>
      </c>
      <c r="D186">
        <f>79.87</f>
        <v>79.87</v>
      </c>
      <c r="E186">
        <f>3086.44</f>
        <v>3086.44</v>
      </c>
      <c r="F186">
        <f>180.01</f>
        <v>180.01</v>
      </c>
      <c r="G186">
        <f>274.4116</f>
        <v>274.41160000000002</v>
      </c>
      <c r="H186">
        <f>252.68</f>
        <v>252.68</v>
      </c>
      <c r="I186">
        <f>453.45</f>
        <v>453.45</v>
      </c>
      <c r="J186">
        <f>4538.43</f>
        <v>4538.43</v>
      </c>
    </row>
    <row r="187" spans="1:10" x14ac:dyDescent="0.25">
      <c r="A187" s="1">
        <v>44532</v>
      </c>
      <c r="B187">
        <f>186.46</f>
        <v>186.46</v>
      </c>
      <c r="C187">
        <f>145.9408</f>
        <v>145.9408</v>
      </c>
      <c r="D187">
        <f>79.55</f>
        <v>79.55</v>
      </c>
      <c r="E187">
        <f>3111.17</f>
        <v>3111.17</v>
      </c>
      <c r="F187">
        <f>180.66</f>
        <v>180.66</v>
      </c>
      <c r="G187">
        <f>272.2264</f>
        <v>272.22640000000001</v>
      </c>
      <c r="H187">
        <f>253.02</f>
        <v>253.02</v>
      </c>
      <c r="I187">
        <f>456.05</f>
        <v>456.05</v>
      </c>
      <c r="J187">
        <f>4577.1</f>
        <v>4577.1000000000004</v>
      </c>
    </row>
    <row r="188" spans="1:10" x14ac:dyDescent="0.25">
      <c r="A188" s="1">
        <v>44531</v>
      </c>
      <c r="B188">
        <f>183.66</f>
        <v>183.66</v>
      </c>
      <c r="C188">
        <f>143.7211</f>
        <v>143.72110000000001</v>
      </c>
      <c r="D188">
        <f>77.91</f>
        <v>77.91</v>
      </c>
      <c r="E188">
        <f>3087.98</f>
        <v>3087.98</v>
      </c>
      <c r="F188">
        <f>177.61</f>
        <v>177.61</v>
      </c>
      <c r="G188">
        <f>271.1122</f>
        <v>271.11219999999997</v>
      </c>
      <c r="H188">
        <f>248.69</f>
        <v>248.69</v>
      </c>
      <c r="I188">
        <f>445.15</f>
        <v>445.15</v>
      </c>
      <c r="J188">
        <f>4513.04</f>
        <v>4513.04</v>
      </c>
    </row>
    <row r="189" spans="1:10" x14ac:dyDescent="0.25">
      <c r="A189" s="1">
        <v>44530</v>
      </c>
      <c r="B189">
        <f>182.62</f>
        <v>182.62</v>
      </c>
      <c r="C189">
        <f>143.4184</f>
        <v>143.41839999999999</v>
      </c>
      <c r="D189">
        <f>78.58</f>
        <v>78.58</v>
      </c>
      <c r="E189">
        <f>3101.8</f>
        <v>3101.8</v>
      </c>
      <c r="F189">
        <f>177.35</f>
        <v>177.35</v>
      </c>
      <c r="G189">
        <f>270.9206</f>
        <v>270.92059999999998</v>
      </c>
      <c r="H189">
        <f>250.58</f>
        <v>250.58</v>
      </c>
      <c r="I189">
        <f>449.23</f>
        <v>449.23</v>
      </c>
      <c r="J189">
        <f>4567</f>
        <v>4567</v>
      </c>
    </row>
    <row r="190" spans="1:10" x14ac:dyDescent="0.25">
      <c r="A190" s="1">
        <v>44529</v>
      </c>
      <c r="B190">
        <f>186.16</f>
        <v>186.16</v>
      </c>
      <c r="C190">
        <f>146.2764</f>
        <v>146.2764</v>
      </c>
      <c r="D190">
        <f>78.97</f>
        <v>78.97</v>
      </c>
      <c r="E190">
        <f>3155.73</f>
        <v>3155.73</v>
      </c>
      <c r="F190">
        <f>181.21</f>
        <v>181.21</v>
      </c>
      <c r="G190">
        <f>277.4038</f>
        <v>277.40379999999999</v>
      </c>
      <c r="H190">
        <f>255.22</f>
        <v>255.22</v>
      </c>
      <c r="I190">
        <f>457.43</f>
        <v>457.43</v>
      </c>
      <c r="J190">
        <f>4655.27</f>
        <v>4655.2700000000004</v>
      </c>
    </row>
    <row r="191" spans="1:10" x14ac:dyDescent="0.25">
      <c r="A191" s="1">
        <v>44526</v>
      </c>
      <c r="B191">
        <f>184.57</f>
        <v>184.57</v>
      </c>
      <c r="C191">
        <f>146.222</f>
        <v>146.22200000000001</v>
      </c>
      <c r="D191">
        <f>80.36</f>
        <v>80.36</v>
      </c>
      <c r="E191">
        <f>3131.98</f>
        <v>3131.98</v>
      </c>
      <c r="F191">
        <f>179.85</f>
        <v>179.85</v>
      </c>
      <c r="G191">
        <f>277.3187</f>
        <v>277.31869999999998</v>
      </c>
      <c r="H191">
        <f>254.04</f>
        <v>254.04</v>
      </c>
      <c r="I191">
        <f>457.02</f>
        <v>457.02</v>
      </c>
      <c r="J191">
        <f>4594.62</f>
        <v>4594.62</v>
      </c>
    </row>
    <row r="192" spans="1:10" x14ac:dyDescent="0.25">
      <c r="A192" s="1">
        <v>44525</v>
      </c>
      <c r="B192">
        <f>192.9</f>
        <v>192.9</v>
      </c>
      <c r="C192">
        <f>151.2863</f>
        <v>151.28630000000001</v>
      </c>
      <c r="D192">
        <f>85.47</f>
        <v>85.47</v>
      </c>
      <c r="E192">
        <f>3202.44</f>
        <v>3202.44</v>
      </c>
      <c r="F192">
        <f>188.1</f>
        <v>188.1</v>
      </c>
      <c r="G192">
        <f>280.694</f>
        <v>280.69400000000002</v>
      </c>
      <c r="H192">
        <f>260.1</f>
        <v>260.10000000000002</v>
      </c>
      <c r="I192">
        <f>480.75</f>
        <v>480.75</v>
      </c>
      <c r="J192" t="e">
        <f>NA()</f>
        <v>#N/A</v>
      </c>
    </row>
    <row r="193" spans="1:10" x14ac:dyDescent="0.25">
      <c r="A193" s="1">
        <v>44524</v>
      </c>
      <c r="B193">
        <f>192.41</f>
        <v>192.41</v>
      </c>
      <c r="C193">
        <f>151.1063</f>
        <v>151.1063</v>
      </c>
      <c r="D193">
        <f>86.15</f>
        <v>86.15</v>
      </c>
      <c r="E193">
        <f>3198.12</f>
        <v>3198.12</v>
      </c>
      <c r="F193">
        <f>188.04</f>
        <v>188.04</v>
      </c>
      <c r="G193">
        <f>279.9606</f>
        <v>279.9606</v>
      </c>
      <c r="H193">
        <f>259.69</f>
        <v>259.69</v>
      </c>
      <c r="I193">
        <f>480.13</f>
        <v>480.13</v>
      </c>
      <c r="J193">
        <f>4701.46</f>
        <v>4701.46</v>
      </c>
    </row>
    <row r="194" spans="1:10" x14ac:dyDescent="0.25">
      <c r="A194" s="1">
        <v>44523</v>
      </c>
      <c r="B194">
        <f>190.87</f>
        <v>190.87</v>
      </c>
      <c r="C194">
        <f>151.2739</f>
        <v>151.2739</v>
      </c>
      <c r="D194">
        <f>86.53</f>
        <v>86.53</v>
      </c>
      <c r="E194">
        <f>3196.88</f>
        <v>3196.88</v>
      </c>
      <c r="F194">
        <f>186.46</f>
        <v>186.46</v>
      </c>
      <c r="G194">
        <f>281.3427</f>
        <v>281.34269999999998</v>
      </c>
      <c r="H194">
        <f>257.01</f>
        <v>257.01</v>
      </c>
      <c r="I194">
        <f>481.35</f>
        <v>481.35</v>
      </c>
      <c r="J194">
        <f>4690.7</f>
        <v>4690.7</v>
      </c>
    </row>
    <row r="195" spans="1:10" x14ac:dyDescent="0.25">
      <c r="A195" s="1">
        <v>44522</v>
      </c>
      <c r="B195">
        <f>186.98</f>
        <v>186.98</v>
      </c>
      <c r="C195">
        <f>150.1841</f>
        <v>150.1841</v>
      </c>
      <c r="D195">
        <f>86.98</f>
        <v>86.98</v>
      </c>
      <c r="E195">
        <f>3201.49</f>
        <v>3201.49</v>
      </c>
      <c r="F195">
        <f>182.54</f>
        <v>182.54</v>
      </c>
      <c r="G195">
        <f>280.8459</f>
        <v>280.84589999999997</v>
      </c>
      <c r="H195">
        <f>255.4</f>
        <v>255.4</v>
      </c>
      <c r="I195">
        <f>480.21</f>
        <v>480.21</v>
      </c>
      <c r="J195">
        <f>4682.94</f>
        <v>4682.9399999999996</v>
      </c>
    </row>
    <row r="196" spans="1:10" x14ac:dyDescent="0.25">
      <c r="A196" s="1">
        <v>44519</v>
      </c>
      <c r="B196">
        <f>186.43</f>
        <v>186.43</v>
      </c>
      <c r="C196">
        <f>149.2735</f>
        <v>149.27350000000001</v>
      </c>
      <c r="D196">
        <f>87.66</f>
        <v>87.66</v>
      </c>
      <c r="E196">
        <f>3219.9</f>
        <v>3219.9</v>
      </c>
      <c r="F196">
        <f>180.65</f>
        <v>180.65</v>
      </c>
      <c r="G196">
        <f>280.3192</f>
        <v>280.31920000000002</v>
      </c>
      <c r="H196">
        <f>257.09</f>
        <v>257.08999999999997</v>
      </c>
      <c r="I196">
        <f>479.37</f>
        <v>479.37</v>
      </c>
      <c r="J196">
        <f>4697.96</f>
        <v>4697.96</v>
      </c>
    </row>
    <row r="197" spans="1:10" x14ac:dyDescent="0.25">
      <c r="A197" s="1">
        <v>44518</v>
      </c>
      <c r="B197">
        <f>191.81</f>
        <v>191.81</v>
      </c>
      <c r="C197">
        <f>150.815</f>
        <v>150.815</v>
      </c>
      <c r="D197">
        <f>88.39</f>
        <v>88.39</v>
      </c>
      <c r="E197">
        <f>3226.37</f>
        <v>3226.37</v>
      </c>
      <c r="F197">
        <f>186.38</f>
        <v>186.38</v>
      </c>
      <c r="G197">
        <f>280.895</f>
        <v>280.89499999999998</v>
      </c>
      <c r="H197">
        <f>257.91</f>
        <v>257.91000000000003</v>
      </c>
      <c r="I197">
        <f>490.27</f>
        <v>490.27</v>
      </c>
      <c r="J197">
        <f>4704.54</f>
        <v>4704.54</v>
      </c>
    </row>
    <row r="198" spans="1:10" x14ac:dyDescent="0.25">
      <c r="A198" s="1">
        <v>44517</v>
      </c>
      <c r="B198">
        <f>193.58</f>
        <v>193.58</v>
      </c>
      <c r="C198">
        <f>151.5172</f>
        <v>151.5172</v>
      </c>
      <c r="D198">
        <f>89.55</f>
        <v>89.55</v>
      </c>
      <c r="E198">
        <f>3221.03</f>
        <v>3221.03</v>
      </c>
      <c r="F198">
        <f>187.86</f>
        <v>187.86</v>
      </c>
      <c r="G198">
        <f>281.5205</f>
        <v>281.52050000000003</v>
      </c>
      <c r="H198">
        <f>257.6</f>
        <v>257.60000000000002</v>
      </c>
      <c r="I198">
        <f>491.39</f>
        <v>491.39</v>
      </c>
      <c r="J198">
        <f>4688.67</f>
        <v>4688.67</v>
      </c>
    </row>
    <row r="199" spans="1:10" x14ac:dyDescent="0.25">
      <c r="A199" s="1">
        <v>44516</v>
      </c>
      <c r="B199">
        <f>195.43</f>
        <v>195.43</v>
      </c>
      <c r="C199">
        <f>152.9663</f>
        <v>152.96629999999999</v>
      </c>
      <c r="D199">
        <f>90.7</f>
        <v>90.7</v>
      </c>
      <c r="E199">
        <f>3231.95</f>
        <v>3231.95</v>
      </c>
      <c r="F199">
        <f>189.9</f>
        <v>189.9</v>
      </c>
      <c r="G199">
        <f>282.3484</f>
        <v>282.34840000000003</v>
      </c>
      <c r="H199">
        <f>257.36</f>
        <v>257.36</v>
      </c>
      <c r="I199">
        <f>493.47</f>
        <v>493.47</v>
      </c>
      <c r="J199">
        <f>4700.9</f>
        <v>4700.8999999999996</v>
      </c>
    </row>
    <row r="200" spans="1:10" x14ac:dyDescent="0.25">
      <c r="A200" s="1">
        <v>44515</v>
      </c>
      <c r="B200">
        <f>195.51</f>
        <v>195.51</v>
      </c>
      <c r="C200">
        <f>153.4349</f>
        <v>153.4349</v>
      </c>
      <c r="D200">
        <f>91.99</f>
        <v>91.99</v>
      </c>
      <c r="E200">
        <f>3226.45</f>
        <v>3226.45</v>
      </c>
      <c r="F200">
        <f>189.63</f>
        <v>189.63</v>
      </c>
      <c r="G200">
        <f>284.0678</f>
        <v>284.06779999999998</v>
      </c>
      <c r="H200">
        <f>258.5</f>
        <v>258.5</v>
      </c>
      <c r="I200">
        <f>499.4</f>
        <v>499.4</v>
      </c>
      <c r="J200">
        <f>4682.8</f>
        <v>4682.8</v>
      </c>
    </row>
    <row r="201" spans="1:10" x14ac:dyDescent="0.25">
      <c r="A201" s="1">
        <v>44512</v>
      </c>
      <c r="B201">
        <f>194.35</f>
        <v>194.35</v>
      </c>
      <c r="C201">
        <f>153.2389</f>
        <v>153.2389</v>
      </c>
      <c r="D201">
        <f>91.8</f>
        <v>91.8</v>
      </c>
      <c r="E201">
        <f>3223.82</f>
        <v>3223.82</v>
      </c>
      <c r="F201">
        <f>188.12</f>
        <v>188.12</v>
      </c>
      <c r="G201">
        <f>283.0159</f>
        <v>283.01589999999999</v>
      </c>
      <c r="H201">
        <f>257.48</f>
        <v>257.48</v>
      </c>
      <c r="I201">
        <f>493.15</f>
        <v>493.15</v>
      </c>
      <c r="J201">
        <f>4682.85</f>
        <v>4682.8500000000004</v>
      </c>
    </row>
    <row r="202" spans="1:10" x14ac:dyDescent="0.25">
      <c r="A202" s="1">
        <v>44511</v>
      </c>
      <c r="B202">
        <f>195.87</f>
        <v>195.87</v>
      </c>
      <c r="C202">
        <f>152.9429</f>
        <v>152.94290000000001</v>
      </c>
      <c r="D202">
        <f>92.17</f>
        <v>92.17</v>
      </c>
      <c r="E202">
        <f>3201.99</f>
        <v>3201.99</v>
      </c>
      <c r="F202">
        <f>189.48</f>
        <v>189.48</v>
      </c>
      <c r="G202">
        <f>282.4648</f>
        <v>282.46480000000003</v>
      </c>
      <c r="H202">
        <f>257.07</f>
        <v>257.07</v>
      </c>
      <c r="I202">
        <f>493.79</f>
        <v>493.79</v>
      </c>
      <c r="J202">
        <f>4649.27</f>
        <v>4649.2700000000004</v>
      </c>
    </row>
    <row r="203" spans="1:10" x14ac:dyDescent="0.25">
      <c r="A203" s="1">
        <v>44510</v>
      </c>
      <c r="B203">
        <f>196.55</f>
        <v>196.55</v>
      </c>
      <c r="C203">
        <f>152.8531</f>
        <v>152.85310000000001</v>
      </c>
      <c r="D203">
        <f>92.92</f>
        <v>92.92</v>
      </c>
      <c r="E203">
        <f>3201.57</f>
        <v>3201.57</v>
      </c>
      <c r="F203">
        <f>190.26</f>
        <v>190.26</v>
      </c>
      <c r="G203">
        <f>283.0802</f>
        <v>283.08019999999999</v>
      </c>
      <c r="H203">
        <f>257.38</f>
        <v>257.38</v>
      </c>
      <c r="I203">
        <f>499.38</f>
        <v>499.38</v>
      </c>
      <c r="J203">
        <f>4646.71</f>
        <v>4646.71</v>
      </c>
    </row>
    <row r="204" spans="1:10" x14ac:dyDescent="0.25">
      <c r="A204" s="1">
        <v>44509</v>
      </c>
      <c r="B204">
        <f>199.55</f>
        <v>199.55</v>
      </c>
      <c r="C204">
        <f>153.2578</f>
        <v>153.2578</v>
      </c>
      <c r="D204">
        <f>94.67</f>
        <v>94.67</v>
      </c>
      <c r="E204">
        <f>3227.8</f>
        <v>3227.8</v>
      </c>
      <c r="F204">
        <f>193.56</f>
        <v>193.56</v>
      </c>
      <c r="G204">
        <f>282.8226</f>
        <v>282.82260000000002</v>
      </c>
      <c r="H204">
        <f>258.79</f>
        <v>258.79000000000002</v>
      </c>
      <c r="I204">
        <f>502.56</f>
        <v>502.56</v>
      </c>
      <c r="J204">
        <f>4685.25</f>
        <v>4685.25</v>
      </c>
    </row>
    <row r="205" spans="1:10" x14ac:dyDescent="0.25">
      <c r="A205" s="1">
        <v>44508</v>
      </c>
      <c r="B205">
        <f>199.38</f>
        <v>199.38</v>
      </c>
      <c r="C205">
        <f>154.1642</f>
        <v>154.16419999999999</v>
      </c>
      <c r="D205">
        <f>95.02</f>
        <v>95.02</v>
      </c>
      <c r="E205">
        <f>3237.63</f>
        <v>3237.63</v>
      </c>
      <c r="F205">
        <f>193.52</f>
        <v>193.52</v>
      </c>
      <c r="G205">
        <f>281.6531</f>
        <v>281.65309999999999</v>
      </c>
      <c r="H205">
        <f>258.82</f>
        <v>258.82</v>
      </c>
      <c r="I205">
        <f>501.49</f>
        <v>501.49</v>
      </c>
      <c r="J205">
        <f>4701.7</f>
        <v>4701.7</v>
      </c>
    </row>
    <row r="206" spans="1:10" x14ac:dyDescent="0.25">
      <c r="A206" s="1">
        <v>44505</v>
      </c>
      <c r="B206">
        <f>197.95</f>
        <v>197.95</v>
      </c>
      <c r="C206">
        <f>153.6319</f>
        <v>153.6319</v>
      </c>
      <c r="D206">
        <f>92.98</f>
        <v>92.98</v>
      </c>
      <c r="E206">
        <f>3232.26</f>
        <v>3232.26</v>
      </c>
      <c r="F206">
        <f>192.36</f>
        <v>192.36</v>
      </c>
      <c r="G206">
        <f>283.5601</f>
        <v>283.56009999999998</v>
      </c>
      <c r="H206">
        <f>258.75</f>
        <v>258.75</v>
      </c>
      <c r="I206">
        <f>501.04</f>
        <v>501.04</v>
      </c>
      <c r="J206">
        <f>4697.53</f>
        <v>4697.53</v>
      </c>
    </row>
    <row r="207" spans="1:10" x14ac:dyDescent="0.25">
      <c r="A207" s="1">
        <v>44504</v>
      </c>
      <c r="B207">
        <f>195.93</f>
        <v>195.93</v>
      </c>
      <c r="C207">
        <f>153.2775</f>
        <v>153.2775</v>
      </c>
      <c r="D207">
        <f>90.27</f>
        <v>90.27</v>
      </c>
      <c r="E207">
        <f>3224.63</f>
        <v>3224.63</v>
      </c>
      <c r="F207">
        <f>189.82</f>
        <v>189.82</v>
      </c>
      <c r="G207">
        <f>282.4701</f>
        <v>282.4701</v>
      </c>
      <c r="H207">
        <f>258.22</f>
        <v>258.22000000000003</v>
      </c>
      <c r="I207">
        <f>484.37</f>
        <v>484.37</v>
      </c>
      <c r="J207">
        <f>4680.06</f>
        <v>4680.0600000000004</v>
      </c>
    </row>
    <row r="208" spans="1:10" x14ac:dyDescent="0.25">
      <c r="A208" s="1">
        <v>44503</v>
      </c>
      <c r="B208">
        <f>195.58</f>
        <v>195.58</v>
      </c>
      <c r="C208">
        <f>154.8274</f>
        <v>154.82740000000001</v>
      </c>
      <c r="D208">
        <f>89.92</f>
        <v>89.92</v>
      </c>
      <c r="E208">
        <f>3212.35</f>
        <v>3212.35</v>
      </c>
      <c r="F208">
        <f>189.5</f>
        <v>189.5</v>
      </c>
      <c r="G208">
        <f>282.2457</f>
        <v>282.2457</v>
      </c>
      <c r="H208">
        <f>259.58</f>
        <v>259.58</v>
      </c>
      <c r="I208">
        <f>483.94</f>
        <v>483.94</v>
      </c>
      <c r="J208">
        <f>4660.57</f>
        <v>4660.57</v>
      </c>
    </row>
    <row r="209" spans="1:10" x14ac:dyDescent="0.25">
      <c r="A209" s="1">
        <v>44502</v>
      </c>
      <c r="B209">
        <f>197.3</f>
        <v>197.3</v>
      </c>
      <c r="C209">
        <f>154.1106</f>
        <v>154.11060000000001</v>
      </c>
      <c r="D209">
        <f>89.01</f>
        <v>89.01</v>
      </c>
      <c r="E209">
        <f>3195.67</f>
        <v>3195.67</v>
      </c>
      <c r="F209">
        <f>191.1</f>
        <v>191.1</v>
      </c>
      <c r="G209">
        <f>280.0732</f>
        <v>280.07319999999999</v>
      </c>
      <c r="H209">
        <f>259.25</f>
        <v>259.25</v>
      </c>
      <c r="I209">
        <f>482.77</f>
        <v>482.77</v>
      </c>
      <c r="J209">
        <f>4630.65</f>
        <v>4630.6499999999996</v>
      </c>
    </row>
    <row r="210" spans="1:10" x14ac:dyDescent="0.25">
      <c r="A210" s="1">
        <v>44501</v>
      </c>
      <c r="B210">
        <f>199.61</f>
        <v>199.61</v>
      </c>
      <c r="C210">
        <f>154.2481</f>
        <v>154.24809999999999</v>
      </c>
      <c r="D210">
        <f>88.58</f>
        <v>88.58</v>
      </c>
      <c r="E210">
        <f>3190.54</f>
        <v>3190.54</v>
      </c>
      <c r="F210">
        <f>193.58</f>
        <v>193.58</v>
      </c>
      <c r="G210">
        <f>278.9407</f>
        <v>278.94069999999999</v>
      </c>
      <c r="H210">
        <f>258.36</f>
        <v>258.36</v>
      </c>
      <c r="I210">
        <f>484.94</f>
        <v>484.94</v>
      </c>
      <c r="J210">
        <f>4613.67</f>
        <v>4613.67</v>
      </c>
    </row>
    <row r="211" spans="1:10" x14ac:dyDescent="0.25">
      <c r="A211" s="1">
        <v>44498</v>
      </c>
      <c r="B211">
        <f>197.26</f>
        <v>197.26</v>
      </c>
      <c r="C211">
        <f>153.5367</f>
        <v>153.5367</v>
      </c>
      <c r="D211">
        <f>87.25</f>
        <v>87.25</v>
      </c>
      <c r="E211">
        <f>3174.73</f>
        <v>3174.73</v>
      </c>
      <c r="F211">
        <f>191.17</f>
        <v>191.17</v>
      </c>
      <c r="G211">
        <f>277.6972</f>
        <v>277.69720000000001</v>
      </c>
      <c r="H211">
        <f>258.22</f>
        <v>258.22000000000003</v>
      </c>
      <c r="I211">
        <f>484.41</f>
        <v>484.41</v>
      </c>
      <c r="J211">
        <f>4605.38</f>
        <v>4605.38</v>
      </c>
    </row>
    <row r="212" spans="1:10" x14ac:dyDescent="0.25">
      <c r="A212" s="1">
        <v>44497</v>
      </c>
      <c r="B212">
        <f>199.44</f>
        <v>199.44</v>
      </c>
      <c r="C212">
        <f>154.5896</f>
        <v>154.58959999999999</v>
      </c>
      <c r="D212">
        <f>87.07</f>
        <v>87.07</v>
      </c>
      <c r="E212">
        <f>3179.44</f>
        <v>3179.44</v>
      </c>
      <c r="F212">
        <f>192.9</f>
        <v>192.9</v>
      </c>
      <c r="G212">
        <f>278.6053</f>
        <v>278.6053</v>
      </c>
      <c r="H212">
        <f>261.64</f>
        <v>261.64</v>
      </c>
      <c r="I212">
        <f>485.23</f>
        <v>485.23</v>
      </c>
      <c r="J212">
        <f>4596.42</f>
        <v>4596.42</v>
      </c>
    </row>
    <row r="213" spans="1:10" x14ac:dyDescent="0.25">
      <c r="A213" s="1">
        <v>44496</v>
      </c>
      <c r="B213">
        <f>199.56</f>
        <v>199.56</v>
      </c>
      <c r="C213">
        <f>153.3069</f>
        <v>153.30690000000001</v>
      </c>
      <c r="D213">
        <f>86.69</f>
        <v>86.69</v>
      </c>
      <c r="E213">
        <f>3152.05</f>
        <v>3152.05</v>
      </c>
      <c r="F213">
        <f>192.56</f>
        <v>192.56</v>
      </c>
      <c r="G213">
        <f>276.3206</f>
        <v>276.32060000000001</v>
      </c>
      <c r="H213">
        <f>259</f>
        <v>259</v>
      </c>
      <c r="I213">
        <f>486.3</f>
        <v>486.3</v>
      </c>
      <c r="J213">
        <f>4551.68</f>
        <v>4551.68</v>
      </c>
    </row>
    <row r="214" spans="1:10" x14ac:dyDescent="0.25">
      <c r="A214" s="1">
        <v>44495</v>
      </c>
      <c r="B214">
        <f>203.53</f>
        <v>203.53</v>
      </c>
      <c r="C214">
        <f>155.0751</f>
        <v>155.07509999999999</v>
      </c>
      <c r="D214">
        <f>87.7</f>
        <v>87.7</v>
      </c>
      <c r="E214">
        <f>3167.44</f>
        <v>3167.44</v>
      </c>
      <c r="F214">
        <f>196.36</f>
        <v>196.36</v>
      </c>
      <c r="G214">
        <f>277.2802</f>
        <v>277.28019999999998</v>
      </c>
      <c r="H214">
        <f>260</f>
        <v>260</v>
      </c>
      <c r="I214">
        <f>490.1</f>
        <v>490.1</v>
      </c>
      <c r="J214">
        <f>4574.79</f>
        <v>4574.79</v>
      </c>
    </row>
    <row r="215" spans="1:10" x14ac:dyDescent="0.25">
      <c r="A215" s="1">
        <v>44494</v>
      </c>
      <c r="B215">
        <f>203.01</f>
        <v>203.01</v>
      </c>
      <c r="C215">
        <f>154.6256</f>
        <v>154.62559999999999</v>
      </c>
      <c r="D215">
        <f>87.46</f>
        <v>87.46</v>
      </c>
      <c r="E215">
        <f>3159.88</f>
        <v>3159.88</v>
      </c>
      <c r="F215">
        <f>195.92</f>
        <v>195.92</v>
      </c>
      <c r="G215">
        <f>276.0736</f>
        <v>276.0736</v>
      </c>
      <c r="H215">
        <f>259.27</f>
        <v>259.27</v>
      </c>
      <c r="I215">
        <f>501.13</f>
        <v>501.13</v>
      </c>
      <c r="J215">
        <f>4566.48</f>
        <v>4566.4799999999996</v>
      </c>
    </row>
    <row r="216" spans="1:10" x14ac:dyDescent="0.25">
      <c r="A216" s="1">
        <v>44491</v>
      </c>
      <c r="B216">
        <f>200.32</f>
        <v>200.32</v>
      </c>
      <c r="C216">
        <f>154.6033</f>
        <v>154.60329999999999</v>
      </c>
      <c r="D216">
        <f>87.77</f>
        <v>87.77</v>
      </c>
      <c r="E216">
        <f>3151.16</f>
        <v>3151.16</v>
      </c>
      <c r="F216">
        <f>193.52</f>
        <v>193.52</v>
      </c>
      <c r="G216">
        <f>276.5966</f>
        <v>276.59660000000002</v>
      </c>
      <c r="H216">
        <f>258.99</f>
        <v>258.99</v>
      </c>
      <c r="I216">
        <f>504.27</f>
        <v>504.27</v>
      </c>
      <c r="J216">
        <f>4544.9</f>
        <v>4544.8999999999996</v>
      </c>
    </row>
    <row r="217" spans="1:10" x14ac:dyDescent="0.25">
      <c r="A217" s="1">
        <v>44490</v>
      </c>
      <c r="B217">
        <f>200.08</f>
        <v>200.08</v>
      </c>
      <c r="C217">
        <f>153.3941</f>
        <v>153.39410000000001</v>
      </c>
      <c r="D217">
        <f>88.32</f>
        <v>88.32</v>
      </c>
      <c r="E217">
        <f>3152.33</f>
        <v>3152.33</v>
      </c>
      <c r="F217">
        <f>192.94</f>
        <v>192.94</v>
      </c>
      <c r="G217">
        <f>274.7832</f>
        <v>274.78320000000002</v>
      </c>
      <c r="H217">
        <f>257.62</f>
        <v>257.62</v>
      </c>
      <c r="I217">
        <f>504.5</f>
        <v>504.5</v>
      </c>
      <c r="J217">
        <f>4549.78</f>
        <v>4549.78</v>
      </c>
    </row>
    <row r="218" spans="1:10" x14ac:dyDescent="0.25">
      <c r="A218" s="1">
        <v>44489</v>
      </c>
      <c r="B218">
        <f>203.36</f>
        <v>203.36</v>
      </c>
      <c r="C218">
        <f>153.6937</f>
        <v>153.69370000000001</v>
      </c>
      <c r="D218">
        <f>89.02</f>
        <v>89.02</v>
      </c>
      <c r="E218">
        <f>3147.7</f>
        <v>3147.7</v>
      </c>
      <c r="F218">
        <f>195.9</f>
        <v>195.9</v>
      </c>
      <c r="G218">
        <f>274.8768</f>
        <v>274.8768</v>
      </c>
      <c r="H218">
        <f>256.8</f>
        <v>256.8</v>
      </c>
      <c r="I218">
        <f>504.8</f>
        <v>504.8</v>
      </c>
      <c r="J218">
        <f>4536.19</f>
        <v>4536.1899999999996</v>
      </c>
    </row>
    <row r="219" spans="1:10" x14ac:dyDescent="0.25">
      <c r="A219" s="1">
        <v>44488</v>
      </c>
      <c r="B219">
        <f>202.37</f>
        <v>202.37</v>
      </c>
      <c r="C219">
        <f>152.5738</f>
        <v>152.57380000000001</v>
      </c>
      <c r="D219">
        <f>89.17</f>
        <v>89.17</v>
      </c>
      <c r="E219">
        <f>3136.19</f>
        <v>3136.19</v>
      </c>
      <c r="F219">
        <f>194.56</f>
        <v>194.56</v>
      </c>
      <c r="G219">
        <f>272.6343</f>
        <v>272.6343</v>
      </c>
      <c r="H219">
        <f>254.13</f>
        <v>254.13</v>
      </c>
      <c r="I219">
        <f>504.74</f>
        <v>504.74</v>
      </c>
      <c r="J219">
        <f>4519.63</f>
        <v>4519.63</v>
      </c>
    </row>
    <row r="220" spans="1:10" x14ac:dyDescent="0.25">
      <c r="A220" s="1">
        <v>44487</v>
      </c>
      <c r="B220">
        <f>201.07</f>
        <v>201.07</v>
      </c>
      <c r="C220">
        <f>151.1875</f>
        <v>151.1875</v>
      </c>
      <c r="D220">
        <f>90.03</f>
        <v>90.03</v>
      </c>
      <c r="E220">
        <f>3114.01</f>
        <v>3114.01</v>
      </c>
      <c r="F220">
        <f>192.88</f>
        <v>192.88</v>
      </c>
      <c r="G220">
        <f>272.8214</f>
        <v>272.82139999999998</v>
      </c>
      <c r="H220">
        <f>252.89</f>
        <v>252.89</v>
      </c>
      <c r="I220">
        <f>503.45</f>
        <v>503.45</v>
      </c>
      <c r="J220">
        <f>4486.46</f>
        <v>4486.46</v>
      </c>
    </row>
    <row r="221" spans="1:10" x14ac:dyDescent="0.25">
      <c r="A221" s="1">
        <v>44484</v>
      </c>
      <c r="B221">
        <f>201.03</f>
        <v>201.03</v>
      </c>
      <c r="C221">
        <f>151.2154</f>
        <v>151.21539999999999</v>
      </c>
      <c r="D221">
        <f>90.49</f>
        <v>90.49</v>
      </c>
      <c r="E221">
        <f>3109.47</f>
        <v>3109.47</v>
      </c>
      <c r="F221">
        <f>192.87</f>
        <v>192.87</v>
      </c>
      <c r="G221">
        <f>274.3086</f>
        <v>274.30860000000001</v>
      </c>
      <c r="H221">
        <f>252.86</f>
        <v>252.86</v>
      </c>
      <c r="I221">
        <f>506.21</f>
        <v>506.21</v>
      </c>
      <c r="J221">
        <f>4471.37</f>
        <v>4471.37</v>
      </c>
    </row>
    <row r="222" spans="1:10" x14ac:dyDescent="0.25">
      <c r="A222" s="1">
        <v>44483</v>
      </c>
      <c r="B222">
        <f>199.27</f>
        <v>199.27</v>
      </c>
      <c r="C222">
        <f>149.2629</f>
        <v>149.2629</v>
      </c>
      <c r="D222">
        <f>90.25</f>
        <v>90.25</v>
      </c>
      <c r="E222">
        <f>3084.59</f>
        <v>3084.59</v>
      </c>
      <c r="F222">
        <f>191.16</f>
        <v>191.16</v>
      </c>
      <c r="G222">
        <f>274.2165</f>
        <v>274.2165</v>
      </c>
      <c r="H222">
        <f>251.95</f>
        <v>251.95</v>
      </c>
      <c r="I222">
        <f>500.72</f>
        <v>500.72</v>
      </c>
      <c r="J222">
        <f>4438.26</f>
        <v>4438.26</v>
      </c>
    </row>
    <row r="223" spans="1:10" x14ac:dyDescent="0.25">
      <c r="A223" s="1">
        <v>44482</v>
      </c>
      <c r="B223">
        <f>196.93</f>
        <v>196.93</v>
      </c>
      <c r="C223">
        <f>147.37</f>
        <v>147.37</v>
      </c>
      <c r="D223">
        <f>89.85</f>
        <v>89.85</v>
      </c>
      <c r="E223">
        <f>3039.01</f>
        <v>3039.01</v>
      </c>
      <c r="F223">
        <f>188.78</f>
        <v>188.78</v>
      </c>
      <c r="G223">
        <f>271.3594</f>
        <v>271.35939999999999</v>
      </c>
      <c r="H223">
        <f>249.18</f>
        <v>249.18</v>
      </c>
      <c r="I223">
        <f>500.1</f>
        <v>500.1</v>
      </c>
      <c r="J223">
        <f>4363.8</f>
        <v>4363.8</v>
      </c>
    </row>
    <row r="224" spans="1:10" x14ac:dyDescent="0.25">
      <c r="A224" s="1">
        <v>44481</v>
      </c>
      <c r="B224">
        <f>197.12</f>
        <v>197.12</v>
      </c>
      <c r="C224">
        <f>148.0927</f>
        <v>148.09270000000001</v>
      </c>
      <c r="D224">
        <f>90.9</f>
        <v>90.9</v>
      </c>
      <c r="E224">
        <f>3024.72</f>
        <v>3024.72</v>
      </c>
      <c r="F224">
        <f>188.91</f>
        <v>188.91</v>
      </c>
      <c r="G224">
        <f>270.0145</f>
        <v>270.0145</v>
      </c>
      <c r="H224">
        <f>247.33</f>
        <v>247.33</v>
      </c>
      <c r="I224">
        <f>500.97</f>
        <v>500.97</v>
      </c>
      <c r="J224">
        <f>4350.65</f>
        <v>4350.6499999999996</v>
      </c>
    </row>
    <row r="225" spans="1:10" x14ac:dyDescent="0.25">
      <c r="A225" s="1">
        <v>44480</v>
      </c>
      <c r="B225">
        <f>197.04</f>
        <v>197.04</v>
      </c>
      <c r="C225">
        <f>148.4939</f>
        <v>148.4939</v>
      </c>
      <c r="D225">
        <f>91.24</f>
        <v>91.24</v>
      </c>
      <c r="E225">
        <f>3031.57</f>
        <v>3031.57</v>
      </c>
      <c r="F225">
        <f>188.87</f>
        <v>188.87</v>
      </c>
      <c r="G225">
        <f>270.4139</f>
        <v>270.41390000000001</v>
      </c>
      <c r="H225">
        <f>245.19</f>
        <v>245.19</v>
      </c>
      <c r="I225">
        <f>503.59</f>
        <v>503.59</v>
      </c>
      <c r="J225">
        <f>4361.19</f>
        <v>4361.1899999999996</v>
      </c>
    </row>
    <row r="226" spans="1:10" x14ac:dyDescent="0.25">
      <c r="A226" s="1">
        <v>44477</v>
      </c>
      <c r="B226">
        <f>196.56</f>
        <v>196.56</v>
      </c>
      <c r="C226">
        <f>149.1483</f>
        <v>149.14830000000001</v>
      </c>
      <c r="D226">
        <f>90.34</f>
        <v>90.34</v>
      </c>
      <c r="E226">
        <f>3043.74</f>
        <v>3043.74</v>
      </c>
      <c r="F226">
        <f>188.61</f>
        <v>188.61</v>
      </c>
      <c r="G226">
        <f>270.8856</f>
        <v>270.88560000000001</v>
      </c>
      <c r="H226">
        <f>244.87</f>
        <v>244.87</v>
      </c>
      <c r="I226">
        <f>502.39</f>
        <v>502.39</v>
      </c>
      <c r="J226">
        <f>4391.34</f>
        <v>4391.34</v>
      </c>
    </row>
    <row r="227" spans="1:10" x14ac:dyDescent="0.25">
      <c r="A227" s="1">
        <v>44476</v>
      </c>
      <c r="B227">
        <f>192.36</f>
        <v>192.36</v>
      </c>
      <c r="C227">
        <f>148.4022</f>
        <v>148.40219999999999</v>
      </c>
      <c r="D227">
        <f>90.26</f>
        <v>90.26</v>
      </c>
      <c r="E227">
        <f>3046.57</f>
        <v>3046.57</v>
      </c>
      <c r="F227">
        <f>183.92</f>
        <v>183.92</v>
      </c>
      <c r="G227">
        <f>271.3262</f>
        <v>271.32619999999997</v>
      </c>
      <c r="H227">
        <f>246.73</f>
        <v>246.73</v>
      </c>
      <c r="I227">
        <f>500.51</f>
        <v>500.51</v>
      </c>
      <c r="J227">
        <f>4399.76</f>
        <v>4399.76</v>
      </c>
    </row>
    <row r="228" spans="1:10" x14ac:dyDescent="0.25">
      <c r="A228" s="1">
        <v>44475</v>
      </c>
      <c r="B228">
        <f>191.16</f>
        <v>191.16</v>
      </c>
      <c r="C228">
        <f>146.9782</f>
        <v>146.97819999999999</v>
      </c>
      <c r="D228">
        <f>90.7</f>
        <v>90.7</v>
      </c>
      <c r="E228">
        <f>3015.95</f>
        <v>3015.95</v>
      </c>
      <c r="F228">
        <f>182.69</f>
        <v>182.69</v>
      </c>
      <c r="G228">
        <f>269.8012</f>
        <v>269.80119999999999</v>
      </c>
      <c r="H228">
        <f>245.72</f>
        <v>245.72</v>
      </c>
      <c r="I228">
        <f>495.13</f>
        <v>495.13</v>
      </c>
      <c r="J228">
        <f>4363.55</f>
        <v>4363.55</v>
      </c>
    </row>
    <row r="229" spans="1:10" x14ac:dyDescent="0.25">
      <c r="A229" s="1">
        <v>44474</v>
      </c>
      <c r="B229">
        <f>194.1</f>
        <v>194.1</v>
      </c>
      <c r="C229">
        <f>147.2337</f>
        <v>147.2337</v>
      </c>
      <c r="D229">
        <f>92.76</f>
        <v>92.76</v>
      </c>
      <c r="E229">
        <f>3016.19</f>
        <v>3016.19</v>
      </c>
      <c r="F229">
        <f>185.36</f>
        <v>185.36</v>
      </c>
      <c r="G229">
        <f>268.996</f>
        <v>268.99599999999998</v>
      </c>
      <c r="H229">
        <f>244.56</f>
        <v>244.56</v>
      </c>
      <c r="I229">
        <f>494.45</f>
        <v>494.45</v>
      </c>
      <c r="J229">
        <f>4345.72</f>
        <v>4345.72</v>
      </c>
    </row>
    <row r="230" spans="1:10" x14ac:dyDescent="0.25">
      <c r="A230" s="1">
        <v>44473</v>
      </c>
      <c r="B230">
        <f>191.7</f>
        <v>191.7</v>
      </c>
      <c r="C230">
        <f>144.992</f>
        <v>144.99199999999999</v>
      </c>
      <c r="D230">
        <f>93.6</f>
        <v>93.6</v>
      </c>
      <c r="E230">
        <f>2992.89</f>
        <v>2992.89</v>
      </c>
      <c r="F230">
        <f>183.51</f>
        <v>183.51</v>
      </c>
      <c r="G230">
        <f>268.4161</f>
        <v>268.41609999999997</v>
      </c>
      <c r="H230">
        <f>246.27</f>
        <v>246.27</v>
      </c>
      <c r="I230">
        <f>490.81</f>
        <v>490.81</v>
      </c>
      <c r="J230">
        <f>4300.46</f>
        <v>4300.46</v>
      </c>
    </row>
    <row r="231" spans="1:10" x14ac:dyDescent="0.25">
      <c r="A231" s="1">
        <v>44470</v>
      </c>
      <c r="B231">
        <f>188.54</f>
        <v>188.54</v>
      </c>
      <c r="C231">
        <f>145.5185</f>
        <v>145.51849999999999</v>
      </c>
      <c r="D231">
        <f>92.78</f>
        <v>92.78</v>
      </c>
      <c r="E231">
        <f>3022.83</f>
        <v>3022.83</v>
      </c>
      <c r="F231">
        <f>180.36</f>
        <v>180.36</v>
      </c>
      <c r="G231">
        <f>268.3989</f>
        <v>268.39890000000003</v>
      </c>
      <c r="H231">
        <f>245.64</f>
        <v>245.64</v>
      </c>
      <c r="I231">
        <f>493.63</f>
        <v>493.63</v>
      </c>
      <c r="J231">
        <f>4357.04</f>
        <v>4357.04</v>
      </c>
    </row>
    <row r="232" spans="1:10" x14ac:dyDescent="0.25">
      <c r="A232" s="1">
        <v>44469</v>
      </c>
      <c r="B232">
        <f>185.66</f>
        <v>185.66</v>
      </c>
      <c r="C232">
        <f>144.6573</f>
        <v>144.65729999999999</v>
      </c>
      <c r="D232">
        <f>90.74</f>
        <v>90.74</v>
      </c>
      <c r="E232">
        <f>3006.6</f>
        <v>3006.6</v>
      </c>
      <c r="F232">
        <f>177.15</f>
        <v>177.15</v>
      </c>
      <c r="G232">
        <f>268.8699</f>
        <v>268.86989999999997</v>
      </c>
      <c r="H232">
        <f>244.48</f>
        <v>244.48</v>
      </c>
      <c r="I232">
        <f>486.29</f>
        <v>486.29</v>
      </c>
      <c r="J232">
        <f>4307.54</f>
        <v>4307.54</v>
      </c>
    </row>
    <row r="233" spans="1:10" x14ac:dyDescent="0.25">
      <c r="A233" s="1">
        <v>44468</v>
      </c>
      <c r="B233">
        <f>186.28</f>
        <v>186.28</v>
      </c>
      <c r="C233">
        <f>145.7593</f>
        <v>145.7593</v>
      </c>
      <c r="D233">
        <f>91.35</f>
        <v>91.35</v>
      </c>
      <c r="E233">
        <f>3028.75</f>
        <v>3028.75</v>
      </c>
      <c r="F233">
        <f>177.85</f>
        <v>177.85</v>
      </c>
      <c r="G233">
        <f>271.7866</f>
        <v>271.78660000000002</v>
      </c>
      <c r="H233">
        <f>247.21</f>
        <v>247.21</v>
      </c>
      <c r="I233">
        <f>494.17</f>
        <v>494.17</v>
      </c>
      <c r="J233">
        <f>4359.46</f>
        <v>4359.46</v>
      </c>
    </row>
    <row r="234" spans="1:10" x14ac:dyDescent="0.25">
      <c r="A234" s="1">
        <v>44467</v>
      </c>
      <c r="B234">
        <f>186.75</f>
        <v>186.75</v>
      </c>
      <c r="C234">
        <f>145.836</f>
        <v>145.83600000000001</v>
      </c>
      <c r="D234">
        <f>92.01</f>
        <v>92.01</v>
      </c>
      <c r="E234">
        <f>3032.7</f>
        <v>3032.7</v>
      </c>
      <c r="F234">
        <f>178.19</f>
        <v>178.19</v>
      </c>
      <c r="G234">
        <f>270.2807</f>
        <v>270.28070000000002</v>
      </c>
      <c r="H234">
        <f>246.76</f>
        <v>246.76</v>
      </c>
      <c r="I234">
        <f>489.57</f>
        <v>489.57</v>
      </c>
      <c r="J234">
        <f>4352.63</f>
        <v>4352.63</v>
      </c>
    </row>
    <row r="235" spans="1:10" x14ac:dyDescent="0.25">
      <c r="A235" s="1">
        <v>44466</v>
      </c>
      <c r="B235">
        <f>185.87</f>
        <v>185.87</v>
      </c>
      <c r="C235">
        <f>148.1371</f>
        <v>148.1371</v>
      </c>
      <c r="D235">
        <f>93.14</f>
        <v>93.14</v>
      </c>
      <c r="E235">
        <f>3095.56</f>
        <v>3095.56</v>
      </c>
      <c r="F235">
        <f>177.63</f>
        <v>177.63</v>
      </c>
      <c r="G235">
        <f>273.9939</f>
        <v>273.9939</v>
      </c>
      <c r="H235">
        <f>248.81</f>
        <v>248.81</v>
      </c>
      <c r="I235">
        <f>497.39</f>
        <v>497.39</v>
      </c>
      <c r="J235">
        <f>4443.11</f>
        <v>4443.1099999999997</v>
      </c>
    </row>
    <row r="236" spans="1:10" x14ac:dyDescent="0.25">
      <c r="A236" s="1">
        <v>44463</v>
      </c>
      <c r="B236">
        <f>180.89</f>
        <v>180.89</v>
      </c>
      <c r="C236">
        <f>146.2729</f>
        <v>146.27289999999999</v>
      </c>
      <c r="D236">
        <f>91.81</f>
        <v>91.81</v>
      </c>
      <c r="E236">
        <f>3103.53</f>
        <v>3103.53</v>
      </c>
      <c r="F236">
        <f>172.43</f>
        <v>172.43</v>
      </c>
      <c r="G236">
        <f>275.5161</f>
        <v>275.51609999999999</v>
      </c>
      <c r="H236">
        <f>251.15</f>
        <v>251.15</v>
      </c>
      <c r="I236">
        <f>491.31</f>
        <v>491.31</v>
      </c>
      <c r="J236">
        <f>4455.48</f>
        <v>4455.4799999999996</v>
      </c>
    </row>
    <row r="237" spans="1:10" x14ac:dyDescent="0.25">
      <c r="A237" s="1">
        <v>44462</v>
      </c>
      <c r="B237">
        <f>180.55</f>
        <v>180.55</v>
      </c>
      <c r="C237">
        <f>146.0478</f>
        <v>146.0478</v>
      </c>
      <c r="D237">
        <f>91.51</f>
        <v>91.51</v>
      </c>
      <c r="E237">
        <f>3106.42</f>
        <v>3106.42</v>
      </c>
      <c r="F237">
        <f>171.81</f>
        <v>171.81</v>
      </c>
      <c r="G237">
        <f>276.1656</f>
        <v>276.16559999999998</v>
      </c>
      <c r="H237">
        <f>254.29</f>
        <v>254.29</v>
      </c>
      <c r="I237">
        <f>489.67</f>
        <v>489.67</v>
      </c>
      <c r="J237">
        <f>4448.98</f>
        <v>4448.9799999999996</v>
      </c>
    </row>
    <row r="238" spans="1:10" x14ac:dyDescent="0.25">
      <c r="A238" s="1">
        <v>44461</v>
      </c>
      <c r="B238">
        <f>176.4</f>
        <v>176.4</v>
      </c>
      <c r="C238">
        <f>143.3099</f>
        <v>143.3099</v>
      </c>
      <c r="D238">
        <f>89.66</f>
        <v>89.66</v>
      </c>
      <c r="E238">
        <f>3074.35</f>
        <v>3074.35</v>
      </c>
      <c r="F238">
        <f>167.79</f>
        <v>167.79</v>
      </c>
      <c r="G238">
        <f>275.3858</f>
        <v>275.38580000000002</v>
      </c>
      <c r="H238">
        <f>254.47</f>
        <v>254.47</v>
      </c>
      <c r="I238">
        <f>483.4</f>
        <v>483.4</v>
      </c>
      <c r="J238">
        <f>4395.64</f>
        <v>4395.6400000000003</v>
      </c>
    </row>
    <row r="239" spans="1:10" x14ac:dyDescent="0.25">
      <c r="A239" s="1">
        <v>44460</v>
      </c>
      <c r="B239">
        <f>172.05</f>
        <v>172.05</v>
      </c>
      <c r="C239">
        <f>141.3425</f>
        <v>141.3425</v>
      </c>
      <c r="D239">
        <f>88.79</f>
        <v>88.79</v>
      </c>
      <c r="E239">
        <f>3049.68</f>
        <v>3049.68</v>
      </c>
      <c r="F239">
        <f>163.19</f>
        <v>163.19</v>
      </c>
      <c r="G239">
        <f>274.8044</f>
        <v>274.80439999999999</v>
      </c>
      <c r="H239">
        <f>252.68</f>
        <v>252.68</v>
      </c>
      <c r="I239">
        <f>473.28</f>
        <v>473.28</v>
      </c>
      <c r="J239">
        <f>4354.19</f>
        <v>4354.1899999999996</v>
      </c>
    </row>
    <row r="240" spans="1:10" x14ac:dyDescent="0.25">
      <c r="A240" s="1">
        <v>44459</v>
      </c>
      <c r="B240">
        <f>170.47</f>
        <v>170.47</v>
      </c>
      <c r="C240">
        <f>141.181</f>
        <v>141.18100000000001</v>
      </c>
      <c r="D240">
        <f>88.08</f>
        <v>88.08</v>
      </c>
      <c r="E240">
        <f>3046.2</f>
        <v>3046.2</v>
      </c>
      <c r="F240">
        <f>161.6</f>
        <v>161.6</v>
      </c>
      <c r="G240">
        <f>274.0939</f>
        <v>274.09390000000002</v>
      </c>
      <c r="H240">
        <f>252.21</f>
        <v>252.21</v>
      </c>
      <c r="I240">
        <f>474.32</f>
        <v>474.32</v>
      </c>
      <c r="J240">
        <f>4357.73</f>
        <v>4357.7299999999996</v>
      </c>
    </row>
    <row r="241" spans="1:10" x14ac:dyDescent="0.25">
      <c r="A241" s="1">
        <v>44456</v>
      </c>
      <c r="B241">
        <f>174.58</f>
        <v>174.58</v>
      </c>
      <c r="C241">
        <f>144.9793</f>
        <v>144.97929999999999</v>
      </c>
      <c r="D241">
        <f>87.93</f>
        <v>87.93</v>
      </c>
      <c r="E241">
        <f>3096.62</f>
        <v>3096.62</v>
      </c>
      <c r="F241">
        <f>165.69</f>
        <v>165.69</v>
      </c>
      <c r="G241">
        <f>276.2593</f>
        <v>276.2593</v>
      </c>
      <c r="H241">
        <f>254.68</f>
        <v>254.68</v>
      </c>
      <c r="I241">
        <f>476.08</f>
        <v>476.08</v>
      </c>
      <c r="J241">
        <f>4432.99</f>
        <v>4432.99</v>
      </c>
    </row>
    <row r="242" spans="1:10" x14ac:dyDescent="0.25">
      <c r="A242" s="1">
        <v>44455</v>
      </c>
      <c r="B242">
        <f>176.71</f>
        <v>176.71</v>
      </c>
      <c r="C242">
        <f>145.9069</f>
        <v>145.90690000000001</v>
      </c>
      <c r="D242">
        <f>86.97</f>
        <v>86.97</v>
      </c>
      <c r="E242">
        <f>3122.57</f>
        <v>3122.57</v>
      </c>
      <c r="F242">
        <f>167.3</f>
        <v>167.3</v>
      </c>
      <c r="G242">
        <f>277.6722</f>
        <v>277.67219999999998</v>
      </c>
      <c r="H242">
        <f>256.79</f>
        <v>256.79000000000002</v>
      </c>
      <c r="I242">
        <f>477.02</f>
        <v>477.02</v>
      </c>
      <c r="J242">
        <f>4473.75</f>
        <v>4473.75</v>
      </c>
    </row>
    <row r="243" spans="1:10" x14ac:dyDescent="0.25">
      <c r="A243" s="1">
        <v>44454</v>
      </c>
      <c r="B243">
        <f>178.1</f>
        <v>178.1</v>
      </c>
      <c r="C243">
        <f>146.1691</f>
        <v>146.16909999999999</v>
      </c>
      <c r="D243">
        <f>86.92</f>
        <v>86.92</v>
      </c>
      <c r="E243">
        <f>3127.71</f>
        <v>3127.71</v>
      </c>
      <c r="F243">
        <f>168.88</f>
        <v>168.88</v>
      </c>
      <c r="G243">
        <f>278.6776</f>
        <v>278.67759999999998</v>
      </c>
      <c r="H243">
        <f>256.91</f>
        <v>256.91000000000003</v>
      </c>
      <c r="I243">
        <f>480.46</f>
        <v>480.46</v>
      </c>
      <c r="J243">
        <f>4480.7</f>
        <v>4480.7</v>
      </c>
    </row>
    <row r="244" spans="1:10" x14ac:dyDescent="0.25">
      <c r="A244" s="1">
        <v>44453</v>
      </c>
      <c r="B244">
        <f>174</f>
        <v>174</v>
      </c>
      <c r="C244">
        <f>145.5575</f>
        <v>145.5575</v>
      </c>
      <c r="D244">
        <f>87.12</f>
        <v>87.12</v>
      </c>
      <c r="E244">
        <f>3116.08</f>
        <v>3116.08</v>
      </c>
      <c r="F244">
        <f>164.42</f>
        <v>164.42</v>
      </c>
      <c r="G244">
        <f>278.8635</f>
        <v>278.86349999999999</v>
      </c>
      <c r="H244">
        <f>256.91</f>
        <v>256.91000000000003</v>
      </c>
      <c r="I244">
        <f>477.25</f>
        <v>477.25</v>
      </c>
      <c r="J244">
        <f>4443.05</f>
        <v>4443.05</v>
      </c>
    </row>
    <row r="245" spans="1:10" x14ac:dyDescent="0.25">
      <c r="A245" s="1">
        <v>44452</v>
      </c>
      <c r="B245">
        <f>175.07</f>
        <v>175.07</v>
      </c>
      <c r="C245">
        <f>146.8362</f>
        <v>146.83619999999999</v>
      </c>
      <c r="D245">
        <f>87.26</f>
        <v>87.26</v>
      </c>
      <c r="E245">
        <f>3126.1</f>
        <v>3126.1</v>
      </c>
      <c r="F245">
        <f>165.91</f>
        <v>165.91</v>
      </c>
      <c r="G245">
        <f>280.0361</f>
        <v>280.03609999999998</v>
      </c>
      <c r="H245">
        <f>257.16</f>
        <v>257.16000000000003</v>
      </c>
      <c r="I245">
        <f>482.74</f>
        <v>482.74</v>
      </c>
      <c r="J245">
        <f>4468.73</f>
        <v>4468.7299999999996</v>
      </c>
    </row>
    <row r="246" spans="1:10" x14ac:dyDescent="0.25">
      <c r="A246" s="1">
        <v>44449</v>
      </c>
      <c r="B246">
        <f>171.18</f>
        <v>171.18</v>
      </c>
      <c r="C246">
        <f>145.667</f>
        <v>145.667</v>
      </c>
      <c r="D246">
        <f>87.35</f>
        <v>87.35</v>
      </c>
      <c r="E246">
        <f>3122.07</f>
        <v>3122.07</v>
      </c>
      <c r="F246">
        <f>161.91</f>
        <v>161.91</v>
      </c>
      <c r="G246">
        <f>279.778</f>
        <v>279.77800000000002</v>
      </c>
      <c r="H246">
        <f>256.73</f>
        <v>256.73</v>
      </c>
      <c r="I246">
        <f>479.45</f>
        <v>479.45</v>
      </c>
      <c r="J246">
        <f>4458.58</f>
        <v>4458.58</v>
      </c>
    </row>
    <row r="247" spans="1:10" x14ac:dyDescent="0.25">
      <c r="A247" s="1">
        <v>44448</v>
      </c>
      <c r="B247">
        <f>171.13</f>
        <v>171.13</v>
      </c>
      <c r="C247">
        <f>146.1313</f>
        <v>146.13130000000001</v>
      </c>
      <c r="D247">
        <f>87.88</f>
        <v>87.88</v>
      </c>
      <c r="E247">
        <f>3136.04</f>
        <v>3136.04</v>
      </c>
      <c r="F247">
        <f>161.89</f>
        <v>161.88999999999999</v>
      </c>
      <c r="G247">
        <f>280.0194</f>
        <v>280.01940000000002</v>
      </c>
      <c r="H247">
        <f>258.92</f>
        <v>258.92</v>
      </c>
      <c r="I247">
        <f>483.3</f>
        <v>483.3</v>
      </c>
      <c r="J247">
        <f>4493.28</f>
        <v>4493.28</v>
      </c>
    </row>
    <row r="248" spans="1:10" x14ac:dyDescent="0.25">
      <c r="A248" s="1">
        <v>44447</v>
      </c>
      <c r="B248">
        <f>171.34</f>
        <v>171.34</v>
      </c>
      <c r="C248">
        <f>146.0306</f>
        <v>146.03059999999999</v>
      </c>
      <c r="D248">
        <f>87.51</f>
        <v>87.51</v>
      </c>
      <c r="E248">
        <f>3146.96</f>
        <v>3146.96</v>
      </c>
      <c r="F248">
        <f>162.31</f>
        <v>162.31</v>
      </c>
      <c r="G248">
        <f>281.111</f>
        <v>281.11099999999999</v>
      </c>
      <c r="H248">
        <f>262.56</f>
        <v>262.56</v>
      </c>
      <c r="I248">
        <f>479.89</f>
        <v>479.89</v>
      </c>
      <c r="J248">
        <f>4514.07</f>
        <v>4514.07</v>
      </c>
    </row>
    <row r="249" spans="1:10" x14ac:dyDescent="0.25">
      <c r="A249" s="1">
        <v>44446</v>
      </c>
      <c r="B249">
        <f>173.04</f>
        <v>173.04</v>
      </c>
      <c r="C249">
        <f>146.7558</f>
        <v>146.75579999999999</v>
      </c>
      <c r="D249">
        <f>88.41</f>
        <v>88.41</v>
      </c>
      <c r="E249">
        <f>3158.94</f>
        <v>3158.94</v>
      </c>
      <c r="F249">
        <f>163.7</f>
        <v>163.69999999999999</v>
      </c>
      <c r="G249">
        <f>280.4665</f>
        <v>280.4665</v>
      </c>
      <c r="H249">
        <f>262.27</f>
        <v>262.27</v>
      </c>
      <c r="I249">
        <f>481.32</f>
        <v>481.32</v>
      </c>
      <c r="J249">
        <f>4520.03</f>
        <v>4520.03</v>
      </c>
    </row>
    <row r="250" spans="1:10" x14ac:dyDescent="0.25">
      <c r="A250" s="1">
        <v>44445</v>
      </c>
      <c r="B250">
        <f>173.5</f>
        <v>173.5</v>
      </c>
      <c r="C250">
        <f>147.4956</f>
        <v>147.4956</v>
      </c>
      <c r="D250">
        <f>88.47</f>
        <v>88.47</v>
      </c>
      <c r="E250">
        <f>3169.64</f>
        <v>3169.64</v>
      </c>
      <c r="F250">
        <f>164.3</f>
        <v>164.3</v>
      </c>
      <c r="G250">
        <f>282.795</f>
        <v>282.79500000000002</v>
      </c>
      <c r="H250">
        <f>264.61</f>
        <v>264.61</v>
      </c>
      <c r="I250">
        <f>487.99</f>
        <v>487.99</v>
      </c>
      <c r="J250" t="e">
        <f>NA()</f>
        <v>#N/A</v>
      </c>
    </row>
    <row r="251" spans="1:10" x14ac:dyDescent="0.25">
      <c r="A251" s="1">
        <v>44442</v>
      </c>
      <c r="B251">
        <f>173.2</f>
        <v>173.2</v>
      </c>
      <c r="C251">
        <f>147.1682</f>
        <v>147.16820000000001</v>
      </c>
      <c r="D251">
        <f>88.3</f>
        <v>88.3</v>
      </c>
      <c r="E251">
        <f>3163.99</f>
        <v>3163.99</v>
      </c>
      <c r="F251">
        <f>164.15</f>
        <v>164.15</v>
      </c>
      <c r="G251">
        <f>282.4666</f>
        <v>282.46660000000003</v>
      </c>
      <c r="H251">
        <f>264.54</f>
        <v>264.54000000000002</v>
      </c>
      <c r="I251">
        <f>487.58</f>
        <v>487.58</v>
      </c>
      <c r="J251">
        <f>4535.43</f>
        <v>4535.43</v>
      </c>
    </row>
    <row r="252" spans="1:10" x14ac:dyDescent="0.25">
      <c r="A252" s="1">
        <v>44441</v>
      </c>
      <c r="B252">
        <f>173.29</f>
        <v>173.29</v>
      </c>
      <c r="C252">
        <f>147.5878</f>
        <v>147.58779999999999</v>
      </c>
      <c r="D252">
        <f>87.98</f>
        <v>87.98</v>
      </c>
      <c r="E252">
        <f>3161.46</f>
        <v>3161.46</v>
      </c>
      <c r="F252">
        <f>164.71</f>
        <v>164.71</v>
      </c>
      <c r="G252">
        <f>282.5268</f>
        <v>282.52679999999998</v>
      </c>
      <c r="H252">
        <f>264.4</f>
        <v>264.39999999999998</v>
      </c>
      <c r="I252">
        <f>492.8</f>
        <v>492.8</v>
      </c>
      <c r="J252">
        <f>4536.95</f>
        <v>4536.95</v>
      </c>
    </row>
    <row r="253" spans="1:10" x14ac:dyDescent="0.25">
      <c r="A253" s="1">
        <v>44440</v>
      </c>
      <c r="B253">
        <f>170.03</f>
        <v>170.03</v>
      </c>
      <c r="C253">
        <f>147.1718</f>
        <v>147.17179999999999</v>
      </c>
      <c r="D253">
        <f>88.27</f>
        <v>88.27</v>
      </c>
      <c r="E253">
        <f>3151.66</f>
        <v>3151.66</v>
      </c>
      <c r="F253">
        <f>161.19</f>
        <v>161.19</v>
      </c>
      <c r="G253">
        <f>282.0193</f>
        <v>282.01929999999999</v>
      </c>
      <c r="H253">
        <f>263.33</f>
        <v>263.33</v>
      </c>
      <c r="I253">
        <f>490.59</f>
        <v>490.59</v>
      </c>
      <c r="J253">
        <f>4524.09</f>
        <v>4524.09</v>
      </c>
    </row>
    <row r="254" spans="1:10" x14ac:dyDescent="0.25">
      <c r="A254" s="1">
        <v>44439</v>
      </c>
      <c r="B254">
        <f>170.84</f>
        <v>170.84</v>
      </c>
      <c r="C254">
        <f>146.8993</f>
        <v>146.89930000000001</v>
      </c>
      <c r="D254">
        <f>87.75</f>
        <v>87.75</v>
      </c>
      <c r="E254">
        <f>3141.35</f>
        <v>3141.35</v>
      </c>
      <c r="F254">
        <f>162.27</f>
        <v>162.27000000000001</v>
      </c>
      <c r="G254">
        <f>280.4531</f>
        <v>280.45310000000001</v>
      </c>
      <c r="H254">
        <f>259.81</f>
        <v>259.81</v>
      </c>
      <c r="I254">
        <f>490.56</f>
        <v>490.56</v>
      </c>
      <c r="J254">
        <f>4522.68</f>
        <v>4522.68</v>
      </c>
    </row>
    <row r="255" spans="1:10" x14ac:dyDescent="0.25">
      <c r="A255" s="1">
        <v>44438</v>
      </c>
      <c r="B255">
        <f>171.95</f>
        <v>171.95</v>
      </c>
      <c r="C255">
        <f>147.2366</f>
        <v>147.23660000000001</v>
      </c>
      <c r="D255">
        <f>87.33</f>
        <v>87.33</v>
      </c>
      <c r="E255">
        <f>3146.63</f>
        <v>3146.63</v>
      </c>
      <c r="F255">
        <f>163.78</f>
        <v>163.78</v>
      </c>
      <c r="G255">
        <f>280.3677</f>
        <v>280.36770000000001</v>
      </c>
      <c r="H255">
        <f>259.15</f>
        <v>259.14999999999998</v>
      </c>
      <c r="I255">
        <f>489.59</f>
        <v>489.59</v>
      </c>
      <c r="J255">
        <f>4528.79</f>
        <v>4528.79</v>
      </c>
    </row>
    <row r="256" spans="1:10" x14ac:dyDescent="0.25">
      <c r="A256" s="1">
        <v>44435</v>
      </c>
      <c r="B256">
        <f>172.19</f>
        <v>172.19</v>
      </c>
      <c r="C256">
        <f>148.5811</f>
        <v>148.58109999999999</v>
      </c>
      <c r="D256">
        <f>88</f>
        <v>88</v>
      </c>
      <c r="E256">
        <f>3133.67</f>
        <v>3133.67</v>
      </c>
      <c r="F256">
        <f>164.57</f>
        <v>164.57</v>
      </c>
      <c r="G256">
        <f>279.0165</f>
        <v>279.01650000000001</v>
      </c>
      <c r="H256">
        <f>256.74</f>
        <v>256.74</v>
      </c>
      <c r="I256">
        <f>491.92</f>
        <v>491.92</v>
      </c>
      <c r="J256">
        <f>4509.37</f>
        <v>4509.37</v>
      </c>
    </row>
    <row r="257" spans="1:10" x14ac:dyDescent="0.25">
      <c r="A257" s="1">
        <v>44434</v>
      </c>
      <c r="B257">
        <f>168.82</f>
        <v>168.82</v>
      </c>
      <c r="C257">
        <f>147.3108</f>
        <v>147.3108</v>
      </c>
      <c r="D257">
        <f>87.44</f>
        <v>87.44</v>
      </c>
      <c r="E257">
        <f>3110.27</f>
        <v>3110.27</v>
      </c>
      <c r="F257">
        <f>161.27</f>
        <v>161.27000000000001</v>
      </c>
      <c r="G257">
        <f>277.9065</f>
        <v>277.90649999999999</v>
      </c>
      <c r="H257">
        <f>254.57</f>
        <v>254.57</v>
      </c>
      <c r="I257">
        <f>488.25</f>
        <v>488.25</v>
      </c>
      <c r="J257">
        <f>4470</f>
        <v>4470</v>
      </c>
    </row>
    <row r="258" spans="1:10" x14ac:dyDescent="0.25">
      <c r="A258" s="1">
        <v>44433</v>
      </c>
      <c r="B258">
        <f>170.19</f>
        <v>170.19</v>
      </c>
      <c r="C258">
        <f>148.1414</f>
        <v>148.1414</v>
      </c>
      <c r="D258">
        <f>87.47</f>
        <v>87.47</v>
      </c>
      <c r="E258">
        <f>3125.83</f>
        <v>3125.83</v>
      </c>
      <c r="F258">
        <f>162.71</f>
        <v>162.71</v>
      </c>
      <c r="G258">
        <f>278.9529</f>
        <v>278.9529</v>
      </c>
      <c r="H258">
        <f>254.29</f>
        <v>254.29</v>
      </c>
      <c r="I258">
        <f>491.19</f>
        <v>491.19</v>
      </c>
      <c r="J258">
        <f>4496.19</f>
        <v>4496.1899999999996</v>
      </c>
    </row>
    <row r="259" spans="1:10" x14ac:dyDescent="0.25">
      <c r="A259" s="1">
        <v>44432</v>
      </c>
      <c r="B259">
        <f>169.55</f>
        <v>169.55</v>
      </c>
      <c r="C259">
        <f>146.9263</f>
        <v>146.9263</v>
      </c>
      <c r="D259">
        <f>86.41</f>
        <v>86.41</v>
      </c>
      <c r="E259">
        <f>3122</f>
        <v>3122</v>
      </c>
      <c r="F259">
        <f>162.12</f>
        <v>162.12</v>
      </c>
      <c r="G259">
        <f>279.9075</f>
        <v>279.90750000000003</v>
      </c>
      <c r="H259">
        <f>255.04</f>
        <v>255.04</v>
      </c>
      <c r="I259">
        <f>489.72</f>
        <v>489.72</v>
      </c>
      <c r="J259">
        <f>4486.23</f>
        <v>4486.2299999999996</v>
      </c>
    </row>
    <row r="260" spans="1:10" x14ac:dyDescent="0.25">
      <c r="A260" s="1">
        <v>44431</v>
      </c>
      <c r="B260">
        <f>167.18</f>
        <v>167.18</v>
      </c>
      <c r="C260">
        <f>146.0571</f>
        <v>146.05709999999999</v>
      </c>
      <c r="D260">
        <f>83.65</f>
        <v>83.65</v>
      </c>
      <c r="E260">
        <f>3112.57</f>
        <v>3112.57</v>
      </c>
      <c r="F260">
        <f>159.97</f>
        <v>159.97</v>
      </c>
      <c r="G260">
        <f>281.2693</f>
        <v>281.26929999999999</v>
      </c>
      <c r="H260">
        <f>256.05</f>
        <v>256.05</v>
      </c>
      <c r="I260">
        <f>485.93</f>
        <v>485.93</v>
      </c>
      <c r="J260">
        <f>4479.53</f>
        <v>4479.53</v>
      </c>
    </row>
    <row r="261" spans="1:10" x14ac:dyDescent="0.25">
      <c r="A261" s="1">
        <v>44428</v>
      </c>
      <c r="B261">
        <f>162.31</f>
        <v>162.31</v>
      </c>
      <c r="C261">
        <f>144.5782</f>
        <v>144.57820000000001</v>
      </c>
      <c r="D261">
        <f>81.92</f>
        <v>81.92</v>
      </c>
      <c r="E261">
        <f>3080.02</f>
        <v>3080.02</v>
      </c>
      <c r="F261">
        <f>154.96</f>
        <v>154.96</v>
      </c>
      <c r="G261">
        <f>280.6058</f>
        <v>280.60579999999999</v>
      </c>
      <c r="H261">
        <f>256.65</f>
        <v>256.64999999999998</v>
      </c>
      <c r="I261">
        <f>480.27</f>
        <v>480.27</v>
      </c>
      <c r="J261">
        <f>4441.67</f>
        <v>4441.67</v>
      </c>
    </row>
    <row r="262" spans="1:10" x14ac:dyDescent="0.25">
      <c r="A262" s="1">
        <v>44427</v>
      </c>
      <c r="B262">
        <f>162.29</f>
        <v>162.29</v>
      </c>
      <c r="C262">
        <f>144.0455</f>
        <v>144.0455</v>
      </c>
      <c r="D262">
        <f>82.49</f>
        <v>82.49</v>
      </c>
      <c r="E262">
        <f>3063.22</f>
        <v>3063.22</v>
      </c>
      <c r="F262">
        <f>154.65</f>
        <v>154.65</v>
      </c>
      <c r="G262">
        <f>280.0524</f>
        <v>280.05239999999998</v>
      </c>
      <c r="H262">
        <f>255.68</f>
        <v>255.68</v>
      </c>
      <c r="I262">
        <f>477.83</f>
        <v>477.83</v>
      </c>
      <c r="J262">
        <f>4405.8</f>
        <v>4405.8</v>
      </c>
    </row>
    <row r="263" spans="1:10" x14ac:dyDescent="0.25">
      <c r="A263" s="1">
        <v>44426</v>
      </c>
      <c r="B263">
        <f>167.26</f>
        <v>167.26</v>
      </c>
      <c r="C263">
        <f>145.9067</f>
        <v>145.9067</v>
      </c>
      <c r="D263">
        <f>84.03</f>
        <v>84.03</v>
      </c>
      <c r="E263">
        <f>3078.01</f>
        <v>3078.01</v>
      </c>
      <c r="F263">
        <f>159.74</f>
        <v>159.74</v>
      </c>
      <c r="G263">
        <f>279.9896</f>
        <v>279.9896</v>
      </c>
      <c r="H263">
        <f>255.28</f>
        <v>255.28</v>
      </c>
      <c r="I263">
        <f>487.09</f>
        <v>487.09</v>
      </c>
      <c r="J263">
        <f>4400.27</f>
        <v>4400.2700000000004</v>
      </c>
    </row>
    <row r="264" spans="1:10" x14ac:dyDescent="0.25">
      <c r="A264" s="1">
        <v>44425</v>
      </c>
      <c r="B264">
        <f>169.49</f>
        <v>169.49</v>
      </c>
      <c r="C264">
        <f>146.6009</f>
        <v>146.6009</v>
      </c>
      <c r="D264">
        <f>83.74</f>
        <v>83.74</v>
      </c>
      <c r="E264">
        <f>3100.12</f>
        <v>3100.12</v>
      </c>
      <c r="F264">
        <f>162.24</f>
        <v>162.24</v>
      </c>
      <c r="G264">
        <f>282.4642</f>
        <v>282.46420000000001</v>
      </c>
      <c r="H264">
        <f>256.52</f>
        <v>256.52</v>
      </c>
      <c r="I264">
        <f>491.19</f>
        <v>491.19</v>
      </c>
      <c r="J264">
        <f>4448.08</f>
        <v>4448.08</v>
      </c>
    </row>
    <row r="265" spans="1:10" x14ac:dyDescent="0.25">
      <c r="A265" s="1">
        <v>44424</v>
      </c>
      <c r="B265">
        <f>170.62</f>
        <v>170.62</v>
      </c>
      <c r="C265">
        <f>148.1085</f>
        <v>148.10849999999999</v>
      </c>
      <c r="D265">
        <f>85.45</f>
        <v>85.45</v>
      </c>
      <c r="E265">
        <f>3121.99</f>
        <v>3121.99</v>
      </c>
      <c r="F265">
        <f>163.23</f>
        <v>163.22999999999999</v>
      </c>
      <c r="G265">
        <f>282.6013</f>
        <v>282.60129999999998</v>
      </c>
      <c r="H265">
        <f>257.25</f>
        <v>257.25</v>
      </c>
      <c r="I265">
        <f>496.11</f>
        <v>496.11</v>
      </c>
      <c r="J265">
        <f>4479.71</f>
        <v>4479.71</v>
      </c>
    </row>
    <row r="266" spans="1:10" x14ac:dyDescent="0.25">
      <c r="A266" s="1">
        <v>44421</v>
      </c>
      <c r="B266">
        <f>172.93</f>
        <v>172.93</v>
      </c>
      <c r="C266">
        <f>148.8856</f>
        <v>148.88560000000001</v>
      </c>
      <c r="D266">
        <f>85.67</f>
        <v>85.67</v>
      </c>
      <c r="E266">
        <f>3125.12</f>
        <v>3125.12</v>
      </c>
      <c r="F266">
        <f>166.08</f>
        <v>166.08</v>
      </c>
      <c r="G266">
        <f>281.8371</f>
        <v>281.83710000000002</v>
      </c>
      <c r="H266">
        <f>257.12</f>
        <v>257.12</v>
      </c>
      <c r="I266">
        <f>497.87</f>
        <v>497.87</v>
      </c>
      <c r="J266">
        <f>4468</f>
        <v>4468</v>
      </c>
    </row>
    <row r="267" spans="1:10" x14ac:dyDescent="0.25">
      <c r="A267" s="1">
        <v>44420</v>
      </c>
      <c r="B267">
        <f>173.87</f>
        <v>173.87</v>
      </c>
      <c r="C267">
        <f>149.0905</f>
        <v>149.09049999999999</v>
      </c>
      <c r="D267">
        <f>86.23</f>
        <v>86.23</v>
      </c>
      <c r="E267">
        <f>3115.74</f>
        <v>3115.74</v>
      </c>
      <c r="F267">
        <f>167.4</f>
        <v>167.4</v>
      </c>
      <c r="G267">
        <f>279.4609</f>
        <v>279.46089999999998</v>
      </c>
      <c r="H267">
        <f>255.56</f>
        <v>255.56</v>
      </c>
      <c r="I267">
        <f>500.31</f>
        <v>500.31</v>
      </c>
      <c r="J267">
        <f>4460.83</f>
        <v>4460.83</v>
      </c>
    </row>
    <row r="268" spans="1:10" x14ac:dyDescent="0.25">
      <c r="A268" s="1">
        <v>44419</v>
      </c>
      <c r="B268">
        <f>174.64</f>
        <v>174.64</v>
      </c>
      <c r="C268">
        <f>149.1742</f>
        <v>149.17420000000001</v>
      </c>
      <c r="D268">
        <f>87.03</f>
        <v>87.03</v>
      </c>
      <c r="E268">
        <f>3109.97</f>
        <v>3109.97</v>
      </c>
      <c r="F268">
        <f>168.43</f>
        <v>168.43</v>
      </c>
      <c r="G268">
        <f>279.8322</f>
        <v>279.8322</v>
      </c>
      <c r="H268">
        <f>255.16</f>
        <v>255.16</v>
      </c>
      <c r="I268">
        <f>503.75</f>
        <v>503.75</v>
      </c>
      <c r="J268">
        <f>4447.7</f>
        <v>4447.7</v>
      </c>
    </row>
    <row r="269" spans="1:10" x14ac:dyDescent="0.25">
      <c r="A269" s="1">
        <v>44418</v>
      </c>
      <c r="B269">
        <f>173.16</f>
        <v>173.16</v>
      </c>
      <c r="C269">
        <f>147.6049</f>
        <v>147.60489999999999</v>
      </c>
      <c r="D269">
        <f>86.15</f>
        <v>86.15</v>
      </c>
      <c r="E269">
        <f>3099.49</f>
        <v>3099.49</v>
      </c>
      <c r="F269">
        <f>167.14</f>
        <v>167.14</v>
      </c>
      <c r="G269">
        <f>278.7861</f>
        <v>278.78609999999998</v>
      </c>
      <c r="H269">
        <f>253.64</f>
        <v>253.64</v>
      </c>
      <c r="I269">
        <f>499.41</f>
        <v>499.41</v>
      </c>
      <c r="J269">
        <f>4436.75</f>
        <v>4436.75</v>
      </c>
    </row>
    <row r="270" spans="1:10" x14ac:dyDescent="0.25">
      <c r="A270" s="1">
        <v>44417</v>
      </c>
      <c r="B270">
        <f>171.18</f>
        <v>171.18</v>
      </c>
      <c r="C270">
        <f>146.495</f>
        <v>146.495</v>
      </c>
      <c r="D270">
        <f>85.01</f>
        <v>85.01</v>
      </c>
      <c r="E270">
        <f>3097.06</f>
        <v>3097.06</v>
      </c>
      <c r="F270">
        <f>165.03</f>
        <v>165.03</v>
      </c>
      <c r="G270">
        <f>277.7157</f>
        <v>277.71570000000003</v>
      </c>
      <c r="H270">
        <f>256.3</f>
        <v>256.3</v>
      </c>
      <c r="I270">
        <f>496.24</f>
        <v>496.24</v>
      </c>
      <c r="J270">
        <f>4432.35</f>
        <v>4432.3500000000004</v>
      </c>
    </row>
    <row r="271" spans="1:10" x14ac:dyDescent="0.25">
      <c r="A271" s="1">
        <v>44414</v>
      </c>
      <c r="B271">
        <f>172.93</f>
        <v>172.93</v>
      </c>
      <c r="C271">
        <f>146.1454</f>
        <v>146.1454</v>
      </c>
      <c r="D271">
        <f>85.7</f>
        <v>85.7</v>
      </c>
      <c r="E271">
        <f>3098.06</f>
        <v>3098.06</v>
      </c>
      <c r="F271">
        <f>167</f>
        <v>167</v>
      </c>
      <c r="G271">
        <f>277.1838</f>
        <v>277.18380000000002</v>
      </c>
      <c r="H271">
        <f>257.29</f>
        <v>257.29000000000002</v>
      </c>
      <c r="I271">
        <f>500.31</f>
        <v>500.31</v>
      </c>
      <c r="J271">
        <f>4436.52</f>
        <v>4436.5200000000004</v>
      </c>
    </row>
    <row r="272" spans="1:10" x14ac:dyDescent="0.25">
      <c r="A272" s="1">
        <v>44413</v>
      </c>
      <c r="B272">
        <f>172.7</f>
        <v>172.7</v>
      </c>
      <c r="C272">
        <f>144.3581</f>
        <v>144.35810000000001</v>
      </c>
      <c r="D272">
        <f>85.45</f>
        <v>85.45</v>
      </c>
      <c r="E272">
        <f>3102.23</f>
        <v>3102.23</v>
      </c>
      <c r="F272">
        <f>166.34</f>
        <v>166.34</v>
      </c>
      <c r="G272">
        <f>278.1451</f>
        <v>278.14510000000001</v>
      </c>
      <c r="H272">
        <f>258.3</f>
        <v>258.3</v>
      </c>
      <c r="I272">
        <f>498.03</f>
        <v>498.03</v>
      </c>
      <c r="J272">
        <f>4429.1</f>
        <v>4429.1000000000004</v>
      </c>
    </row>
    <row r="273" spans="1:10" x14ac:dyDescent="0.25">
      <c r="A273" s="1">
        <v>44412</v>
      </c>
      <c r="B273">
        <f>170.88</f>
        <v>170.88</v>
      </c>
      <c r="C273">
        <f>142.97</f>
        <v>142.97</v>
      </c>
      <c r="D273">
        <f>84.61</f>
        <v>84.61</v>
      </c>
      <c r="E273">
        <f>3085.83</f>
        <v>3085.83</v>
      </c>
      <c r="F273">
        <f>164.69</f>
        <v>164.69</v>
      </c>
      <c r="G273">
        <f>277.2903</f>
        <v>277.2903</v>
      </c>
      <c r="H273">
        <f>256.71</f>
        <v>256.70999999999998</v>
      </c>
      <c r="I273">
        <f>492.16</f>
        <v>492.16</v>
      </c>
      <c r="J273">
        <f>4402.66</f>
        <v>4402.66</v>
      </c>
    </row>
    <row r="274" spans="1:10" x14ac:dyDescent="0.25">
      <c r="A274" s="1">
        <v>44411</v>
      </c>
      <c r="B274">
        <f>173.57</f>
        <v>173.57</v>
      </c>
      <c r="C274">
        <f>143.1339</f>
        <v>143.13390000000001</v>
      </c>
      <c r="D274">
        <f>85.32</f>
        <v>85.32</v>
      </c>
      <c r="E274">
        <f>3092.51</f>
        <v>3092.51</v>
      </c>
      <c r="F274">
        <f>167.66</f>
        <v>167.66</v>
      </c>
      <c r="G274">
        <f>279.6713</f>
        <v>279.67129999999997</v>
      </c>
      <c r="H274">
        <f>257.03</f>
        <v>257.02999999999997</v>
      </c>
      <c r="I274">
        <f>498.95</f>
        <v>498.95</v>
      </c>
      <c r="J274">
        <f>4423.15</f>
        <v>4423.1499999999996</v>
      </c>
    </row>
    <row r="275" spans="1:10" x14ac:dyDescent="0.25">
      <c r="A275" s="1">
        <v>44410</v>
      </c>
      <c r="B275">
        <f>171.52</f>
        <v>171.52</v>
      </c>
      <c r="C275">
        <f>142.3868</f>
        <v>142.38679999999999</v>
      </c>
      <c r="D275">
        <f>85.6</f>
        <v>85.6</v>
      </c>
      <c r="E275">
        <f>3077.11</f>
        <v>3077.11</v>
      </c>
      <c r="F275">
        <f>165.14</f>
        <v>165.14</v>
      </c>
      <c r="G275">
        <f>279.1111</f>
        <v>279.11110000000002</v>
      </c>
      <c r="H275">
        <f>256.74</f>
        <v>256.74</v>
      </c>
      <c r="I275">
        <f>497.02</f>
        <v>497.02</v>
      </c>
      <c r="J275">
        <f>4387.16</f>
        <v>4387.16</v>
      </c>
    </row>
    <row r="276" spans="1:10" x14ac:dyDescent="0.25">
      <c r="A276" s="1">
        <v>44407</v>
      </c>
      <c r="B276">
        <f>171.5</f>
        <v>171.5</v>
      </c>
      <c r="C276">
        <f>142.0249</f>
        <v>142.0249</v>
      </c>
      <c r="D276">
        <f>86.26</f>
        <v>86.26</v>
      </c>
      <c r="E276">
        <f>3069.25</f>
        <v>3069.25</v>
      </c>
      <c r="F276">
        <f>165.34</f>
        <v>165.34</v>
      </c>
      <c r="G276">
        <f>278.4941</f>
        <v>278.4941</v>
      </c>
      <c r="H276">
        <f>255.89</f>
        <v>255.89</v>
      </c>
      <c r="I276">
        <f>497.2</f>
        <v>497.2</v>
      </c>
      <c r="J276">
        <f>4395.26</f>
        <v>4395.26</v>
      </c>
    </row>
    <row r="277" spans="1:10" x14ac:dyDescent="0.25">
      <c r="A277" s="1">
        <v>44406</v>
      </c>
      <c r="B277">
        <f>174.39</f>
        <v>174.39</v>
      </c>
      <c r="C277">
        <f>143.1227</f>
        <v>143.12270000000001</v>
      </c>
      <c r="D277">
        <f>88.01</f>
        <v>88.01</v>
      </c>
      <c r="E277">
        <f>3089.82</f>
        <v>3089.82</v>
      </c>
      <c r="F277">
        <f>168.15</f>
        <v>168.15</v>
      </c>
      <c r="G277">
        <f>278.7546</f>
        <v>278.75459999999998</v>
      </c>
      <c r="H277">
        <f>255.79</f>
        <v>255.79</v>
      </c>
      <c r="I277">
        <f>502.61</f>
        <v>502.61</v>
      </c>
      <c r="J277">
        <f>4419.15</f>
        <v>4419.1499999999996</v>
      </c>
    </row>
    <row r="278" spans="1:10" x14ac:dyDescent="0.25">
      <c r="A278" s="1">
        <v>44405</v>
      </c>
      <c r="B278">
        <f>171.95</f>
        <v>171.95</v>
      </c>
      <c r="C278">
        <f>141.1622</f>
        <v>141.16220000000001</v>
      </c>
      <c r="D278">
        <f>87.84</f>
        <v>87.84</v>
      </c>
      <c r="E278">
        <f>3069.49</f>
        <v>3069.49</v>
      </c>
      <c r="F278">
        <f>165.66</f>
        <v>165.66</v>
      </c>
      <c r="G278">
        <f>276.8878</f>
        <v>276.88780000000003</v>
      </c>
      <c r="H278">
        <f>255.93</f>
        <v>255.93</v>
      </c>
      <c r="I278">
        <f>500.5</f>
        <v>500.5</v>
      </c>
      <c r="J278">
        <f>4400.64</f>
        <v>4400.6400000000003</v>
      </c>
    </row>
    <row r="279" spans="1:10" x14ac:dyDescent="0.25">
      <c r="A279" s="1">
        <v>44404</v>
      </c>
      <c r="B279">
        <f>170.9</f>
        <v>170.9</v>
      </c>
      <c r="C279">
        <f>141.5129</f>
        <v>141.5129</v>
      </c>
      <c r="D279">
        <f>88.16</f>
        <v>88.16</v>
      </c>
      <c r="E279">
        <f>3068.87</f>
        <v>3068.87</v>
      </c>
      <c r="F279">
        <f>164.74</f>
        <v>164.74</v>
      </c>
      <c r="G279">
        <f>278.6907</f>
        <v>278.69069999999999</v>
      </c>
      <c r="H279">
        <f>256.65</f>
        <v>256.64999999999998</v>
      </c>
      <c r="I279">
        <f>495.87</f>
        <v>495.87</v>
      </c>
      <c r="J279">
        <f>4401.46</f>
        <v>4401.46</v>
      </c>
    </row>
    <row r="280" spans="1:10" x14ac:dyDescent="0.25">
      <c r="A280" s="1">
        <v>44403</v>
      </c>
      <c r="B280">
        <f>172.05</f>
        <v>172.05</v>
      </c>
      <c r="C280">
        <f>141.6419</f>
        <v>141.64189999999999</v>
      </c>
      <c r="D280">
        <f>87.88</f>
        <v>87.88</v>
      </c>
      <c r="E280">
        <f>3080.41</f>
        <v>3080.41</v>
      </c>
      <c r="F280">
        <f>165.93</f>
        <v>165.93</v>
      </c>
      <c r="G280">
        <f>278.2102</f>
        <v>278.21019999999999</v>
      </c>
      <c r="H280">
        <f>254.91</f>
        <v>254.91</v>
      </c>
      <c r="I280">
        <f>492.88</f>
        <v>492.88</v>
      </c>
      <c r="J280">
        <f>4422.3</f>
        <v>4422.3</v>
      </c>
    </row>
    <row r="281" spans="1:10" x14ac:dyDescent="0.25">
      <c r="A281" s="1">
        <v>44400</v>
      </c>
      <c r="B281">
        <f>169.02</f>
        <v>169.02</v>
      </c>
      <c r="C281">
        <f>140.77</f>
        <v>140.77000000000001</v>
      </c>
      <c r="D281">
        <f>86.86</f>
        <v>86.86</v>
      </c>
      <c r="E281">
        <f>3072.38</f>
        <v>3072.38</v>
      </c>
      <c r="F281">
        <f>162.21</f>
        <v>162.21</v>
      </c>
      <c r="G281">
        <f>278.1583</f>
        <v>278.1583</v>
      </c>
      <c r="H281">
        <f>255.13</f>
        <v>255.13</v>
      </c>
      <c r="I281">
        <f>492.82</f>
        <v>492.82</v>
      </c>
      <c r="J281">
        <f>4411.79</f>
        <v>4411.79</v>
      </c>
    </row>
    <row r="282" spans="1:10" x14ac:dyDescent="0.25">
      <c r="A282" s="1">
        <v>44399</v>
      </c>
      <c r="B282">
        <f>169.6</f>
        <v>169.6</v>
      </c>
      <c r="C282">
        <f>140.6403</f>
        <v>140.6403</v>
      </c>
      <c r="D282">
        <f>87.57</f>
        <v>87.57</v>
      </c>
      <c r="E282">
        <f>3046.6</f>
        <v>3046.6</v>
      </c>
      <c r="F282">
        <f>162.76</f>
        <v>162.76</v>
      </c>
      <c r="G282">
        <f>275.477</f>
        <v>275.47699999999998</v>
      </c>
      <c r="H282">
        <f>253.94</f>
        <v>253.94</v>
      </c>
      <c r="I282">
        <f>490.2</f>
        <v>490.2</v>
      </c>
      <c r="J282">
        <f>4367.48</f>
        <v>4367.4799999999996</v>
      </c>
    </row>
    <row r="283" spans="1:10" x14ac:dyDescent="0.25">
      <c r="A283" s="1">
        <v>44398</v>
      </c>
      <c r="B283">
        <f>170.14</f>
        <v>170.14</v>
      </c>
      <c r="C283">
        <f>140.9857</f>
        <v>140.98570000000001</v>
      </c>
      <c r="D283">
        <f>87.77</f>
        <v>87.77</v>
      </c>
      <c r="E283">
        <f>3036.72</f>
        <v>3036.72</v>
      </c>
      <c r="F283">
        <f>163.88</f>
        <v>163.88</v>
      </c>
      <c r="G283">
        <f>276.6481</f>
        <v>276.6481</v>
      </c>
      <c r="H283">
        <f>254.48</f>
        <v>254.48</v>
      </c>
      <c r="I283">
        <f>492.72</f>
        <v>492.72</v>
      </c>
      <c r="J283">
        <f>4358.69</f>
        <v>4358.6899999999996</v>
      </c>
    </row>
    <row r="284" spans="1:10" x14ac:dyDescent="0.25">
      <c r="A284" s="1">
        <v>44397</v>
      </c>
      <c r="B284">
        <f>165.68</f>
        <v>165.68</v>
      </c>
      <c r="C284">
        <f>138.3806</f>
        <v>138.38059999999999</v>
      </c>
      <c r="D284">
        <f>86.74</f>
        <v>86.74</v>
      </c>
      <c r="E284">
        <f>3005.86</f>
        <v>3005.86</v>
      </c>
      <c r="F284">
        <f>158.83</f>
        <v>158.83000000000001</v>
      </c>
      <c r="G284">
        <f>276.0712</f>
        <v>276.07119999999998</v>
      </c>
      <c r="H284">
        <f>254.29</f>
        <v>254.29</v>
      </c>
      <c r="I284">
        <f>482.49</f>
        <v>482.49</v>
      </c>
      <c r="J284">
        <f>4323.06</f>
        <v>4323.0600000000004</v>
      </c>
    </row>
    <row r="285" spans="1:10" x14ac:dyDescent="0.25">
      <c r="A285" s="1">
        <v>44396</v>
      </c>
      <c r="B285">
        <f>164.61</f>
        <v>164.61</v>
      </c>
      <c r="C285">
        <f>136.2997</f>
        <v>136.2997</v>
      </c>
      <c r="D285">
        <f>85.68</f>
        <v>85.68</v>
      </c>
      <c r="E285">
        <f>2975.55</f>
        <v>2975.55</v>
      </c>
      <c r="F285">
        <f>157.6</f>
        <v>157.6</v>
      </c>
      <c r="G285">
        <f>276.3426</f>
        <v>276.3426</v>
      </c>
      <c r="H285">
        <f>251.55</f>
        <v>251.55</v>
      </c>
      <c r="I285">
        <f>467.49</f>
        <v>467.49</v>
      </c>
      <c r="J285">
        <f>4258.49</f>
        <v>4258.49</v>
      </c>
    </row>
    <row r="286" spans="1:10" x14ac:dyDescent="0.25">
      <c r="A286" s="1">
        <v>44393</v>
      </c>
      <c r="B286">
        <f>170.56</f>
        <v>170.56</v>
      </c>
      <c r="C286">
        <f>140.2384</f>
        <v>140.23840000000001</v>
      </c>
      <c r="D286">
        <f>87.73</f>
        <v>87.73</v>
      </c>
      <c r="E286">
        <f>3024.66</f>
        <v>3024.66</v>
      </c>
      <c r="F286">
        <f>163.84</f>
        <v>163.84</v>
      </c>
      <c r="G286">
        <f>278.4758</f>
        <v>278.47579999999999</v>
      </c>
      <c r="H286">
        <f>255.29</f>
        <v>255.29</v>
      </c>
      <c r="I286">
        <f>484.82</f>
        <v>484.82</v>
      </c>
      <c r="J286">
        <f>4327.16</f>
        <v>4327.16</v>
      </c>
    </row>
    <row r="287" spans="1:10" x14ac:dyDescent="0.25">
      <c r="A287" s="1">
        <v>44392</v>
      </c>
      <c r="B287">
        <f>173.62</f>
        <v>173.62</v>
      </c>
      <c r="C287">
        <f>141.6747</f>
        <v>141.6747</v>
      </c>
      <c r="D287">
        <f>88.66</f>
        <v>88.66</v>
      </c>
      <c r="E287">
        <f>3043.52</f>
        <v>3043.52</v>
      </c>
      <c r="F287">
        <f>167.32</f>
        <v>167.32</v>
      </c>
      <c r="G287">
        <f>277.8417</f>
        <v>277.8417</v>
      </c>
      <c r="H287">
        <f>254.83</f>
        <v>254.83</v>
      </c>
      <c r="I287">
        <f>487.88</f>
        <v>487.88</v>
      </c>
      <c r="J287">
        <f>4360.03</f>
        <v>4360.03</v>
      </c>
    </row>
    <row r="288" spans="1:10" x14ac:dyDescent="0.25">
      <c r="A288" s="1">
        <v>44391</v>
      </c>
      <c r="B288">
        <f>176.08</f>
        <v>176.08</v>
      </c>
      <c r="C288">
        <f>141.6448</f>
        <v>141.6448</v>
      </c>
      <c r="D288">
        <f>88.78</f>
        <v>88.78</v>
      </c>
      <c r="E288">
        <f>3058.59</f>
        <v>3058.59</v>
      </c>
      <c r="F288">
        <f>169.7</f>
        <v>169.7</v>
      </c>
      <c r="G288">
        <f>277.9208</f>
        <v>277.92079999999999</v>
      </c>
      <c r="H288">
        <f>254.85</f>
        <v>254.85</v>
      </c>
      <c r="I288">
        <f>489.72</f>
        <v>489.72</v>
      </c>
      <c r="J288">
        <f>4374.3</f>
        <v>4374.3</v>
      </c>
    </row>
    <row r="289" spans="1:10" x14ac:dyDescent="0.25">
      <c r="A289" s="1">
        <v>44390</v>
      </c>
      <c r="B289">
        <f>178.83</f>
        <v>178.83</v>
      </c>
      <c r="C289">
        <f>142.0708</f>
        <v>142.07079999999999</v>
      </c>
      <c r="D289">
        <f>89.66</f>
        <v>89.66</v>
      </c>
      <c r="E289">
        <f>3059.28</f>
        <v>3059.28</v>
      </c>
      <c r="F289">
        <f>172.64</f>
        <v>172.64</v>
      </c>
      <c r="G289">
        <f>276.7768</f>
        <v>276.77679999999998</v>
      </c>
      <c r="H289">
        <f>253.74</f>
        <v>253.74</v>
      </c>
      <c r="I289">
        <f>492.42</f>
        <v>492.42</v>
      </c>
      <c r="J289">
        <f>4369.21</f>
        <v>4369.21</v>
      </c>
    </row>
    <row r="290" spans="1:10" x14ac:dyDescent="0.25">
      <c r="A290" s="1">
        <v>44389</v>
      </c>
      <c r="B290">
        <f>179.76</f>
        <v>179.76</v>
      </c>
      <c r="C290">
        <f>143.2289</f>
        <v>143.22890000000001</v>
      </c>
      <c r="D290">
        <f>90.64</f>
        <v>90.64</v>
      </c>
      <c r="E290">
        <f>3068.27</f>
        <v>3068.27</v>
      </c>
      <c r="F290">
        <f>173.92</f>
        <v>173.92</v>
      </c>
      <c r="G290">
        <f>276.6318</f>
        <v>276.6318</v>
      </c>
      <c r="H290">
        <f>256.12</f>
        <v>256.12</v>
      </c>
      <c r="I290">
        <f>499.33</f>
        <v>499.33</v>
      </c>
      <c r="J290">
        <f>4384.63</f>
        <v>4384.63</v>
      </c>
    </row>
    <row r="291" spans="1:10" x14ac:dyDescent="0.25">
      <c r="A291" s="1">
        <v>44386</v>
      </c>
      <c r="B291">
        <f>179.87</f>
        <v>179.87</v>
      </c>
      <c r="C291">
        <f>141.9557</f>
        <v>141.95570000000001</v>
      </c>
      <c r="D291">
        <f>90.84</f>
        <v>90.84</v>
      </c>
      <c r="E291">
        <f>3053.12</f>
        <v>3053.12</v>
      </c>
      <c r="F291">
        <f>174.15</f>
        <v>174.15</v>
      </c>
      <c r="G291">
        <f>276.0141</f>
        <v>276.01409999999998</v>
      </c>
      <c r="H291">
        <f>253.71</f>
        <v>253.71</v>
      </c>
      <c r="I291">
        <f>502.81</f>
        <v>502.81</v>
      </c>
      <c r="J291">
        <f>4369.55</f>
        <v>4369.55</v>
      </c>
    </row>
    <row r="292" spans="1:10" x14ac:dyDescent="0.25">
      <c r="A292" s="1">
        <v>44385</v>
      </c>
      <c r="B292">
        <f>177.46</f>
        <v>177.46</v>
      </c>
      <c r="C292">
        <f>139.0173</f>
        <v>139.01730000000001</v>
      </c>
      <c r="D292">
        <f>90.11</f>
        <v>90.11</v>
      </c>
      <c r="E292">
        <f>3022.24</f>
        <v>3022.24</v>
      </c>
      <c r="F292">
        <f>171.44</f>
        <v>171.44</v>
      </c>
      <c r="G292">
        <f>274.9353</f>
        <v>274.93529999999998</v>
      </c>
      <c r="H292">
        <f>251.21</f>
        <v>251.21</v>
      </c>
      <c r="I292">
        <f>495.43</f>
        <v>495.43</v>
      </c>
      <c r="J292">
        <f>4320.82</f>
        <v>4320.82</v>
      </c>
    </row>
    <row r="293" spans="1:10" x14ac:dyDescent="0.25">
      <c r="A293" s="1">
        <v>44384</v>
      </c>
      <c r="B293">
        <f>178.9</f>
        <v>178.9</v>
      </c>
      <c r="C293">
        <f>141.5413</f>
        <v>141.54130000000001</v>
      </c>
      <c r="D293">
        <f>90.92</f>
        <v>90.92</v>
      </c>
      <c r="E293">
        <f>3049.66</f>
        <v>3049.66</v>
      </c>
      <c r="F293">
        <f>172.37</f>
        <v>172.37</v>
      </c>
      <c r="G293">
        <f>276.4118</f>
        <v>276.41180000000003</v>
      </c>
      <c r="H293">
        <f>251.7</f>
        <v>251.7</v>
      </c>
      <c r="I293">
        <f>495.85</f>
        <v>495.85</v>
      </c>
      <c r="J293">
        <f>4358.13</f>
        <v>4358.13</v>
      </c>
    </row>
    <row r="294" spans="1:10" x14ac:dyDescent="0.25">
      <c r="A294" s="1">
        <v>44383</v>
      </c>
      <c r="B294">
        <f>181.25</f>
        <v>181.25</v>
      </c>
      <c r="C294">
        <f>141.5703</f>
        <v>141.5703</v>
      </c>
      <c r="D294">
        <f>92.57</f>
        <v>92.57</v>
      </c>
      <c r="E294">
        <f>3042.63</f>
        <v>3042.63</v>
      </c>
      <c r="F294">
        <f>174.85</f>
        <v>174.85</v>
      </c>
      <c r="G294">
        <f>274.9083</f>
        <v>274.9083</v>
      </c>
      <c r="H294">
        <f>250.98</f>
        <v>250.98</v>
      </c>
      <c r="I294">
        <f>496.23</f>
        <v>496.23</v>
      </c>
      <c r="J294">
        <f>4343.54</f>
        <v>4343.54</v>
      </c>
    </row>
    <row r="295" spans="1:10" x14ac:dyDescent="0.25">
      <c r="A295" s="1">
        <v>44382</v>
      </c>
      <c r="B295">
        <f>185.64</f>
        <v>185.64</v>
      </c>
      <c r="C295">
        <f>143.504</f>
        <v>143.50399999999999</v>
      </c>
      <c r="D295">
        <f>92.62</f>
        <v>92.62</v>
      </c>
      <c r="E295">
        <f>3049.84</f>
        <v>3049.84</v>
      </c>
      <c r="F295">
        <f>179.34</f>
        <v>179.34</v>
      </c>
      <c r="G295">
        <f>276.0375</f>
        <v>276.03750000000002</v>
      </c>
      <c r="H295">
        <f>249.32</f>
        <v>249.32</v>
      </c>
      <c r="I295">
        <f>500.86</f>
        <v>500.86</v>
      </c>
      <c r="J295" t="e">
        <f>NA()</f>
        <v>#N/A</v>
      </c>
    </row>
    <row r="296" spans="1:10" x14ac:dyDescent="0.25">
      <c r="A296" s="1">
        <v>44379</v>
      </c>
      <c r="B296">
        <f>184.75</f>
        <v>184.75</v>
      </c>
      <c r="C296">
        <f>143.0035</f>
        <v>143.0035</v>
      </c>
      <c r="D296">
        <f>91.32</f>
        <v>91.32</v>
      </c>
      <c r="E296">
        <f>3046.09</f>
        <v>3046.09</v>
      </c>
      <c r="F296">
        <f>178.5</f>
        <v>178.5</v>
      </c>
      <c r="G296">
        <f>275.7472</f>
        <v>275.74720000000002</v>
      </c>
      <c r="H296">
        <f>248.63</f>
        <v>248.63</v>
      </c>
      <c r="I296">
        <f>499.66</f>
        <v>499.66</v>
      </c>
      <c r="J296">
        <f>4352.34</f>
        <v>4352.34</v>
      </c>
    </row>
    <row r="297" spans="1:10" x14ac:dyDescent="0.25">
      <c r="A297" s="1">
        <v>44378</v>
      </c>
      <c r="B297">
        <f>184.88</f>
        <v>184.88</v>
      </c>
      <c r="C297">
        <f>143.2241</f>
        <v>143.22409999999999</v>
      </c>
      <c r="D297">
        <f>90.88</f>
        <v>90.88</v>
      </c>
      <c r="E297">
        <f>3028.2</f>
        <v>3028.2</v>
      </c>
      <c r="F297">
        <f>178.63</f>
        <v>178.63</v>
      </c>
      <c r="G297">
        <f>275.1716</f>
        <v>275.17160000000001</v>
      </c>
      <c r="H297">
        <f>247.09</f>
        <v>247.09</v>
      </c>
      <c r="I297">
        <f>498.69</f>
        <v>498.69</v>
      </c>
      <c r="J297">
        <f>4319.94</f>
        <v>4319.9399999999996</v>
      </c>
    </row>
    <row r="298" spans="1:10" x14ac:dyDescent="0.25">
      <c r="A298" s="1">
        <v>44377</v>
      </c>
      <c r="B298">
        <f>182.86</f>
        <v>182.86</v>
      </c>
      <c r="C298">
        <f>142.4134</f>
        <v>142.4134</v>
      </c>
      <c r="D298">
        <f>90.19</f>
        <v>90.19</v>
      </c>
      <c r="E298">
        <f>3017.23</f>
        <v>3017.23</v>
      </c>
      <c r="F298">
        <f>176.26</f>
        <v>176.26</v>
      </c>
      <c r="G298">
        <f>275.3538</f>
        <v>275.35379999999998</v>
      </c>
      <c r="H298">
        <f>246.96</f>
        <v>246.96</v>
      </c>
      <c r="I298">
        <f>494.86</f>
        <v>494.86</v>
      </c>
      <c r="J298">
        <f>4297.5</f>
        <v>4297.5</v>
      </c>
    </row>
    <row r="299" spans="1:10" x14ac:dyDescent="0.25">
      <c r="A299" s="1">
        <v>44376</v>
      </c>
      <c r="B299">
        <f>181.92</f>
        <v>181.92</v>
      </c>
      <c r="C299">
        <f>142.5855</f>
        <v>142.5855</v>
      </c>
      <c r="D299">
        <f>90.03</f>
        <v>90.03</v>
      </c>
      <c r="E299">
        <f>3024.44</f>
        <v>3024.44</v>
      </c>
      <c r="F299">
        <f>175.39</f>
        <v>175.39</v>
      </c>
      <c r="G299">
        <f>275.3993</f>
        <v>275.39929999999998</v>
      </c>
      <c r="H299">
        <f>248.65</f>
        <v>248.65</v>
      </c>
      <c r="I299">
        <f>490.61</f>
        <v>490.61</v>
      </c>
      <c r="J299">
        <f>4291.8</f>
        <v>4291.8</v>
      </c>
    </row>
    <row r="300" spans="1:10" x14ac:dyDescent="0.25">
      <c r="A300" s="1">
        <v>44375</v>
      </c>
      <c r="B300">
        <f>182.95</f>
        <v>182.95</v>
      </c>
      <c r="C300">
        <f>143.0379</f>
        <v>143.03790000000001</v>
      </c>
      <c r="D300">
        <f>90.76</f>
        <v>90.76</v>
      </c>
      <c r="E300">
        <f>3025.22</f>
        <v>3025.22</v>
      </c>
      <c r="F300">
        <f>176.25</f>
        <v>176.25</v>
      </c>
      <c r="G300">
        <f>276.4472</f>
        <v>276.44720000000001</v>
      </c>
      <c r="H300">
        <f>249.82</f>
        <v>249.82</v>
      </c>
      <c r="I300">
        <f>497.15</f>
        <v>497.15</v>
      </c>
      <c r="J300">
        <f>4290.61</f>
        <v>4290.6099999999997</v>
      </c>
    </row>
    <row r="301" spans="1:10" x14ac:dyDescent="0.25">
      <c r="A301" s="1">
        <v>44372</v>
      </c>
      <c r="B301">
        <f>187.74</f>
        <v>187.74</v>
      </c>
      <c r="C301">
        <f>144.345</f>
        <v>144.345</v>
      </c>
      <c r="D301">
        <f>92.78</f>
        <v>92.78</v>
      </c>
      <c r="E301">
        <f>3024.94</f>
        <v>3024.94</v>
      </c>
      <c r="F301">
        <f>181.53</f>
        <v>181.53</v>
      </c>
      <c r="G301">
        <f>276.2759</f>
        <v>276.27589999999998</v>
      </c>
      <c r="H301">
        <f>250.44</f>
        <v>250.44</v>
      </c>
      <c r="I301">
        <f>507.62</f>
        <v>507.62</v>
      </c>
      <c r="J301">
        <f>4280.7</f>
        <v>4280.7</v>
      </c>
    </row>
    <row r="302" spans="1:10" x14ac:dyDescent="0.25">
      <c r="A302" s="1">
        <v>44371</v>
      </c>
      <c r="B302">
        <f>187.16</f>
        <v>187.16</v>
      </c>
      <c r="C302">
        <f>142.8993</f>
        <v>142.89930000000001</v>
      </c>
      <c r="D302">
        <f>92.56</f>
        <v>92.56</v>
      </c>
      <c r="E302">
        <f>3013.36</f>
        <v>3013.36</v>
      </c>
      <c r="F302">
        <f>180.76</f>
        <v>180.76</v>
      </c>
      <c r="G302">
        <f>274.7296</f>
        <v>274.7296</v>
      </c>
      <c r="H302">
        <f>249.17</f>
        <v>249.17</v>
      </c>
      <c r="I302">
        <f>508.16</f>
        <v>508.16</v>
      </c>
      <c r="J302">
        <f>4266.49</f>
        <v>4266.49</v>
      </c>
    </row>
    <row r="303" spans="1:10" x14ac:dyDescent="0.25">
      <c r="A303" s="1">
        <v>44370</v>
      </c>
      <c r="B303">
        <f>186.27</f>
        <v>186.27</v>
      </c>
      <c r="C303">
        <f>141.7904</f>
        <v>141.79040000000001</v>
      </c>
      <c r="D303">
        <f>93.64</f>
        <v>93.64</v>
      </c>
      <c r="E303">
        <f>2998</f>
        <v>2998</v>
      </c>
      <c r="F303">
        <f>179.83</f>
        <v>179.83</v>
      </c>
      <c r="G303">
        <f>274.1035</f>
        <v>274.1035</v>
      </c>
      <c r="H303">
        <f>250.05</f>
        <v>250.05</v>
      </c>
      <c r="I303">
        <f>504.6</f>
        <v>504.6</v>
      </c>
      <c r="J303">
        <f>4241.84</f>
        <v>4241.84</v>
      </c>
    </row>
    <row r="304" spans="1:10" x14ac:dyDescent="0.25">
      <c r="A304" s="1">
        <v>44369</v>
      </c>
      <c r="B304">
        <f>185.41</f>
        <v>185.41</v>
      </c>
      <c r="C304">
        <f>141.4683</f>
        <v>141.4683</v>
      </c>
      <c r="D304">
        <f>94.1</f>
        <v>94.1</v>
      </c>
      <c r="E304">
        <f>3001.14</f>
        <v>3001.14</v>
      </c>
      <c r="F304">
        <f>178.9</f>
        <v>178.9</v>
      </c>
      <c r="G304">
        <f>275.345</f>
        <v>275.34500000000003</v>
      </c>
      <c r="H304">
        <f>250.71</f>
        <v>250.71</v>
      </c>
      <c r="I304">
        <f>507.76</f>
        <v>507.76</v>
      </c>
      <c r="J304">
        <f>4246.44</f>
        <v>4246.4399999999996</v>
      </c>
    </row>
    <row r="305" spans="1:10" x14ac:dyDescent="0.25">
      <c r="A305" s="1">
        <v>44368</v>
      </c>
      <c r="B305">
        <f>184.04</f>
        <v>184.04</v>
      </c>
      <c r="C305">
        <f>141.1641</f>
        <v>141.16409999999999</v>
      </c>
      <c r="D305">
        <f>94.24</f>
        <v>94.24</v>
      </c>
      <c r="E305">
        <f>2982.11</f>
        <v>2982.11</v>
      </c>
      <c r="F305">
        <f>177.45</f>
        <v>177.45</v>
      </c>
      <c r="G305">
        <f>274.4878</f>
        <v>274.48779999999999</v>
      </c>
      <c r="H305">
        <f>250.24</f>
        <v>250.24</v>
      </c>
      <c r="I305">
        <f>509.36</f>
        <v>509.36</v>
      </c>
      <c r="J305">
        <f>4224.79</f>
        <v>4224.79</v>
      </c>
    </row>
    <row r="306" spans="1:10" x14ac:dyDescent="0.25">
      <c r="A306" s="1">
        <v>44365</v>
      </c>
      <c r="B306">
        <f>179.83</f>
        <v>179.83</v>
      </c>
      <c r="C306">
        <f>139.4371</f>
        <v>139.43709999999999</v>
      </c>
      <c r="D306">
        <f>94.43</f>
        <v>94.43</v>
      </c>
      <c r="E306">
        <f>2954.19</f>
        <v>2954.19</v>
      </c>
      <c r="F306">
        <f>172.61</f>
        <v>172.61</v>
      </c>
      <c r="G306">
        <f>272.2857</f>
        <v>272.28570000000002</v>
      </c>
      <c r="H306">
        <f>247.25</f>
        <v>247.25</v>
      </c>
      <c r="I306">
        <f>499.36</f>
        <v>499.36</v>
      </c>
      <c r="J306">
        <f>4166.45</f>
        <v>4166.45</v>
      </c>
    </row>
    <row r="307" spans="1:10" x14ac:dyDescent="0.25">
      <c r="A307" s="1">
        <v>44364</v>
      </c>
      <c r="B307">
        <f>184.92</f>
        <v>184.92</v>
      </c>
      <c r="C307">
        <f>142.8403</f>
        <v>142.84030000000001</v>
      </c>
      <c r="D307">
        <f>94.98</f>
        <v>94.98</v>
      </c>
      <c r="E307">
        <f>2996.51</f>
        <v>2996.51</v>
      </c>
      <c r="F307">
        <f>178.18</f>
        <v>178.18</v>
      </c>
      <c r="G307">
        <f>276.8651</f>
        <v>276.86509999999998</v>
      </c>
      <c r="H307">
        <f>250.31</f>
        <v>250.31</v>
      </c>
      <c r="I307">
        <f>506.06</f>
        <v>506.06</v>
      </c>
      <c r="J307">
        <f>4221.86</f>
        <v>4221.8599999999997</v>
      </c>
    </row>
    <row r="308" spans="1:10" x14ac:dyDescent="0.25">
      <c r="A308" s="1">
        <v>44363</v>
      </c>
      <c r="B308">
        <f>189.85</f>
        <v>189.85</v>
      </c>
      <c r="C308">
        <f>145.8028</f>
        <v>145.80279999999999</v>
      </c>
      <c r="D308">
        <f>96.14</f>
        <v>96.14</v>
      </c>
      <c r="E308">
        <f>3008.48</f>
        <v>3008.48</v>
      </c>
      <c r="F308">
        <f>183.42</f>
        <v>183.42</v>
      </c>
      <c r="G308">
        <f>277.7865</f>
        <v>277.78649999999999</v>
      </c>
      <c r="H308">
        <f>250.93</f>
        <v>250.93</v>
      </c>
      <c r="I308">
        <f>511.1</f>
        <v>511.1</v>
      </c>
      <c r="J308">
        <f>4223.7</f>
        <v>4223.7</v>
      </c>
    </row>
    <row r="309" spans="1:10" x14ac:dyDescent="0.25">
      <c r="A309" s="1">
        <v>44362</v>
      </c>
      <c r="B309">
        <f>190.36</f>
        <v>190.36</v>
      </c>
      <c r="C309">
        <f>145.7679</f>
        <v>145.7679</v>
      </c>
      <c r="D309">
        <f>96.87</f>
        <v>96.87</v>
      </c>
      <c r="E309">
        <f>3017.27</f>
        <v>3017.27</v>
      </c>
      <c r="F309">
        <f>184.18</f>
        <v>184.18</v>
      </c>
      <c r="G309">
        <f>279.4533</f>
        <v>279.45330000000001</v>
      </c>
      <c r="H309">
        <f>252.62</f>
        <v>252.62</v>
      </c>
      <c r="I309">
        <f>514.53</f>
        <v>514.53</v>
      </c>
      <c r="J309">
        <f>4246.59</f>
        <v>4246.59</v>
      </c>
    </row>
    <row r="310" spans="1:10" x14ac:dyDescent="0.25">
      <c r="A310" s="1">
        <v>44361</v>
      </c>
      <c r="B310">
        <f>188.43</f>
        <v>188.43</v>
      </c>
      <c r="C310">
        <f>145.418</f>
        <v>145.41800000000001</v>
      </c>
      <c r="D310">
        <f>98.04</f>
        <v>98.04</v>
      </c>
      <c r="E310">
        <f>3019.88</f>
        <v>3019.88</v>
      </c>
      <c r="F310">
        <f>181.69</f>
        <v>181.69</v>
      </c>
      <c r="G310">
        <f>278.9819</f>
        <v>278.9819</v>
      </c>
      <c r="H310">
        <f>254.56</f>
        <v>254.56</v>
      </c>
      <c r="I310">
        <f>511.49</f>
        <v>511.49</v>
      </c>
      <c r="J310">
        <f>4255.15</f>
        <v>4255.1499999999996</v>
      </c>
    </row>
    <row r="311" spans="1:10" x14ac:dyDescent="0.25">
      <c r="A311" s="1">
        <v>44358</v>
      </c>
      <c r="B311">
        <f>187.6</f>
        <v>187.6</v>
      </c>
      <c r="C311">
        <f>146.1199</f>
        <v>146.1199</v>
      </c>
      <c r="D311">
        <f>98.62</f>
        <v>98.62</v>
      </c>
      <c r="E311">
        <f>3012.67</f>
        <v>3012.67</v>
      </c>
      <c r="F311">
        <f>180.7</f>
        <v>180.7</v>
      </c>
      <c r="G311">
        <f>279.037</f>
        <v>279.03699999999998</v>
      </c>
      <c r="H311">
        <f>253.67</f>
        <v>253.67</v>
      </c>
      <c r="I311">
        <f>513.16</f>
        <v>513.16</v>
      </c>
      <c r="J311">
        <f>4247.44</f>
        <v>4247.4399999999996</v>
      </c>
    </row>
    <row r="312" spans="1:10" x14ac:dyDescent="0.25">
      <c r="A312" s="1">
        <v>44357</v>
      </c>
      <c r="B312">
        <f>187.64</f>
        <v>187.64</v>
      </c>
      <c r="C312">
        <f>145.8181</f>
        <v>145.81809999999999</v>
      </c>
      <c r="D312">
        <f>98.52</f>
        <v>98.52</v>
      </c>
      <c r="E312">
        <f>3007.46</f>
        <v>3007.46</v>
      </c>
      <c r="F312">
        <f>180.89</f>
        <v>180.89</v>
      </c>
      <c r="G312">
        <f>279.2436</f>
        <v>279.24360000000001</v>
      </c>
      <c r="H312">
        <f>255.26</f>
        <v>255.26</v>
      </c>
      <c r="I312">
        <f>511.79</f>
        <v>511.79</v>
      </c>
      <c r="J312">
        <f>4239.18</f>
        <v>4239.18</v>
      </c>
    </row>
    <row r="313" spans="1:10" x14ac:dyDescent="0.25">
      <c r="A313" s="1">
        <v>44356</v>
      </c>
      <c r="B313">
        <f>187.85</f>
        <v>187.85</v>
      </c>
      <c r="C313">
        <f>146.6892</f>
        <v>146.6892</v>
      </c>
      <c r="D313">
        <f>99.18</f>
        <v>99.18</v>
      </c>
      <c r="E313">
        <f>2996.64</f>
        <v>2996.64</v>
      </c>
      <c r="F313">
        <f>180.94</f>
        <v>180.94</v>
      </c>
      <c r="G313">
        <f>278.3567</f>
        <v>278.35669999999999</v>
      </c>
      <c r="H313">
        <f>253.3</f>
        <v>253.3</v>
      </c>
      <c r="I313">
        <f>512.73</f>
        <v>512.73</v>
      </c>
      <c r="J313">
        <f>4219.55</f>
        <v>4219.55</v>
      </c>
    </row>
    <row r="314" spans="1:10" x14ac:dyDescent="0.25">
      <c r="A314" s="1">
        <v>44355</v>
      </c>
      <c r="B314">
        <f>188.11</f>
        <v>188.11</v>
      </c>
      <c r="C314">
        <f>148.1382</f>
        <v>148.13820000000001</v>
      </c>
      <c r="D314">
        <f>98.37</f>
        <v>98.37</v>
      </c>
      <c r="E314">
        <f>3001.83</f>
        <v>3001.83</v>
      </c>
      <c r="F314">
        <f>181.32</f>
        <v>181.32</v>
      </c>
      <c r="G314">
        <f>278.9173</f>
        <v>278.91730000000001</v>
      </c>
      <c r="H314">
        <f>252.46</f>
        <v>252.46</v>
      </c>
      <c r="I314">
        <f>515.83</f>
        <v>515.83000000000004</v>
      </c>
      <c r="J314">
        <f>4227.26</f>
        <v>4227.26</v>
      </c>
    </row>
    <row r="315" spans="1:10" x14ac:dyDescent="0.25">
      <c r="A315" s="1">
        <v>44354</v>
      </c>
      <c r="B315">
        <f>187.35</f>
        <v>187.35</v>
      </c>
      <c r="C315">
        <f>148.4892</f>
        <v>148.48920000000001</v>
      </c>
      <c r="D315">
        <f>97.05</f>
        <v>97.05</v>
      </c>
      <c r="E315">
        <f>3000.97</f>
        <v>3000.97</v>
      </c>
      <c r="F315">
        <f>180.3</f>
        <v>180.3</v>
      </c>
      <c r="G315">
        <f>279.916</f>
        <v>279.916</v>
      </c>
      <c r="H315">
        <f>250.94</f>
        <v>250.94</v>
      </c>
      <c r="I315">
        <f>514.91</f>
        <v>514.91</v>
      </c>
      <c r="J315">
        <f>4226.52</f>
        <v>4226.5200000000004</v>
      </c>
    </row>
    <row r="316" spans="1:10" x14ac:dyDescent="0.25">
      <c r="A316" s="1">
        <v>44351</v>
      </c>
      <c r="B316">
        <f>187.26</f>
        <v>187.26</v>
      </c>
      <c r="C316">
        <f>148.9296</f>
        <v>148.92959999999999</v>
      </c>
      <c r="D316">
        <f>97.45</f>
        <v>97.45</v>
      </c>
      <c r="E316">
        <f>2997.36</f>
        <v>2997.36</v>
      </c>
      <c r="F316">
        <f>180.31</f>
        <v>180.31</v>
      </c>
      <c r="G316">
        <f>279.6163</f>
        <v>279.61630000000002</v>
      </c>
      <c r="H316">
        <f>248.69</f>
        <v>248.69</v>
      </c>
      <c r="I316">
        <f>514.3</f>
        <v>514.29999999999995</v>
      </c>
      <c r="J316">
        <f>4229.89</f>
        <v>4229.8900000000003</v>
      </c>
    </row>
    <row r="317" spans="1:10" x14ac:dyDescent="0.25">
      <c r="A317" s="1">
        <v>44350</v>
      </c>
      <c r="B317">
        <f>186.33</f>
        <v>186.33</v>
      </c>
      <c r="C317">
        <f>148.5752</f>
        <v>148.5752</v>
      </c>
      <c r="D317">
        <f>97.54</f>
        <v>97.54</v>
      </c>
      <c r="E317">
        <f>2972.87</f>
        <v>2972.87</v>
      </c>
      <c r="F317">
        <f>179.29</f>
        <v>179.29</v>
      </c>
      <c r="G317">
        <f>278.0775</f>
        <v>278.07749999999999</v>
      </c>
      <c r="H317">
        <f>248.21</f>
        <v>248.21</v>
      </c>
      <c r="I317">
        <f>510.94</f>
        <v>510.94</v>
      </c>
      <c r="J317">
        <f>4192.85</f>
        <v>4192.8500000000004</v>
      </c>
    </row>
    <row r="318" spans="1:10" x14ac:dyDescent="0.25">
      <c r="A318" s="1">
        <v>44349</v>
      </c>
      <c r="B318">
        <f>185.88</f>
        <v>185.88</v>
      </c>
      <c r="C318">
        <f>148.628</f>
        <v>148.62799999999999</v>
      </c>
      <c r="D318">
        <f>99.22</f>
        <v>99.22</v>
      </c>
      <c r="E318">
        <f>2985.97</f>
        <v>2985.97</v>
      </c>
      <c r="F318">
        <f>179.07</f>
        <v>179.07</v>
      </c>
      <c r="G318">
        <f>277.5478</f>
        <v>277.5478</v>
      </c>
      <c r="H318">
        <f>249.04</f>
        <v>249.04</v>
      </c>
      <c r="I318">
        <f>514.17</f>
        <v>514.16999999999996</v>
      </c>
      <c r="J318">
        <f>4208.12</f>
        <v>4208.12</v>
      </c>
    </row>
    <row r="319" spans="1:10" x14ac:dyDescent="0.25">
      <c r="A319" s="1">
        <v>44348</v>
      </c>
      <c r="B319">
        <f>182.79</f>
        <v>182.79</v>
      </c>
      <c r="C319">
        <f>148.5795</f>
        <v>148.5795</v>
      </c>
      <c r="D319">
        <f>98.21</f>
        <v>98.21</v>
      </c>
      <c r="E319">
        <f>2982.02</f>
        <v>2982.02</v>
      </c>
      <c r="F319">
        <f>176.6</f>
        <v>176.6</v>
      </c>
      <c r="G319">
        <f>276.545</f>
        <v>276.54500000000002</v>
      </c>
      <c r="H319">
        <f>245.88</f>
        <v>245.88</v>
      </c>
      <c r="I319">
        <f>512.45</f>
        <v>512.45000000000005</v>
      </c>
      <c r="J319">
        <f>4202.04</f>
        <v>4202.04</v>
      </c>
    </row>
    <row r="320" spans="1:10" x14ac:dyDescent="0.25">
      <c r="A320" s="1">
        <v>44347</v>
      </c>
      <c r="B320">
        <f>177.66</f>
        <v>177.66</v>
      </c>
      <c r="C320">
        <f>147.5463</f>
        <v>147.5463</v>
      </c>
      <c r="D320">
        <f>98.02</f>
        <v>98.02</v>
      </c>
      <c r="E320">
        <f>2975.7</f>
        <v>2975.7</v>
      </c>
      <c r="F320">
        <f>171.26</f>
        <v>171.26</v>
      </c>
      <c r="G320">
        <f>276.6733</f>
        <v>276.67329999999998</v>
      </c>
      <c r="H320">
        <f>242.91</f>
        <v>242.91</v>
      </c>
      <c r="I320">
        <f>507.11</f>
        <v>507.11</v>
      </c>
      <c r="J320" t="e">
        <f>NA()</f>
        <v>#N/A</v>
      </c>
    </row>
    <row r="321" spans="1:10" x14ac:dyDescent="0.25">
      <c r="A321" s="1">
        <v>44344</v>
      </c>
      <c r="B321">
        <f>177.55</f>
        <v>177.55</v>
      </c>
      <c r="C321">
        <f>147.8811</f>
        <v>147.8811</v>
      </c>
      <c r="D321">
        <f>98.31</f>
        <v>98.31</v>
      </c>
      <c r="E321">
        <f>2979.3</f>
        <v>2979.3</v>
      </c>
      <c r="F321">
        <f>171.36</f>
        <v>171.36</v>
      </c>
      <c r="G321">
        <f>276.9765</f>
        <v>276.97649999999999</v>
      </c>
      <c r="H321">
        <f>243.33</f>
        <v>243.33</v>
      </c>
      <c r="I321">
        <f>507.79</f>
        <v>507.79</v>
      </c>
      <c r="J321">
        <f>4204.11</f>
        <v>4204.1099999999997</v>
      </c>
    </row>
    <row r="322" spans="1:10" x14ac:dyDescent="0.25">
      <c r="A322" s="1">
        <v>44343</v>
      </c>
      <c r="B322">
        <f>176.87</f>
        <v>176.87</v>
      </c>
      <c r="C322">
        <f>147.4154</f>
        <v>147.41540000000001</v>
      </c>
      <c r="D322">
        <f>98.19</f>
        <v>98.19</v>
      </c>
      <c r="E322">
        <f>2970.64</f>
        <v>2970.64</v>
      </c>
      <c r="F322">
        <f>171.24</f>
        <v>171.24</v>
      </c>
      <c r="G322">
        <f>276.7295</f>
        <v>276.72949999999997</v>
      </c>
      <c r="H322">
        <f>241.75</f>
        <v>241.75</v>
      </c>
      <c r="I322">
        <f>509.19</f>
        <v>509.19</v>
      </c>
      <c r="J322">
        <f>4200.88</f>
        <v>4200.88</v>
      </c>
    </row>
    <row r="323" spans="1:10" x14ac:dyDescent="0.25">
      <c r="A323" s="1">
        <v>44342</v>
      </c>
      <c r="B323">
        <f>176.99</f>
        <v>176.99</v>
      </c>
      <c r="C323">
        <f>146.1301</f>
        <v>146.1301</v>
      </c>
      <c r="D323">
        <f>97.04</f>
        <v>97.04</v>
      </c>
      <c r="E323">
        <f>2969.51</f>
        <v>2969.51</v>
      </c>
      <c r="F323">
        <f>171.58</f>
        <v>171.58</v>
      </c>
      <c r="G323">
        <f>278.7026</f>
        <v>278.70260000000002</v>
      </c>
      <c r="H323">
        <f>242.17</f>
        <v>242.17</v>
      </c>
      <c r="I323">
        <f>494.8</f>
        <v>494.8</v>
      </c>
      <c r="J323">
        <f>4195.99</f>
        <v>4195.99</v>
      </c>
    </row>
    <row r="324" spans="1:10" x14ac:dyDescent="0.25">
      <c r="A324" s="1">
        <v>44341</v>
      </c>
      <c r="B324">
        <f>175.9</f>
        <v>175.9</v>
      </c>
      <c r="C324">
        <f>146.1702</f>
        <v>146.17019999999999</v>
      </c>
      <c r="D324">
        <f>95.79</f>
        <v>95.79</v>
      </c>
      <c r="E324">
        <f>2965.51</f>
        <v>2965.51</v>
      </c>
      <c r="F324">
        <f>170.41</f>
        <v>170.41</v>
      </c>
      <c r="G324">
        <f>278.9097</f>
        <v>278.90969999999999</v>
      </c>
      <c r="H324">
        <f>241.62</f>
        <v>241.62</v>
      </c>
      <c r="I324">
        <f>495.17</f>
        <v>495.17</v>
      </c>
      <c r="J324">
        <f>4188.13</f>
        <v>4188.13</v>
      </c>
    </row>
    <row r="325" spans="1:10" x14ac:dyDescent="0.25">
      <c r="A325" s="1">
        <v>44340</v>
      </c>
      <c r="B325">
        <f>178.2</f>
        <v>178.2</v>
      </c>
      <c r="C325">
        <f>146.6402</f>
        <v>146.64019999999999</v>
      </c>
      <c r="D325">
        <f>94.75</f>
        <v>94.75</v>
      </c>
      <c r="E325">
        <f>2966.44</f>
        <v>2966.44</v>
      </c>
      <c r="F325">
        <f>173.14</f>
        <v>173.14</v>
      </c>
      <c r="G325">
        <f>278.4682</f>
        <v>278.46820000000002</v>
      </c>
      <c r="H325">
        <f>240.58</f>
        <v>240.58</v>
      </c>
      <c r="I325">
        <f>495.82</f>
        <v>495.82</v>
      </c>
      <c r="J325">
        <f>4197.05</f>
        <v>4197.05</v>
      </c>
    </row>
    <row r="326" spans="1:10" x14ac:dyDescent="0.25">
      <c r="A326" s="1">
        <v>44337</v>
      </c>
      <c r="B326">
        <f>177.23</f>
        <v>177.23</v>
      </c>
      <c r="C326">
        <f>146.1326</f>
        <v>146.1326</v>
      </c>
      <c r="D326">
        <f>93.99</f>
        <v>93.99</v>
      </c>
      <c r="E326">
        <f>2943.13</f>
        <v>2943.13</v>
      </c>
      <c r="F326">
        <f>171.79</f>
        <v>171.79</v>
      </c>
      <c r="G326">
        <f>277.6217</f>
        <v>277.62169999999998</v>
      </c>
      <c r="H326">
        <f>238.46</f>
        <v>238.46</v>
      </c>
      <c r="I326">
        <f>492.23</f>
        <v>492.23</v>
      </c>
      <c r="J326">
        <f>4155.86</f>
        <v>4155.8599999999997</v>
      </c>
    </row>
    <row r="327" spans="1:10" x14ac:dyDescent="0.25">
      <c r="A327" s="1">
        <v>44336</v>
      </c>
      <c r="B327">
        <f>176.7</f>
        <v>176.7</v>
      </c>
      <c r="C327">
        <f>145.3385</f>
        <v>145.33850000000001</v>
      </c>
      <c r="D327">
        <f>94.49</f>
        <v>94.49</v>
      </c>
      <c r="E327">
        <f>2942.21</f>
        <v>2942.21</v>
      </c>
      <c r="F327">
        <f>171.41</f>
        <v>171.41</v>
      </c>
      <c r="G327">
        <f>277.4416</f>
        <v>277.44159999999999</v>
      </c>
      <c r="H327">
        <f>239.17</f>
        <v>239.17</v>
      </c>
      <c r="I327">
        <f>488.59</f>
        <v>488.59</v>
      </c>
      <c r="J327">
        <f>4159.12</f>
        <v>4159.12</v>
      </c>
    </row>
    <row r="328" spans="1:10" x14ac:dyDescent="0.25">
      <c r="A328" s="1">
        <v>44335</v>
      </c>
      <c r="B328">
        <f>176.79</f>
        <v>176.79</v>
      </c>
      <c r="C328">
        <f>144.8109</f>
        <v>144.8109</v>
      </c>
      <c r="D328">
        <f>94.84</f>
        <v>94.84</v>
      </c>
      <c r="E328">
        <f>2910.94</f>
        <v>2910.94</v>
      </c>
      <c r="F328">
        <f>171.05</f>
        <v>171.05</v>
      </c>
      <c r="G328">
        <f>275.0451</f>
        <v>275.04509999999999</v>
      </c>
      <c r="H328">
        <f>236.41</f>
        <v>236.41</v>
      </c>
      <c r="I328">
        <f>484.82</f>
        <v>484.82</v>
      </c>
      <c r="J328">
        <f>4115.68</f>
        <v>4115.68</v>
      </c>
    </row>
    <row r="329" spans="1:10" x14ac:dyDescent="0.25">
      <c r="A329" s="1">
        <v>44334</v>
      </c>
      <c r="B329">
        <f>180.96</f>
        <v>180.96</v>
      </c>
      <c r="C329">
        <f>146.1416</f>
        <v>146.14160000000001</v>
      </c>
      <c r="D329">
        <f>95.98</f>
        <v>95.98</v>
      </c>
      <c r="E329">
        <f>2928.68</f>
        <v>2928.68</v>
      </c>
      <c r="F329">
        <f>175.74</f>
        <v>175.74</v>
      </c>
      <c r="G329">
        <f>276.1758</f>
        <v>276.17579999999998</v>
      </c>
      <c r="H329">
        <f>237.47</f>
        <v>237.47</v>
      </c>
      <c r="I329">
        <f>489.02</f>
        <v>489.02</v>
      </c>
      <c r="J329">
        <f>4127.83</f>
        <v>4127.83</v>
      </c>
    </row>
    <row r="330" spans="1:10" x14ac:dyDescent="0.25">
      <c r="A330" s="1">
        <v>44333</v>
      </c>
      <c r="B330">
        <f>182.37</f>
        <v>182.37</v>
      </c>
      <c r="C330">
        <f>146.4278</f>
        <v>146.42779999999999</v>
      </c>
      <c r="D330">
        <f>94.65</f>
        <v>94.65</v>
      </c>
      <c r="E330">
        <f>2934.18</f>
        <v>2934.18</v>
      </c>
      <c r="F330">
        <f>177.81</f>
        <v>177.81</v>
      </c>
      <c r="G330">
        <f>276.0069</f>
        <v>276.00689999999997</v>
      </c>
      <c r="H330">
        <f>236.17</f>
        <v>236.17</v>
      </c>
      <c r="I330">
        <f>492.24</f>
        <v>492.24</v>
      </c>
      <c r="J330">
        <f>4163.29</f>
        <v>4163.29</v>
      </c>
    </row>
    <row r="331" spans="1:10" x14ac:dyDescent="0.25">
      <c r="A331" s="1">
        <v>44330</v>
      </c>
      <c r="B331">
        <f>179.93</f>
        <v>179.93</v>
      </c>
      <c r="C331">
        <f>146.33</f>
        <v>146.33000000000001</v>
      </c>
      <c r="D331">
        <f>93.84</f>
        <v>93.84</v>
      </c>
      <c r="E331">
        <f>2938.63</f>
        <v>2938.63</v>
      </c>
      <c r="F331">
        <f>175.26</f>
        <v>175.26</v>
      </c>
      <c r="G331">
        <f>275.6849</f>
        <v>275.68490000000003</v>
      </c>
      <c r="H331">
        <f>235.71</f>
        <v>235.71</v>
      </c>
      <c r="I331">
        <f>494.25</f>
        <v>494.25</v>
      </c>
      <c r="J331">
        <f>4173.85</f>
        <v>4173.8500000000004</v>
      </c>
    </row>
    <row r="332" spans="1:10" x14ac:dyDescent="0.25">
      <c r="A332" s="1">
        <v>44329</v>
      </c>
      <c r="B332">
        <f>175.58</f>
        <v>175.58</v>
      </c>
      <c r="C332">
        <f>143.8599</f>
        <v>143.85990000000001</v>
      </c>
      <c r="D332">
        <f>91.99</f>
        <v>91.99</v>
      </c>
      <c r="E332">
        <f>2892.48</f>
        <v>2892.48</v>
      </c>
      <c r="F332">
        <f>170.53</f>
        <v>170.53</v>
      </c>
      <c r="G332">
        <f>273.63</f>
        <v>273.63</v>
      </c>
      <c r="H332">
        <f>233.63</f>
        <v>233.63</v>
      </c>
      <c r="I332">
        <f>483.32</f>
        <v>483.32</v>
      </c>
      <c r="J332">
        <f>4112.5</f>
        <v>4112.5</v>
      </c>
    </row>
    <row r="333" spans="1:10" x14ac:dyDescent="0.25">
      <c r="A333" s="1">
        <v>44328</v>
      </c>
      <c r="B333">
        <f>177.93</f>
        <v>177.93</v>
      </c>
      <c r="C333">
        <f>142.5332</f>
        <v>142.53319999999999</v>
      </c>
      <c r="D333">
        <f>91.8</f>
        <v>91.8</v>
      </c>
      <c r="E333">
        <f>2876.79</f>
        <v>2876.79</v>
      </c>
      <c r="F333">
        <f>173.23</f>
        <v>173.23</v>
      </c>
      <c r="G333">
        <f>271.2923</f>
        <v>271.29230000000001</v>
      </c>
      <c r="H333">
        <f>232.81</f>
        <v>232.81</v>
      </c>
      <c r="I333">
        <f>478.46</f>
        <v>478.46</v>
      </c>
      <c r="J333">
        <f>4063.04</f>
        <v>4063.04</v>
      </c>
    </row>
    <row r="334" spans="1:10" x14ac:dyDescent="0.25">
      <c r="A334" s="1">
        <v>44327</v>
      </c>
      <c r="B334">
        <f>177.33</f>
        <v>177.33</v>
      </c>
      <c r="C334">
        <f>143.9115</f>
        <v>143.91149999999999</v>
      </c>
      <c r="D334">
        <f>93.94</f>
        <v>93.94</v>
      </c>
      <c r="E334">
        <f>2928.33</f>
        <v>2928.33</v>
      </c>
      <c r="F334">
        <f>172.4</f>
        <v>172.4</v>
      </c>
      <c r="G334">
        <f>273.3304</f>
        <v>273.3304</v>
      </c>
      <c r="H334">
        <f>237.66</f>
        <v>237.66</v>
      </c>
      <c r="I334">
        <f>488.28</f>
        <v>488.28</v>
      </c>
      <c r="J334">
        <f>4152.1</f>
        <v>4152.1000000000004</v>
      </c>
    </row>
    <row r="335" spans="1:10" x14ac:dyDescent="0.25">
      <c r="A335" s="1">
        <v>44326</v>
      </c>
      <c r="B335">
        <f>181.01</f>
        <v>181.01</v>
      </c>
      <c r="C335">
        <f>146.3366</f>
        <v>146.3366</v>
      </c>
      <c r="D335">
        <f>95.43</f>
        <v>95.43</v>
      </c>
      <c r="E335">
        <f>2961.57</f>
        <v>2961.57</v>
      </c>
      <c r="F335">
        <f>176.76</f>
        <v>176.76</v>
      </c>
      <c r="G335">
        <f>276.4328</f>
        <v>276.43279999999999</v>
      </c>
      <c r="H335">
        <f>240.63</f>
        <v>240.63</v>
      </c>
      <c r="I335">
        <f>496</f>
        <v>496</v>
      </c>
      <c r="J335">
        <f>4188.43</f>
        <v>4188.43</v>
      </c>
    </row>
    <row r="336" spans="1:10" x14ac:dyDescent="0.25">
      <c r="A336" s="1">
        <v>44323</v>
      </c>
      <c r="B336">
        <f>180.28</f>
        <v>180.28</v>
      </c>
      <c r="C336">
        <f>145.9037</f>
        <v>145.90369999999999</v>
      </c>
      <c r="D336">
        <f>95.18</f>
        <v>95.18</v>
      </c>
      <c r="E336">
        <f>2979.41</f>
        <v>2979.41</v>
      </c>
      <c r="F336">
        <f>176.12</f>
        <v>176.12</v>
      </c>
      <c r="G336">
        <f>274.683</f>
        <v>274.68299999999999</v>
      </c>
      <c r="H336">
        <f>239.47</f>
        <v>239.47</v>
      </c>
      <c r="I336">
        <f>496.94</f>
        <v>496.94</v>
      </c>
      <c r="J336">
        <f>4232.6</f>
        <v>4232.6000000000004</v>
      </c>
    </row>
    <row r="337" spans="1:10" x14ac:dyDescent="0.25">
      <c r="A337" s="1">
        <v>44322</v>
      </c>
      <c r="B337">
        <f>177.65</f>
        <v>177.65</v>
      </c>
      <c r="C337">
        <f>144.763</f>
        <v>144.76300000000001</v>
      </c>
      <c r="D337">
        <f>93.32</f>
        <v>93.32</v>
      </c>
      <c r="E337">
        <f>2952.03</f>
        <v>2952.03</v>
      </c>
      <c r="F337">
        <f>173.7</f>
        <v>173.7</v>
      </c>
      <c r="G337">
        <f>273.3605</f>
        <v>273.3605</v>
      </c>
      <c r="H337">
        <f>236.83</f>
        <v>236.83</v>
      </c>
      <c r="I337">
        <f>489.43</f>
        <v>489.43</v>
      </c>
      <c r="J337">
        <f>4201.62</f>
        <v>4201.62</v>
      </c>
    </row>
    <row r="338" spans="1:10" x14ac:dyDescent="0.25">
      <c r="A338" s="1">
        <v>44321</v>
      </c>
      <c r="B338">
        <f>176.74</f>
        <v>176.74</v>
      </c>
      <c r="C338">
        <f>143.2495</f>
        <v>143.24950000000001</v>
      </c>
      <c r="D338">
        <f>93.06</f>
        <v>93.06</v>
      </c>
      <c r="E338">
        <f>2932.85</f>
        <v>2932.85</v>
      </c>
      <c r="F338">
        <f>173.05</f>
        <v>173.05</v>
      </c>
      <c r="G338">
        <f>270.1058</f>
        <v>270.10579999999999</v>
      </c>
      <c r="H338">
        <f>235.49</f>
        <v>235.49</v>
      </c>
      <c r="I338">
        <f>486.43</f>
        <v>486.43</v>
      </c>
      <c r="J338">
        <f>4167.59</f>
        <v>4167.59</v>
      </c>
    </row>
    <row r="339" spans="1:10" x14ac:dyDescent="0.25">
      <c r="A339" s="1">
        <v>44320</v>
      </c>
      <c r="B339">
        <f>172.17</f>
        <v>172.17</v>
      </c>
      <c r="C339">
        <f>141.7429</f>
        <v>141.74289999999999</v>
      </c>
      <c r="D339">
        <f>93.47</f>
        <v>93.47</v>
      </c>
      <c r="E339">
        <f>2922.5</f>
        <v>2922.5</v>
      </c>
      <c r="F339">
        <f>168.33</f>
        <v>168.33</v>
      </c>
      <c r="G339">
        <f>269.5938</f>
        <v>269.59379999999999</v>
      </c>
      <c r="H339">
        <f>237.98</f>
        <v>237.98</v>
      </c>
      <c r="I339">
        <f>488.14</f>
        <v>488.14</v>
      </c>
      <c r="J339">
        <f>4164.66</f>
        <v>4164.66</v>
      </c>
    </row>
    <row r="340" spans="1:10" x14ac:dyDescent="0.25">
      <c r="A340" s="1">
        <v>44319</v>
      </c>
      <c r="B340">
        <f>171.72</f>
        <v>171.72</v>
      </c>
      <c r="C340">
        <f>141.9925</f>
        <v>141.99250000000001</v>
      </c>
      <c r="D340">
        <f>94.86</f>
        <v>94.86</v>
      </c>
      <c r="E340">
        <f>2948.67</f>
        <v>2948.67</v>
      </c>
      <c r="F340">
        <f>167.94</f>
        <v>167.94</v>
      </c>
      <c r="G340">
        <f>271.1676</f>
        <v>271.16759999999999</v>
      </c>
      <c r="H340">
        <f>239.5</f>
        <v>239.5</v>
      </c>
      <c r="I340">
        <f>490.73</f>
        <v>490.73</v>
      </c>
      <c r="J340">
        <f>4192.66</f>
        <v>4192.66</v>
      </c>
    </row>
    <row r="341" spans="1:10" x14ac:dyDescent="0.25">
      <c r="A341" s="1">
        <v>44316</v>
      </c>
      <c r="B341">
        <f>168.88</f>
        <v>168.88</v>
      </c>
      <c r="C341">
        <f>141.2301</f>
        <v>141.23009999999999</v>
      </c>
      <c r="D341">
        <f>94.96</f>
        <v>94.96</v>
      </c>
      <c r="E341">
        <f>2938.76</f>
        <v>2938.76</v>
      </c>
      <c r="F341">
        <f>164.64</f>
        <v>164.64</v>
      </c>
      <c r="G341">
        <f>269.0971</f>
        <v>269.09710000000001</v>
      </c>
      <c r="H341">
        <f>239.85</f>
        <v>239.85</v>
      </c>
      <c r="I341">
        <f>487.42</f>
        <v>487.42</v>
      </c>
      <c r="J341">
        <f>4181.17</f>
        <v>4181.17</v>
      </c>
    </row>
    <row r="342" spans="1:10" x14ac:dyDescent="0.25">
      <c r="A342" s="1">
        <v>44315</v>
      </c>
      <c r="B342">
        <f>171.97</f>
        <v>171.97</v>
      </c>
      <c r="C342">
        <f>142.6398</f>
        <v>142.63980000000001</v>
      </c>
      <c r="D342">
        <f>94.85</f>
        <v>94.85</v>
      </c>
      <c r="E342">
        <f>2963.31</f>
        <v>2963.31</v>
      </c>
      <c r="F342">
        <f>167.78</f>
        <v>167.78</v>
      </c>
      <c r="G342">
        <f>269.6711</f>
        <v>269.67110000000002</v>
      </c>
      <c r="H342">
        <f>239.64</f>
        <v>239.64</v>
      </c>
      <c r="I342">
        <f>486.81</f>
        <v>486.81</v>
      </c>
      <c r="J342">
        <f>4211.47</f>
        <v>4211.47</v>
      </c>
    </row>
    <row r="343" spans="1:10" x14ac:dyDescent="0.25">
      <c r="A343" s="1">
        <v>44314</v>
      </c>
      <c r="B343">
        <f>170.91</f>
        <v>170.91</v>
      </c>
      <c r="C343">
        <f>140.9563</f>
        <v>140.9563</v>
      </c>
      <c r="D343">
        <f>95.02</f>
        <v>95.02</v>
      </c>
      <c r="E343">
        <f>2951.88</f>
        <v>2951.88</v>
      </c>
      <c r="F343">
        <f>166.73</f>
        <v>166.73</v>
      </c>
      <c r="G343">
        <f>267.2007</f>
        <v>267.20069999999998</v>
      </c>
      <c r="H343">
        <f>238.4</f>
        <v>238.4</v>
      </c>
      <c r="I343">
        <f>482.13</f>
        <v>482.13</v>
      </c>
      <c r="J343">
        <f>4183.18</f>
        <v>4183.18</v>
      </c>
    </row>
    <row r="344" spans="1:10" x14ac:dyDescent="0.25">
      <c r="A344" s="1">
        <v>44313</v>
      </c>
      <c r="B344">
        <f>167.35</f>
        <v>167.35</v>
      </c>
      <c r="C344">
        <f>140.2474</f>
        <v>140.2474</v>
      </c>
      <c r="D344">
        <f>95.5</f>
        <v>95.5</v>
      </c>
      <c r="E344">
        <f>2952.01</f>
        <v>2952.01</v>
      </c>
      <c r="F344">
        <f>162.72</f>
        <v>162.72</v>
      </c>
      <c r="G344">
        <f>267.1917</f>
        <v>267.19170000000003</v>
      </c>
      <c r="H344">
        <f>238.67</f>
        <v>238.67</v>
      </c>
      <c r="I344">
        <f>484.79</f>
        <v>484.79</v>
      </c>
      <c r="J344">
        <f>4186.72</f>
        <v>4186.72</v>
      </c>
    </row>
    <row r="345" spans="1:10" x14ac:dyDescent="0.25">
      <c r="A345" s="1">
        <v>44312</v>
      </c>
      <c r="B345">
        <f>166.39</f>
        <v>166.39</v>
      </c>
      <c r="C345">
        <f>139.4061</f>
        <v>139.40610000000001</v>
      </c>
      <c r="D345">
        <f>95.27</f>
        <v>95.27</v>
      </c>
      <c r="E345">
        <f>2956.13</f>
        <v>2956.13</v>
      </c>
      <c r="F345">
        <f>161.56</f>
        <v>161.56</v>
      </c>
      <c r="G345">
        <f>267.8748</f>
        <v>267.87479999999999</v>
      </c>
      <c r="H345">
        <f>239.13</f>
        <v>239.13</v>
      </c>
      <c r="I345">
        <f>483.95</f>
        <v>483.95</v>
      </c>
      <c r="J345">
        <f>4187.62</f>
        <v>4187.62</v>
      </c>
    </row>
    <row r="346" spans="1:10" x14ac:dyDescent="0.25">
      <c r="A346" s="1">
        <v>44309</v>
      </c>
      <c r="B346">
        <f>165.09</f>
        <v>165.09</v>
      </c>
      <c r="C346">
        <f>138.4304</f>
        <v>138.43039999999999</v>
      </c>
      <c r="D346">
        <f>93.18</f>
        <v>93.18</v>
      </c>
      <c r="E346">
        <f>2946.11</f>
        <v>2946.11</v>
      </c>
      <c r="F346">
        <f>160.32</f>
        <v>160.32</v>
      </c>
      <c r="G346">
        <f>270.0867</f>
        <v>270.08670000000001</v>
      </c>
      <c r="H346">
        <f>238.31</f>
        <v>238.31</v>
      </c>
      <c r="I346">
        <f>480.97</f>
        <v>480.97</v>
      </c>
      <c r="J346">
        <f>4180.17</f>
        <v>4180.17</v>
      </c>
    </row>
    <row r="347" spans="1:10" x14ac:dyDescent="0.25">
      <c r="A347" s="1">
        <v>44308</v>
      </c>
      <c r="B347">
        <f>164.52</f>
        <v>164.52</v>
      </c>
      <c r="C347">
        <f>136.7274</f>
        <v>136.72739999999999</v>
      </c>
      <c r="D347">
        <f>92.56</f>
        <v>92.56</v>
      </c>
      <c r="E347">
        <f>2923.91</f>
        <v>2923.91</v>
      </c>
      <c r="F347">
        <f>159.68</f>
        <v>159.68</v>
      </c>
      <c r="G347">
        <f>270.8471</f>
        <v>270.84710000000001</v>
      </c>
      <c r="H347">
        <f>237.63</f>
        <v>237.63</v>
      </c>
      <c r="I347">
        <f>477.88</f>
        <v>477.88</v>
      </c>
      <c r="J347">
        <f>4134.98</f>
        <v>4134.9799999999996</v>
      </c>
    </row>
    <row r="348" spans="1:10" x14ac:dyDescent="0.25">
      <c r="A348" s="1">
        <v>44307</v>
      </c>
      <c r="B348">
        <f>165.71</f>
        <v>165.71</v>
      </c>
      <c r="C348">
        <f>137.4248</f>
        <v>137.4248</v>
      </c>
      <c r="D348">
        <f>92.64</f>
        <v>92.64</v>
      </c>
      <c r="E348">
        <f>2932.98</f>
        <v>2932.98</v>
      </c>
      <c r="F348">
        <f>161.44</f>
        <v>161.44</v>
      </c>
      <c r="G348">
        <f>270.8437</f>
        <v>270.84370000000001</v>
      </c>
      <c r="H348">
        <f>237.43</f>
        <v>237.43</v>
      </c>
      <c r="I348">
        <f>478.83</f>
        <v>478.83</v>
      </c>
      <c r="J348">
        <f>4173.42</f>
        <v>4173.42</v>
      </c>
    </row>
    <row r="349" spans="1:10" x14ac:dyDescent="0.25">
      <c r="A349" s="1">
        <v>44306</v>
      </c>
      <c r="B349">
        <f>164.49</f>
        <v>164.49</v>
      </c>
      <c r="C349">
        <f>136.7378</f>
        <v>136.73779999999999</v>
      </c>
      <c r="D349">
        <f>92.1</f>
        <v>92.1</v>
      </c>
      <c r="E349">
        <f>2915.78</f>
        <v>2915.78</v>
      </c>
      <c r="F349">
        <f>159.71</f>
        <v>159.71</v>
      </c>
      <c r="G349">
        <f>269.5616</f>
        <v>269.5616</v>
      </c>
      <c r="H349">
        <f>237.86</f>
        <v>237.86</v>
      </c>
      <c r="I349">
        <f>475.46</f>
        <v>475.46</v>
      </c>
      <c r="J349">
        <f>4134.94</f>
        <v>4134.9399999999996</v>
      </c>
    </row>
    <row r="350" spans="1:10" x14ac:dyDescent="0.25">
      <c r="A350" s="1">
        <v>44305</v>
      </c>
      <c r="B350">
        <f>168.19</f>
        <v>168.19</v>
      </c>
      <c r="C350">
        <f>139.2121</f>
        <v>139.21209999999999</v>
      </c>
      <c r="D350">
        <f>94.53</f>
        <v>94.53</v>
      </c>
      <c r="E350">
        <f>2944.05</f>
        <v>2944.05</v>
      </c>
      <c r="F350">
        <f>163.77</f>
        <v>163.77000000000001</v>
      </c>
      <c r="G350">
        <f>270.167</f>
        <v>270.16699999999997</v>
      </c>
      <c r="H350">
        <f>236.49</f>
        <v>236.49</v>
      </c>
      <c r="I350">
        <f>486.07</f>
        <v>486.07</v>
      </c>
      <c r="J350">
        <f>4163.26</f>
        <v>4163.26</v>
      </c>
    </row>
    <row r="351" spans="1:10" x14ac:dyDescent="0.25">
      <c r="A351" s="1">
        <v>44302</v>
      </c>
      <c r="B351">
        <f>168.34</f>
        <v>168.34</v>
      </c>
      <c r="C351">
        <f>139.1555</f>
        <v>139.15549999999999</v>
      </c>
      <c r="D351">
        <f>95.56</f>
        <v>95.56</v>
      </c>
      <c r="E351">
        <f>2953.35</f>
        <v>2953.35</v>
      </c>
      <c r="F351">
        <f>163.73</f>
        <v>163.72999999999999</v>
      </c>
      <c r="G351">
        <f>270.4986</f>
        <v>270.49860000000001</v>
      </c>
      <c r="H351">
        <f>236.23</f>
        <v>236.23</v>
      </c>
      <c r="I351">
        <f>487.61</f>
        <v>487.61</v>
      </c>
      <c r="J351">
        <f>4185.47</f>
        <v>4185.47</v>
      </c>
    </row>
    <row r="352" spans="1:10" x14ac:dyDescent="0.25">
      <c r="A352" s="1">
        <v>44301</v>
      </c>
      <c r="B352">
        <f>169.05</f>
        <v>169.05</v>
      </c>
      <c r="C352">
        <f>138.2853</f>
        <v>138.28530000000001</v>
      </c>
      <c r="D352">
        <f>95.6</f>
        <v>95.6</v>
      </c>
      <c r="E352">
        <f>2941.75</f>
        <v>2941.75</v>
      </c>
      <c r="F352">
        <f>164.76</f>
        <v>164.76</v>
      </c>
      <c r="G352">
        <f>268.9927</f>
        <v>268.99270000000001</v>
      </c>
      <c r="H352">
        <f>235.31</f>
        <v>235.31</v>
      </c>
      <c r="I352">
        <f>486.84</f>
        <v>486.84</v>
      </c>
      <c r="J352">
        <f>4170.42</f>
        <v>4170.42</v>
      </c>
    </row>
    <row r="353" spans="1:10" x14ac:dyDescent="0.25">
      <c r="A353" s="1">
        <v>44300</v>
      </c>
      <c r="B353">
        <f>169.86</f>
        <v>169.86</v>
      </c>
      <c r="C353">
        <f>138.3499</f>
        <v>138.34989999999999</v>
      </c>
      <c r="D353">
        <f>96.4</f>
        <v>96.4</v>
      </c>
      <c r="E353">
        <f>2913.53</f>
        <v>2913.53</v>
      </c>
      <c r="F353">
        <f>165.4</f>
        <v>165.4</v>
      </c>
      <c r="G353">
        <f>266.622</f>
        <v>266.62200000000001</v>
      </c>
      <c r="H353">
        <f>232.14</f>
        <v>232.14</v>
      </c>
      <c r="I353">
        <f>484.63</f>
        <v>484.63</v>
      </c>
      <c r="J353">
        <f>4124.66</f>
        <v>4124.66</v>
      </c>
    </row>
    <row r="354" spans="1:10" x14ac:dyDescent="0.25">
      <c r="A354" s="1">
        <v>44299</v>
      </c>
      <c r="B354">
        <f>165.68</f>
        <v>165.68</v>
      </c>
      <c r="C354">
        <f>137.586</f>
        <v>137.58600000000001</v>
      </c>
      <c r="D354">
        <f>96.5</f>
        <v>96.5</v>
      </c>
      <c r="E354">
        <f>2918.19</f>
        <v>2918.19</v>
      </c>
      <c r="F354">
        <f>161.32</f>
        <v>161.32</v>
      </c>
      <c r="G354">
        <f>266.7727</f>
        <v>266.77269999999999</v>
      </c>
      <c r="H354">
        <f>232.45</f>
        <v>232.45</v>
      </c>
      <c r="I354">
        <f>481.17</f>
        <v>481.17</v>
      </c>
      <c r="J354">
        <f>4141.59</f>
        <v>4141.59</v>
      </c>
    </row>
    <row r="355" spans="1:10" x14ac:dyDescent="0.25">
      <c r="A355" s="1">
        <v>44298</v>
      </c>
      <c r="B355">
        <f>165.51</f>
        <v>165.51</v>
      </c>
      <c r="C355">
        <f>138.2521</f>
        <v>138.25210000000001</v>
      </c>
      <c r="D355">
        <f>97.25</f>
        <v>97.25</v>
      </c>
      <c r="E355">
        <f>2907.25</f>
        <v>2907.25</v>
      </c>
      <c r="F355">
        <f>161.24</f>
        <v>161.24</v>
      </c>
      <c r="G355">
        <f>267.5563</f>
        <v>267.55630000000002</v>
      </c>
      <c r="H355">
        <f>230.9</f>
        <v>230.9</v>
      </c>
      <c r="I355">
        <f>483.27</f>
        <v>483.27</v>
      </c>
      <c r="J355">
        <f>4127.99</f>
        <v>4127.99</v>
      </c>
    </row>
    <row r="356" spans="1:10" x14ac:dyDescent="0.25">
      <c r="A356" s="1">
        <v>44295</v>
      </c>
      <c r="B356">
        <f>166.27</f>
        <v>166.27</v>
      </c>
      <c r="C356">
        <f>137.8365</f>
        <v>137.8365</v>
      </c>
      <c r="D356">
        <f>98.41</f>
        <v>98.41</v>
      </c>
      <c r="E356">
        <f>2910.1</f>
        <v>2910.1</v>
      </c>
      <c r="F356">
        <f>161.97</f>
        <v>161.97</v>
      </c>
      <c r="G356">
        <f>266.9966</f>
        <v>266.9966</v>
      </c>
      <c r="H356">
        <f>230.47</f>
        <v>230.47</v>
      </c>
      <c r="I356">
        <f>484.18</f>
        <v>484.18</v>
      </c>
      <c r="J356">
        <f>4128.8</f>
        <v>4128.8</v>
      </c>
    </row>
    <row r="357" spans="1:10" x14ac:dyDescent="0.25">
      <c r="A357" s="1">
        <v>44294</v>
      </c>
      <c r="B357">
        <f>167.54</f>
        <v>167.54</v>
      </c>
      <c r="C357">
        <f>137.353</f>
        <v>137.35300000000001</v>
      </c>
      <c r="D357">
        <f>99.03</f>
        <v>99.03</v>
      </c>
      <c r="E357">
        <f>2895.61</f>
        <v>2895.61</v>
      </c>
      <c r="F357">
        <f>162.96</f>
        <v>162.96</v>
      </c>
      <c r="G357">
        <f>267.3726</f>
        <v>267.37259999999998</v>
      </c>
      <c r="H357">
        <f>230.49</f>
        <v>230.49</v>
      </c>
      <c r="I357">
        <f>484.32</f>
        <v>484.32</v>
      </c>
      <c r="J357">
        <f>4097.17</f>
        <v>4097.17</v>
      </c>
    </row>
    <row r="358" spans="1:10" x14ac:dyDescent="0.25">
      <c r="A358" s="1">
        <v>44293</v>
      </c>
      <c r="B358">
        <f>169.35</f>
        <v>169.35</v>
      </c>
      <c r="C358">
        <f>137.2391</f>
        <v>137.23910000000001</v>
      </c>
      <c r="D358">
        <f>99.73</f>
        <v>99.73</v>
      </c>
      <c r="E358">
        <f>2881.15</f>
        <v>2881.15</v>
      </c>
      <c r="F358">
        <f>165.07</f>
        <v>165.07</v>
      </c>
      <c r="G358">
        <f>266.1285</f>
        <v>266.12849999999997</v>
      </c>
      <c r="H358">
        <f>230.97</f>
        <v>230.97</v>
      </c>
      <c r="I358">
        <f>481.75</f>
        <v>481.75</v>
      </c>
      <c r="J358">
        <f>4079.95</f>
        <v>4079.95</v>
      </c>
    </row>
    <row r="359" spans="1:10" x14ac:dyDescent="0.25">
      <c r="A359" s="1">
        <v>44292</v>
      </c>
      <c r="B359">
        <f>168.62</f>
        <v>168.62</v>
      </c>
      <c r="C359">
        <f>136.7635</f>
        <v>136.76349999999999</v>
      </c>
      <c r="D359">
        <f>99.59</f>
        <v>99.59</v>
      </c>
      <c r="E359">
        <f>2876.23</f>
        <v>2876.23</v>
      </c>
      <c r="F359">
        <f>164.3</f>
        <v>164.3</v>
      </c>
      <c r="G359">
        <f>265.5526</f>
        <v>265.55259999999998</v>
      </c>
      <c r="H359">
        <f>229.97</f>
        <v>229.97</v>
      </c>
      <c r="I359">
        <f>482.23</f>
        <v>482.23</v>
      </c>
      <c r="J359">
        <f>4073.94</f>
        <v>4073.94</v>
      </c>
    </row>
    <row r="360" spans="1:10" x14ac:dyDescent="0.25">
      <c r="A360" s="1">
        <v>44291</v>
      </c>
      <c r="B360">
        <f>168.82</f>
        <v>168.82</v>
      </c>
      <c r="C360">
        <f>136.6733</f>
        <v>136.67330000000001</v>
      </c>
      <c r="D360">
        <f>98.41</f>
        <v>98.41</v>
      </c>
      <c r="E360">
        <f>2872.97</f>
        <v>2872.97</v>
      </c>
      <c r="F360">
        <f>164.19</f>
        <v>164.19</v>
      </c>
      <c r="G360">
        <f>264.0442</f>
        <v>264.04419999999999</v>
      </c>
      <c r="H360">
        <f>229.49</f>
        <v>229.49</v>
      </c>
      <c r="I360">
        <f>482.84</f>
        <v>482.84</v>
      </c>
      <c r="J360">
        <f>4077.91</f>
        <v>4077.91</v>
      </c>
    </row>
    <row r="361" spans="1:10" x14ac:dyDescent="0.25">
      <c r="A361" s="1">
        <v>44288</v>
      </c>
      <c r="B361">
        <f>170.63</f>
        <v>170.63</v>
      </c>
      <c r="C361">
        <f>135.695</f>
        <v>135.69499999999999</v>
      </c>
      <c r="D361">
        <f>97.11</f>
        <v>97.11</v>
      </c>
      <c r="E361">
        <f>2841.89</f>
        <v>2841.89</v>
      </c>
      <c r="F361">
        <f>165.97</f>
        <v>165.97</v>
      </c>
      <c r="G361">
        <f>261.6262</f>
        <v>261.62619999999998</v>
      </c>
      <c r="H361">
        <f>228.27</f>
        <v>228.27</v>
      </c>
      <c r="I361">
        <f>475.97</f>
        <v>475.97</v>
      </c>
      <c r="J361" t="e">
        <f>NA()</f>
        <v>#N/A</v>
      </c>
    </row>
    <row r="362" spans="1:10" x14ac:dyDescent="0.25">
      <c r="A362" s="1">
        <v>44287</v>
      </c>
      <c r="B362">
        <f>170.58</f>
        <v>170.58</v>
      </c>
      <c r="C362">
        <f>135.7427</f>
        <v>135.74270000000001</v>
      </c>
      <c r="D362">
        <f>97.03</f>
        <v>97.03</v>
      </c>
      <c r="E362">
        <f>2840.19</f>
        <v>2840.19</v>
      </c>
      <c r="F362">
        <f>165.98</f>
        <v>165.98</v>
      </c>
      <c r="G362">
        <f>261.5441</f>
        <v>261.54410000000001</v>
      </c>
      <c r="H362">
        <f>228.35</f>
        <v>228.35</v>
      </c>
      <c r="I362">
        <f>475.96</f>
        <v>475.96</v>
      </c>
      <c r="J362">
        <f>4019.87</f>
        <v>4019.87</v>
      </c>
    </row>
    <row r="363" spans="1:10" x14ac:dyDescent="0.25">
      <c r="A363" s="1">
        <v>44286</v>
      </c>
      <c r="B363">
        <f>168.73</f>
        <v>168.73</v>
      </c>
      <c r="C363">
        <f>134.4645</f>
        <v>134.46449999999999</v>
      </c>
      <c r="D363">
        <f>97.21</f>
        <v>97.21</v>
      </c>
      <c r="E363">
        <f>2811.7</f>
        <v>2811.7</v>
      </c>
      <c r="F363">
        <f>163.78</f>
        <v>163.78</v>
      </c>
      <c r="G363">
        <f>261.9707</f>
        <v>261.97070000000002</v>
      </c>
      <c r="H363">
        <f>225.74</f>
        <v>225.74</v>
      </c>
      <c r="I363">
        <f>472.12</f>
        <v>472.12</v>
      </c>
      <c r="J363">
        <f>3972.89</f>
        <v>3972.89</v>
      </c>
    </row>
    <row r="364" spans="1:10" x14ac:dyDescent="0.25">
      <c r="A364" s="1">
        <v>44285</v>
      </c>
      <c r="B364">
        <f>169.86</f>
        <v>169.86</v>
      </c>
      <c r="C364">
        <f>135.6381</f>
        <v>135.63810000000001</v>
      </c>
      <c r="D364">
        <f>97.75</f>
        <v>97.75</v>
      </c>
      <c r="E364">
        <f>2805.1</f>
        <v>2805.1</v>
      </c>
      <c r="F364">
        <f>165.3</f>
        <v>165.3</v>
      </c>
      <c r="G364">
        <f>263.1935</f>
        <v>263.19349999999997</v>
      </c>
      <c r="H364">
        <f>227.06</f>
        <v>227.06</v>
      </c>
      <c r="I364">
        <f>472.3</f>
        <v>472.3</v>
      </c>
      <c r="J364">
        <f>3958.55</f>
        <v>3958.55</v>
      </c>
    </row>
    <row r="365" spans="1:10" x14ac:dyDescent="0.25">
      <c r="A365" s="1">
        <v>44284</v>
      </c>
      <c r="B365">
        <f>170.79</f>
        <v>170.79</v>
      </c>
      <c r="C365">
        <f>134.8274</f>
        <v>134.82740000000001</v>
      </c>
      <c r="D365">
        <f>96.4</f>
        <v>96.4</v>
      </c>
      <c r="E365">
        <f>2811.53</f>
        <v>2811.53</v>
      </c>
      <c r="F365">
        <f>166.43</f>
        <v>166.43</v>
      </c>
      <c r="G365">
        <f>265.4853</f>
        <v>265.4853</v>
      </c>
      <c r="H365">
        <f>227.26</f>
        <v>227.26</v>
      </c>
      <c r="I365">
        <f>470.75</f>
        <v>470.75</v>
      </c>
      <c r="J365">
        <f>3971.09</f>
        <v>3971.09</v>
      </c>
    </row>
    <row r="366" spans="1:10" x14ac:dyDescent="0.25">
      <c r="A366" s="1">
        <v>44281</v>
      </c>
      <c r="B366">
        <f>171.65</f>
        <v>171.65</v>
      </c>
      <c r="C366">
        <f>136.036</f>
        <v>136.036</v>
      </c>
      <c r="D366">
        <f>97.24</f>
        <v>97.24</v>
      </c>
      <c r="E366">
        <f>2814.86</f>
        <v>2814.86</v>
      </c>
      <c r="F366">
        <f>167.61</f>
        <v>167.61</v>
      </c>
      <c r="G366">
        <f>262.7604</f>
        <v>262.7604</v>
      </c>
      <c r="H366">
        <f>227.59</f>
        <v>227.59</v>
      </c>
      <c r="I366">
        <f>467.34</f>
        <v>467.34</v>
      </c>
      <c r="J366">
        <f>3974.54</f>
        <v>3974.54</v>
      </c>
    </row>
    <row r="367" spans="1:10" x14ac:dyDescent="0.25">
      <c r="A367" s="1">
        <v>44280</v>
      </c>
      <c r="B367">
        <f>168.24</f>
        <v>168.24</v>
      </c>
      <c r="C367">
        <f>134.2891</f>
        <v>134.28909999999999</v>
      </c>
      <c r="D367">
        <f>96.08</f>
        <v>96.08</v>
      </c>
      <c r="E367">
        <f>2775.06</f>
        <v>2775.06</v>
      </c>
      <c r="F367">
        <f>164.01</f>
        <v>164.01</v>
      </c>
      <c r="G367">
        <f>259.7314</f>
        <v>259.73140000000001</v>
      </c>
      <c r="H367">
        <f>223.39</f>
        <v>223.39</v>
      </c>
      <c r="I367">
        <f>465.68</f>
        <v>465.68</v>
      </c>
      <c r="J367">
        <f>3909.52</f>
        <v>3909.52</v>
      </c>
    </row>
    <row r="368" spans="1:10" x14ac:dyDescent="0.25">
      <c r="A368" s="1">
        <v>44279</v>
      </c>
      <c r="B368">
        <f>169.47</f>
        <v>169.47</v>
      </c>
      <c r="C368">
        <f>133.1769</f>
        <v>133.17689999999999</v>
      </c>
      <c r="D368">
        <f>95</f>
        <v>95</v>
      </c>
      <c r="E368">
        <f>2767.26</f>
        <v>2767.26</v>
      </c>
      <c r="F368">
        <f>165.06</f>
        <v>165.06</v>
      </c>
      <c r="G368">
        <f>258.5203</f>
        <v>258.52030000000002</v>
      </c>
      <c r="H368">
        <f>222.68</f>
        <v>222.68</v>
      </c>
      <c r="I368">
        <f>459.06</f>
        <v>459.06</v>
      </c>
      <c r="J368">
        <f>3889.14</f>
        <v>3889.14</v>
      </c>
    </row>
    <row r="369" spans="1:10" x14ac:dyDescent="0.25">
      <c r="A369" s="1">
        <v>44278</v>
      </c>
      <c r="B369">
        <f>167</f>
        <v>167</v>
      </c>
      <c r="C369">
        <f>133.1872</f>
        <v>133.18719999999999</v>
      </c>
      <c r="D369">
        <f>96.91</f>
        <v>96.91</v>
      </c>
      <c r="E369">
        <f>2788.01</f>
        <v>2788.01</v>
      </c>
      <c r="F369">
        <f>161.96</f>
        <v>161.96</v>
      </c>
      <c r="G369">
        <f>260.392</f>
        <v>260.392</v>
      </c>
      <c r="H369">
        <f>224.36</f>
        <v>224.36</v>
      </c>
      <c r="I369">
        <f>457.66</f>
        <v>457.66</v>
      </c>
      <c r="J369">
        <f>3910.52</f>
        <v>3910.52</v>
      </c>
    </row>
    <row r="370" spans="1:10" x14ac:dyDescent="0.25">
      <c r="A370" s="1">
        <v>44277</v>
      </c>
      <c r="B370">
        <f>169.73</f>
        <v>169.73</v>
      </c>
      <c r="C370">
        <f>134.7002</f>
        <v>134.7002</v>
      </c>
      <c r="D370">
        <f>100.21</f>
        <v>100.21</v>
      </c>
      <c r="E370">
        <f>2809.65</f>
        <v>2809.65</v>
      </c>
      <c r="F370">
        <f>164.75</f>
        <v>164.75</v>
      </c>
      <c r="G370">
        <f>259.716</f>
        <v>259.71600000000001</v>
      </c>
      <c r="H370">
        <f>223.96</f>
        <v>223.96</v>
      </c>
      <c r="I370">
        <f>467.24</f>
        <v>467.24</v>
      </c>
      <c r="J370">
        <f>3940.59</f>
        <v>3940.59</v>
      </c>
    </row>
    <row r="371" spans="1:10" x14ac:dyDescent="0.25">
      <c r="A371" s="1">
        <v>44274</v>
      </c>
      <c r="B371">
        <f>170.85</f>
        <v>170.85</v>
      </c>
      <c r="C371">
        <f>135.8597</f>
        <v>135.8597</v>
      </c>
      <c r="D371">
        <f>101.53</f>
        <v>101.53</v>
      </c>
      <c r="E371">
        <f>2796.14</f>
        <v>2796.14</v>
      </c>
      <c r="F371">
        <f>165.94</f>
        <v>165.94</v>
      </c>
      <c r="G371">
        <f>257.5685</f>
        <v>257.56849999999997</v>
      </c>
      <c r="H371">
        <f>222.54</f>
        <v>222.54</v>
      </c>
      <c r="I371">
        <f>470.63</f>
        <v>470.63</v>
      </c>
      <c r="J371">
        <f>3913.1</f>
        <v>3913.1</v>
      </c>
    </row>
    <row r="372" spans="1:10" x14ac:dyDescent="0.25">
      <c r="A372" s="1">
        <v>44273</v>
      </c>
      <c r="B372">
        <f>171.4</f>
        <v>171.4</v>
      </c>
      <c r="C372">
        <f>137.3463</f>
        <v>137.34630000000001</v>
      </c>
      <c r="D372">
        <f>102.39</f>
        <v>102.39</v>
      </c>
      <c r="E372">
        <f>2802.27</f>
        <v>2802.27</v>
      </c>
      <c r="F372">
        <f>166.54</f>
        <v>166.54</v>
      </c>
      <c r="G372">
        <f>257.3514</f>
        <v>257.35140000000001</v>
      </c>
      <c r="H372">
        <f>223.98</f>
        <v>223.98</v>
      </c>
      <c r="I372">
        <f>475.87</f>
        <v>475.87</v>
      </c>
      <c r="J372">
        <f>3915.46</f>
        <v>3915.46</v>
      </c>
    </row>
    <row r="373" spans="1:10" x14ac:dyDescent="0.25">
      <c r="A373" s="1">
        <v>44272</v>
      </c>
      <c r="B373">
        <f>175.98</f>
        <v>175.98</v>
      </c>
      <c r="C373">
        <f>136.0352</f>
        <v>136.0352</v>
      </c>
      <c r="D373">
        <f>102.55</f>
        <v>102.55</v>
      </c>
      <c r="E373">
        <f>2826.79</f>
        <v>2826.79</v>
      </c>
      <c r="F373">
        <f>171.55</f>
        <v>171.55</v>
      </c>
      <c r="G373">
        <f>257.8904</f>
        <v>257.8904</v>
      </c>
      <c r="H373">
        <f>225.21</f>
        <v>225.21</v>
      </c>
      <c r="I373">
        <f>478.16</f>
        <v>478.16</v>
      </c>
      <c r="J373">
        <f>3974.12</f>
        <v>3974.12</v>
      </c>
    </row>
    <row r="374" spans="1:10" x14ac:dyDescent="0.25">
      <c r="A374" s="1">
        <v>44271</v>
      </c>
      <c r="B374">
        <f>175.99</f>
        <v>175.99</v>
      </c>
      <c r="C374">
        <f>135.5692</f>
        <v>135.5692</v>
      </c>
      <c r="D374">
        <f>102.33</f>
        <v>102.33</v>
      </c>
      <c r="E374">
        <f>2823.69</f>
        <v>2823.69</v>
      </c>
      <c r="F374">
        <f>170.9</f>
        <v>170.9</v>
      </c>
      <c r="G374">
        <f>257.8991</f>
        <v>257.89909999999998</v>
      </c>
      <c r="H374">
        <f>225.59</f>
        <v>225.59</v>
      </c>
      <c r="I374">
        <f>472.3</f>
        <v>472.3</v>
      </c>
      <c r="J374">
        <f>3962.71</f>
        <v>3962.71</v>
      </c>
    </row>
    <row r="375" spans="1:10" x14ac:dyDescent="0.25">
      <c r="A375" s="1">
        <v>44270</v>
      </c>
      <c r="B375">
        <f>179.21</f>
        <v>179.21</v>
      </c>
      <c r="C375">
        <f>136.221</f>
        <v>136.221</v>
      </c>
      <c r="D375">
        <f>102.56</f>
        <v>102.56</v>
      </c>
      <c r="E375">
        <f>2821.85</f>
        <v>2821.85</v>
      </c>
      <c r="F375">
        <f>174.35</f>
        <v>174.35</v>
      </c>
      <c r="G375">
        <f>256.9242</f>
        <v>256.92419999999998</v>
      </c>
      <c r="H375">
        <f>224.55</f>
        <v>224.55</v>
      </c>
      <c r="I375">
        <f>476.3</f>
        <v>476.3</v>
      </c>
      <c r="J375">
        <f>3968.94</f>
        <v>3968.94</v>
      </c>
    </row>
    <row r="376" spans="1:10" x14ac:dyDescent="0.25">
      <c r="A376" s="1">
        <v>44267</v>
      </c>
      <c r="B376">
        <f>180.82</f>
        <v>180.82</v>
      </c>
      <c r="C376">
        <f>136.5881</f>
        <v>136.5881</v>
      </c>
      <c r="D376">
        <f>99.66</f>
        <v>99.66</v>
      </c>
      <c r="E376">
        <f>2807.21</f>
        <v>2807.21</v>
      </c>
      <c r="F376">
        <f>176.47</f>
        <v>176.47</v>
      </c>
      <c r="G376">
        <f>255.8811</f>
        <v>255.8811</v>
      </c>
      <c r="H376">
        <f>222.48</f>
        <v>222.48</v>
      </c>
      <c r="I376">
        <f>474.17</f>
        <v>474.17</v>
      </c>
      <c r="J376">
        <f>3943.34</f>
        <v>3943.34</v>
      </c>
    </row>
    <row r="377" spans="1:10" x14ac:dyDescent="0.25">
      <c r="A377" s="1">
        <v>44266</v>
      </c>
      <c r="B377">
        <f>180.18</f>
        <v>180.18</v>
      </c>
      <c r="C377">
        <f>135.736</f>
        <v>135.73599999999999</v>
      </c>
      <c r="D377">
        <f>98.67</f>
        <v>98.67</v>
      </c>
      <c r="E377">
        <f>2806.07</f>
        <v>2806.07</v>
      </c>
      <c r="F377">
        <f>175.62</f>
        <v>175.62</v>
      </c>
      <c r="G377">
        <f>255.0296</f>
        <v>255.02959999999999</v>
      </c>
      <c r="H377">
        <f>220.39</f>
        <v>220.39</v>
      </c>
      <c r="I377">
        <f>464.08</f>
        <v>464.08</v>
      </c>
      <c r="J377">
        <f>3939.34</f>
        <v>3939.34</v>
      </c>
    </row>
    <row r="378" spans="1:10" x14ac:dyDescent="0.25">
      <c r="A378" s="1">
        <v>44265</v>
      </c>
      <c r="B378">
        <f>178.66</f>
        <v>178.66</v>
      </c>
      <c r="C378">
        <f>135.6423</f>
        <v>135.64230000000001</v>
      </c>
      <c r="D378">
        <f>97.32</f>
        <v>97.32</v>
      </c>
      <c r="E378">
        <f>2775.34</f>
        <v>2775.34</v>
      </c>
      <c r="F378">
        <f>174.33</f>
        <v>174.33</v>
      </c>
      <c r="G378">
        <f>255.1617</f>
        <v>255.1617</v>
      </c>
      <c r="H378">
        <f>218.12</f>
        <v>218.12</v>
      </c>
      <c r="I378">
        <f>461.21</f>
        <v>461.21</v>
      </c>
      <c r="J378">
        <f>3898.81</f>
        <v>3898.81</v>
      </c>
    </row>
    <row r="379" spans="1:10" x14ac:dyDescent="0.25">
      <c r="A379" s="1">
        <v>44264</v>
      </c>
      <c r="B379">
        <f>175.87</f>
        <v>175.87</v>
      </c>
      <c r="C379">
        <f>134.4038</f>
        <v>134.40379999999999</v>
      </c>
      <c r="D379">
        <f>97.49</f>
        <v>97.49</v>
      </c>
      <c r="E379">
        <f>2761.82</f>
        <v>2761.82</v>
      </c>
      <c r="F379">
        <f>171.02</f>
        <v>171.02</v>
      </c>
      <c r="G379">
        <f>252.5799</f>
        <v>252.57990000000001</v>
      </c>
      <c r="H379">
        <f>216.75</f>
        <v>216.75</v>
      </c>
      <c r="I379">
        <f>453.1</f>
        <v>453.1</v>
      </c>
      <c r="J379">
        <f>3875.44</f>
        <v>3875.44</v>
      </c>
    </row>
    <row r="380" spans="1:10" x14ac:dyDescent="0.25">
      <c r="A380" s="1">
        <v>44263</v>
      </c>
      <c r="B380">
        <f>177.11</f>
        <v>177.11</v>
      </c>
      <c r="C380">
        <f>134.6538</f>
        <v>134.65379999999999</v>
      </c>
      <c r="D380">
        <f>97.04</f>
        <v>97.04</v>
      </c>
      <c r="E380">
        <f>2722.64</f>
        <v>2722.64</v>
      </c>
      <c r="F380">
        <f>172.71</f>
        <v>172.71</v>
      </c>
      <c r="G380">
        <f>251.3021</f>
        <v>251.3021</v>
      </c>
      <c r="H380">
        <f>214.55</f>
        <v>214.55</v>
      </c>
      <c r="I380">
        <f>455.84</f>
        <v>455.84</v>
      </c>
      <c r="J380">
        <f>3821.35</f>
        <v>3821.35</v>
      </c>
    </row>
    <row r="381" spans="1:10" x14ac:dyDescent="0.25">
      <c r="A381" s="1">
        <v>44260</v>
      </c>
      <c r="B381">
        <f>176.98</f>
        <v>176.98</v>
      </c>
      <c r="C381">
        <f>132.8127</f>
        <v>132.81270000000001</v>
      </c>
      <c r="D381">
        <f>95.78</f>
        <v>95.78</v>
      </c>
      <c r="E381">
        <f>2728.56</f>
        <v>2728.56</v>
      </c>
      <c r="F381">
        <f>172.61</f>
        <v>172.61</v>
      </c>
      <c r="G381">
        <f>250.8099</f>
        <v>250.8099</v>
      </c>
      <c r="H381">
        <f>213.65</f>
        <v>213.65</v>
      </c>
      <c r="I381">
        <f>449</f>
        <v>449</v>
      </c>
      <c r="J381">
        <f>3841.94</f>
        <v>3841.94</v>
      </c>
    </row>
    <row r="382" spans="1:10" x14ac:dyDescent="0.25">
      <c r="A382" s="1">
        <v>44259</v>
      </c>
      <c r="B382">
        <f>173.64</f>
        <v>173.64</v>
      </c>
      <c r="C382">
        <f>132.1282</f>
        <v>132.12819999999999</v>
      </c>
      <c r="D382">
        <f>97.32</f>
        <v>97.32</v>
      </c>
      <c r="E382">
        <f>2706.48</f>
        <v>2706.48</v>
      </c>
      <c r="F382">
        <f>168.91</f>
        <v>168.91</v>
      </c>
      <c r="G382">
        <f>248.3508</f>
        <v>248.35079999999999</v>
      </c>
      <c r="H382">
        <f>213.77</f>
        <v>213.77</v>
      </c>
      <c r="I382">
        <f>450.79</f>
        <v>450.79</v>
      </c>
      <c r="J382">
        <f>3768.47</f>
        <v>3768.47</v>
      </c>
    </row>
    <row r="383" spans="1:10" x14ac:dyDescent="0.25">
      <c r="A383" s="1">
        <v>44258</v>
      </c>
      <c r="B383">
        <f>170.6</f>
        <v>170.6</v>
      </c>
      <c r="C383">
        <f>133.1622</f>
        <v>133.16220000000001</v>
      </c>
      <c r="D383">
        <f>98.98</f>
        <v>98.98</v>
      </c>
      <c r="E383">
        <f>2741.68</f>
        <v>2741.68</v>
      </c>
      <c r="F383">
        <f>165.35</f>
        <v>165.35</v>
      </c>
      <c r="G383">
        <f>248.1859</f>
        <v>248.1859</v>
      </c>
      <c r="H383">
        <f>214.9</f>
        <v>214.9</v>
      </c>
      <c r="I383">
        <f>454.7</f>
        <v>454.7</v>
      </c>
      <c r="J383">
        <f>3819.72</f>
        <v>3819.72</v>
      </c>
    </row>
    <row r="384" spans="1:10" x14ac:dyDescent="0.25">
      <c r="A384" s="1">
        <v>44257</v>
      </c>
      <c r="B384">
        <f>168.31</f>
        <v>168.31</v>
      </c>
      <c r="C384">
        <f>131.9506</f>
        <v>131.95060000000001</v>
      </c>
      <c r="D384">
        <f>97.24</f>
        <v>97.24</v>
      </c>
      <c r="E384">
        <f>2768.25</f>
        <v>2768.25</v>
      </c>
      <c r="F384">
        <f>163.11</f>
        <v>163.11000000000001</v>
      </c>
      <c r="G384">
        <f>249.1139</f>
        <v>249.1139</v>
      </c>
      <c r="H384">
        <f>216.45</f>
        <v>216.45</v>
      </c>
      <c r="I384">
        <f>450.35</f>
        <v>450.35</v>
      </c>
      <c r="J384">
        <f>3870.29</f>
        <v>3870.29</v>
      </c>
    </row>
    <row r="385" spans="1:10" x14ac:dyDescent="0.25">
      <c r="A385" s="1">
        <v>44256</v>
      </c>
      <c r="B385">
        <f>168.45</f>
        <v>168.45</v>
      </c>
      <c r="C385">
        <f>131.8234</f>
        <v>131.82339999999999</v>
      </c>
      <c r="D385">
        <f>97.96</f>
        <v>97.96</v>
      </c>
      <c r="E385">
        <f>2783.7</f>
        <v>2783.7</v>
      </c>
      <c r="F385">
        <f>163.12</f>
        <v>163.12</v>
      </c>
      <c r="G385">
        <f>249.1405</f>
        <v>249.1405</v>
      </c>
      <c r="H385">
        <f>217.5</f>
        <v>217.5</v>
      </c>
      <c r="I385">
        <f>449.84</f>
        <v>449.84</v>
      </c>
      <c r="J385">
        <f>3901.82</f>
        <v>3901.82</v>
      </c>
    </row>
    <row r="386" spans="1:10" x14ac:dyDescent="0.25">
      <c r="A386" s="1">
        <v>44253</v>
      </c>
      <c r="B386">
        <f>165.54</f>
        <v>165.54</v>
      </c>
      <c r="C386">
        <f>128.9784</f>
        <v>128.97839999999999</v>
      </c>
      <c r="D386">
        <f>96.44</f>
        <v>96.44</v>
      </c>
      <c r="E386">
        <f>2726.91</f>
        <v>2726.91</v>
      </c>
      <c r="F386">
        <f>160.02</f>
        <v>160.02000000000001</v>
      </c>
      <c r="G386">
        <f>246.5344</f>
        <v>246.53440000000001</v>
      </c>
      <c r="H386">
        <f>216.59</f>
        <v>216.59</v>
      </c>
      <c r="I386">
        <f>436.07</f>
        <v>436.07</v>
      </c>
      <c r="J386">
        <f>3811.15</f>
        <v>3811.15</v>
      </c>
    </row>
    <row r="387" spans="1:10" x14ac:dyDescent="0.25">
      <c r="A387" s="1">
        <v>44252</v>
      </c>
      <c r="B387">
        <f>170.86</f>
        <v>170.86</v>
      </c>
      <c r="C387">
        <f>132.0952</f>
        <v>132.09520000000001</v>
      </c>
      <c r="D387">
        <f>98.21</f>
        <v>98.21</v>
      </c>
      <c r="E387">
        <f>2760.26</f>
        <v>2760.26</v>
      </c>
      <c r="F387">
        <f>165.19</f>
        <v>165.19</v>
      </c>
      <c r="G387">
        <f>251.979</f>
        <v>251.97900000000001</v>
      </c>
      <c r="H387">
        <f>221.55</f>
        <v>221.55</v>
      </c>
      <c r="I387">
        <f>447.51</f>
        <v>447.51</v>
      </c>
      <c r="J387">
        <f>3829.34</f>
        <v>3829.34</v>
      </c>
    </row>
    <row r="388" spans="1:10" x14ac:dyDescent="0.25">
      <c r="A388" s="1">
        <v>44251</v>
      </c>
      <c r="B388">
        <f>171.39</f>
        <v>171.39</v>
      </c>
      <c r="C388">
        <f>132.899</f>
        <v>132.899</v>
      </c>
      <c r="D388">
        <f>98.07</f>
        <v>98.07</v>
      </c>
      <c r="E388">
        <f>2802.4</f>
        <v>2802.4</v>
      </c>
      <c r="F388">
        <f>166.14</f>
        <v>166.14</v>
      </c>
      <c r="G388">
        <f>253.6878</f>
        <v>253.68780000000001</v>
      </c>
      <c r="H388">
        <f>222.87</f>
        <v>222.87</v>
      </c>
      <c r="I388">
        <f>461.99</f>
        <v>461.99</v>
      </c>
      <c r="J388">
        <f>3925.43</f>
        <v>3925.43</v>
      </c>
    </row>
    <row r="389" spans="1:10" x14ac:dyDescent="0.25">
      <c r="A389" s="1">
        <v>44250</v>
      </c>
      <c r="B389">
        <f>167.77</f>
        <v>167.77</v>
      </c>
      <c r="C389">
        <f>131.4663</f>
        <v>131.46629999999999</v>
      </c>
      <c r="D389">
        <f>96.02</f>
        <v>96.02</v>
      </c>
      <c r="E389">
        <f>2789.21</f>
        <v>2789.21</v>
      </c>
      <c r="F389">
        <f>161.95</f>
        <v>161.94999999999999</v>
      </c>
      <c r="G389">
        <f>254.6642</f>
        <v>254.66419999999999</v>
      </c>
      <c r="H389">
        <f>222.21</f>
        <v>222.21</v>
      </c>
      <c r="I389">
        <f>448.22</f>
        <v>448.22</v>
      </c>
      <c r="J389">
        <f>3881.37</f>
        <v>3881.37</v>
      </c>
    </row>
    <row r="390" spans="1:10" x14ac:dyDescent="0.25">
      <c r="A390" s="1">
        <v>44249</v>
      </c>
      <c r="B390">
        <f>165.34</f>
        <v>165.34</v>
      </c>
      <c r="C390">
        <f>130.6056</f>
        <v>130.60560000000001</v>
      </c>
      <c r="D390">
        <f>93.34</f>
        <v>93.34</v>
      </c>
      <c r="E390">
        <f>2788.11</f>
        <v>2788.11</v>
      </c>
      <c r="F390">
        <f>159.66</f>
        <v>159.66</v>
      </c>
      <c r="G390">
        <f>254.5759</f>
        <v>254.57589999999999</v>
      </c>
      <c r="H390">
        <f>220.46</f>
        <v>220.46</v>
      </c>
      <c r="I390">
        <f>442.78</f>
        <v>442.78</v>
      </c>
      <c r="J390">
        <f>3876.5</f>
        <v>3876.5</v>
      </c>
    </row>
    <row r="391" spans="1:10" x14ac:dyDescent="0.25">
      <c r="A391" s="1">
        <v>44246</v>
      </c>
      <c r="B391">
        <f>162.89</f>
        <v>162.88999999999999</v>
      </c>
      <c r="C391">
        <f>129.7289</f>
        <v>129.72890000000001</v>
      </c>
      <c r="D391">
        <f>90.91</f>
        <v>90.91</v>
      </c>
      <c r="E391">
        <f>2806.47</f>
        <v>2806.47</v>
      </c>
      <c r="F391">
        <f>155.57</f>
        <v>155.57</v>
      </c>
      <c r="G391">
        <f>255.1168</f>
        <v>255.11680000000001</v>
      </c>
      <c r="H391">
        <f>219.3</f>
        <v>219.3</v>
      </c>
      <c r="I391">
        <f>441.63</f>
        <v>441.63</v>
      </c>
      <c r="J391">
        <f>3906.71</f>
        <v>3906.71</v>
      </c>
    </row>
    <row r="392" spans="1:10" x14ac:dyDescent="0.25">
      <c r="A392" s="1">
        <v>44245</v>
      </c>
      <c r="B392">
        <f>161.41</f>
        <v>161.41</v>
      </c>
      <c r="C392">
        <f>128.2233</f>
        <v>128.22329999999999</v>
      </c>
      <c r="D392">
        <f>90.31</f>
        <v>90.31</v>
      </c>
      <c r="E392">
        <f>2802.92</f>
        <v>2802.92</v>
      </c>
      <c r="F392">
        <f>153.75</f>
        <v>153.75</v>
      </c>
      <c r="G392">
        <f>257.2075</f>
        <v>257.20749999999998</v>
      </c>
      <c r="H392">
        <f>218.42</f>
        <v>218.42</v>
      </c>
      <c r="I392">
        <f>433.8</f>
        <v>433.8</v>
      </c>
      <c r="J392">
        <f>3913.97</f>
        <v>3913.97</v>
      </c>
    </row>
    <row r="393" spans="1:10" x14ac:dyDescent="0.25">
      <c r="A393" s="1">
        <v>44244</v>
      </c>
      <c r="B393">
        <f>164.01</f>
        <v>164.01</v>
      </c>
      <c r="C393">
        <f>129.0511</f>
        <v>129.05109999999999</v>
      </c>
      <c r="D393">
        <f>90.41</f>
        <v>90.41</v>
      </c>
      <c r="E393">
        <f>2815.98</f>
        <v>2815.98</v>
      </c>
      <c r="F393">
        <f>156.47</f>
        <v>156.47</v>
      </c>
      <c r="G393">
        <f>257.7859</f>
        <v>257.78590000000003</v>
      </c>
      <c r="H393">
        <f>219.23</f>
        <v>219.23</v>
      </c>
      <c r="I393">
        <f>439.45</f>
        <v>439.45</v>
      </c>
      <c r="J393">
        <f>3931.33</f>
        <v>3931.33</v>
      </c>
    </row>
    <row r="394" spans="1:10" x14ac:dyDescent="0.25">
      <c r="A394" s="1">
        <v>44243</v>
      </c>
      <c r="B394">
        <f>163</f>
        <v>163</v>
      </c>
      <c r="C394">
        <f>129.1757</f>
        <v>129.17570000000001</v>
      </c>
      <c r="D394">
        <f>90.19</f>
        <v>90.19</v>
      </c>
      <c r="E394">
        <f>2828.15</f>
        <v>2828.15</v>
      </c>
      <c r="F394">
        <f>155.12</f>
        <v>155.12</v>
      </c>
      <c r="G394">
        <f>258.4733</f>
        <v>258.47329999999999</v>
      </c>
      <c r="H394">
        <f>220.26</f>
        <v>220.26</v>
      </c>
      <c r="I394">
        <f>437.76</f>
        <v>437.76</v>
      </c>
      <c r="J394">
        <f>3932.59</f>
        <v>3932.59</v>
      </c>
    </row>
    <row r="395" spans="1:10" x14ac:dyDescent="0.25">
      <c r="A395" s="1">
        <v>44242</v>
      </c>
      <c r="B395">
        <f>161.02</f>
        <v>161.02000000000001</v>
      </c>
      <c r="C395">
        <f>127.7236</f>
        <v>127.7236</v>
      </c>
      <c r="D395">
        <f>89.16</f>
        <v>89.16</v>
      </c>
      <c r="E395">
        <f>2829.67</f>
        <v>2829.67</v>
      </c>
      <c r="F395">
        <f>153.11</f>
        <v>153.11000000000001</v>
      </c>
      <c r="G395">
        <f>259.1566</f>
        <v>259.15660000000003</v>
      </c>
      <c r="H395">
        <f>220.82</f>
        <v>220.82</v>
      </c>
      <c r="I395">
        <f>437.62</f>
        <v>437.62</v>
      </c>
      <c r="J395" t="e">
        <f>NA()</f>
        <v>#N/A</v>
      </c>
    </row>
    <row r="396" spans="1:10" x14ac:dyDescent="0.25">
      <c r="A396" s="1">
        <v>44239</v>
      </c>
      <c r="B396">
        <f>158.67</f>
        <v>158.66999999999999</v>
      </c>
      <c r="C396">
        <f>126.8108</f>
        <v>126.8108</v>
      </c>
      <c r="D396">
        <f>89.07</f>
        <v>89.07</v>
      </c>
      <c r="E396">
        <f>2818.85</f>
        <v>2818.85</v>
      </c>
      <c r="F396">
        <f>150.57</f>
        <v>150.57</v>
      </c>
      <c r="G396">
        <f>258.0659</f>
        <v>258.0659</v>
      </c>
      <c r="H396">
        <f>220.47</f>
        <v>220.47</v>
      </c>
      <c r="I396">
        <f>435.66</f>
        <v>435.66</v>
      </c>
      <c r="J396">
        <f>3934.83</f>
        <v>3934.83</v>
      </c>
    </row>
    <row r="397" spans="1:10" x14ac:dyDescent="0.25">
      <c r="A397" s="1">
        <v>44238</v>
      </c>
      <c r="B397">
        <f>157.13</f>
        <v>157.13</v>
      </c>
      <c r="C397">
        <f>126.0932</f>
        <v>126.0932</v>
      </c>
      <c r="D397">
        <f>88.98</f>
        <v>88.98</v>
      </c>
      <c r="E397">
        <f>2807.16</f>
        <v>2807.16</v>
      </c>
      <c r="F397">
        <f>148.9</f>
        <v>148.9</v>
      </c>
      <c r="G397">
        <f>257.5863</f>
        <v>257.58629999999999</v>
      </c>
      <c r="H397">
        <f>220.49</f>
        <v>220.49</v>
      </c>
      <c r="I397">
        <f>435.56</f>
        <v>435.56</v>
      </c>
      <c r="J397">
        <f>3916.38</f>
        <v>3916.38</v>
      </c>
    </row>
    <row r="398" spans="1:10" x14ac:dyDescent="0.25">
      <c r="A398" s="1">
        <v>44237</v>
      </c>
      <c r="B398">
        <f>158.2</f>
        <v>158.19999999999999</v>
      </c>
      <c r="C398">
        <f>126.1451</f>
        <v>126.1451</v>
      </c>
      <c r="D398">
        <f>88.76</f>
        <v>88.76</v>
      </c>
      <c r="E398">
        <f>2800.68</f>
        <v>2800.68</v>
      </c>
      <c r="F398">
        <f>150.55</f>
        <v>150.55000000000001</v>
      </c>
      <c r="G398">
        <f>258.31</f>
        <v>258.31</v>
      </c>
      <c r="H398">
        <f>220.61</f>
        <v>220.61</v>
      </c>
      <c r="I398">
        <f>437.3</f>
        <v>437.3</v>
      </c>
      <c r="J398">
        <f>3909.88</f>
        <v>3909.88</v>
      </c>
    </row>
    <row r="399" spans="1:10" x14ac:dyDescent="0.25">
      <c r="A399" s="1">
        <v>44236</v>
      </c>
      <c r="B399">
        <f>156.57</f>
        <v>156.57</v>
      </c>
      <c r="C399">
        <f>125.7781</f>
        <v>125.77809999999999</v>
      </c>
      <c r="D399">
        <f>88.91</f>
        <v>88.91</v>
      </c>
      <c r="E399">
        <f>2798.55</f>
        <v>2798.55</v>
      </c>
      <c r="F399">
        <f>148.74</f>
        <v>148.74</v>
      </c>
      <c r="G399">
        <f>258.4844</f>
        <v>258.48439999999999</v>
      </c>
      <c r="H399">
        <f>219.25</f>
        <v>219.25</v>
      </c>
      <c r="I399">
        <f>439.44</f>
        <v>439.44</v>
      </c>
      <c r="J399">
        <f>3911.23</f>
        <v>3911.23</v>
      </c>
    </row>
    <row r="400" spans="1:10" x14ac:dyDescent="0.25">
      <c r="A400" s="1">
        <v>44235</v>
      </c>
      <c r="B400">
        <f>157.68</f>
        <v>157.68</v>
      </c>
      <c r="C400">
        <f>125.5597</f>
        <v>125.55970000000001</v>
      </c>
      <c r="D400">
        <f>89.56</f>
        <v>89.56</v>
      </c>
      <c r="E400">
        <f>2795.89</f>
        <v>2795.89</v>
      </c>
      <c r="F400">
        <f>150.06</f>
        <v>150.06</v>
      </c>
      <c r="G400">
        <f>257.7984</f>
        <v>257.79840000000002</v>
      </c>
      <c r="H400">
        <f>218.51</f>
        <v>218.51</v>
      </c>
      <c r="I400">
        <f>436.39</f>
        <v>436.39</v>
      </c>
      <c r="J400">
        <f>3915.59</f>
        <v>3915.59</v>
      </c>
    </row>
    <row r="401" spans="1:10" x14ac:dyDescent="0.25">
      <c r="A401" s="1">
        <v>44232</v>
      </c>
      <c r="B401">
        <f>153.88</f>
        <v>153.88</v>
      </c>
      <c r="C401">
        <f>124.2019</f>
        <v>124.20189999999999</v>
      </c>
      <c r="D401">
        <f>87.23</f>
        <v>87.23</v>
      </c>
      <c r="E401">
        <f>2773.45</f>
        <v>2773.45</v>
      </c>
      <c r="F401">
        <f>145.85</f>
        <v>145.85</v>
      </c>
      <c r="G401">
        <f>256.794</f>
        <v>256.79399999999998</v>
      </c>
      <c r="H401">
        <f>217.9</f>
        <v>217.9</v>
      </c>
      <c r="I401">
        <f>433.15</f>
        <v>433.15</v>
      </c>
      <c r="J401">
        <f>3886.83</f>
        <v>3886.83</v>
      </c>
    </row>
    <row r="402" spans="1:10" x14ac:dyDescent="0.25">
      <c r="A402" s="1">
        <v>44231</v>
      </c>
      <c r="B402">
        <f>152.33</f>
        <v>152.33000000000001</v>
      </c>
      <c r="C402">
        <f>123.4403</f>
        <v>123.44029999999999</v>
      </c>
      <c r="D402">
        <f>86.03</f>
        <v>86.03</v>
      </c>
      <c r="E402">
        <f>2757.66</f>
        <v>2757.66</v>
      </c>
      <c r="F402">
        <f>144.34</f>
        <v>144.34</v>
      </c>
      <c r="G402">
        <f>255.4588</f>
        <v>255.4588</v>
      </c>
      <c r="H402">
        <f>216.9</f>
        <v>216.9</v>
      </c>
      <c r="I402">
        <f>434.69</f>
        <v>434.69</v>
      </c>
      <c r="J402">
        <f>3871.74</f>
        <v>3871.74</v>
      </c>
    </row>
    <row r="403" spans="1:10" x14ac:dyDescent="0.25">
      <c r="A403" s="1">
        <v>44230</v>
      </c>
      <c r="B403">
        <f>151.98</f>
        <v>151.97999999999999</v>
      </c>
      <c r="C403">
        <f>121.5732</f>
        <v>121.5732</v>
      </c>
      <c r="D403">
        <f>84.78</f>
        <v>84.78</v>
      </c>
      <c r="E403">
        <f>2737.93</f>
        <v>2737.93</v>
      </c>
      <c r="F403">
        <f>144.2</f>
        <v>144.19999999999999</v>
      </c>
      <c r="G403">
        <f>255.7059</f>
        <v>255.70590000000001</v>
      </c>
      <c r="H403">
        <f>216.82</f>
        <v>216.82</v>
      </c>
      <c r="I403">
        <f>425.74</f>
        <v>425.74</v>
      </c>
      <c r="J403">
        <f>3830.17</f>
        <v>3830.17</v>
      </c>
    </row>
    <row r="404" spans="1:10" x14ac:dyDescent="0.25">
      <c r="A404" s="1">
        <v>44229</v>
      </c>
      <c r="B404">
        <f>148.61</f>
        <v>148.61000000000001</v>
      </c>
      <c r="C404">
        <f>120.8136</f>
        <v>120.81359999999999</v>
      </c>
      <c r="D404">
        <f>83.32</f>
        <v>83.32</v>
      </c>
      <c r="E404">
        <f>2731.95</f>
        <v>2731.95</v>
      </c>
      <c r="F404">
        <f>140.34</f>
        <v>140.34</v>
      </c>
      <c r="G404">
        <f>255.4155</f>
        <v>255.41550000000001</v>
      </c>
      <c r="H404">
        <f>216.66</f>
        <v>216.66</v>
      </c>
      <c r="I404">
        <f>421.94</f>
        <v>421.94</v>
      </c>
      <c r="J404">
        <f>3826.31</f>
        <v>3826.31</v>
      </c>
    </row>
    <row r="405" spans="1:10" x14ac:dyDescent="0.25">
      <c r="A405" s="1">
        <v>44228</v>
      </c>
      <c r="B405">
        <f>147.33</f>
        <v>147.33000000000001</v>
      </c>
      <c r="C405">
        <f>118.4707</f>
        <v>118.47069999999999</v>
      </c>
      <c r="D405">
        <f>82.02</f>
        <v>82.02</v>
      </c>
      <c r="E405">
        <f>2697.88</f>
        <v>2697.88</v>
      </c>
      <c r="F405">
        <f>139.7</f>
        <v>139.69999999999999</v>
      </c>
      <c r="G405">
        <f>253.795</f>
        <v>253.79499999999999</v>
      </c>
      <c r="H405">
        <f>215.93</f>
        <v>215.93</v>
      </c>
      <c r="I405">
        <f>408.25</f>
        <v>408.25</v>
      </c>
      <c r="J405">
        <f>3773.86</f>
        <v>3773.86</v>
      </c>
    </row>
    <row r="406" spans="1:10" x14ac:dyDescent="0.25">
      <c r="A406" s="1">
        <v>44225</v>
      </c>
      <c r="B406">
        <f>146.87</f>
        <v>146.87</v>
      </c>
      <c r="C406">
        <f>117.4024</f>
        <v>117.4024</v>
      </c>
      <c r="D406">
        <f>81.19</f>
        <v>81.19</v>
      </c>
      <c r="E406">
        <f>2661.69</f>
        <v>2661.69</v>
      </c>
      <c r="F406">
        <f>139.68</f>
        <v>139.68</v>
      </c>
      <c r="G406">
        <f>253.2747</f>
        <v>253.2747</v>
      </c>
      <c r="H406">
        <f>212.67</f>
        <v>212.67</v>
      </c>
      <c r="I406">
        <f>405.24</f>
        <v>405.24</v>
      </c>
      <c r="J406">
        <f>3714.24</f>
        <v>3714.24</v>
      </c>
    </row>
    <row r="407" spans="1:10" x14ac:dyDescent="0.25">
      <c r="A407" s="1">
        <v>44224</v>
      </c>
      <c r="B407">
        <f>150.52</f>
        <v>150.52000000000001</v>
      </c>
      <c r="C407">
        <f>119.6392</f>
        <v>119.6392</v>
      </c>
      <c r="D407">
        <f>82.88</f>
        <v>82.88</v>
      </c>
      <c r="E407">
        <f>2710.6</f>
        <v>2710.6</v>
      </c>
      <c r="F407">
        <f>143.37</f>
        <v>143.37</v>
      </c>
      <c r="G407">
        <f>258.2216</f>
        <v>258.22160000000002</v>
      </c>
      <c r="H407">
        <f>214.13</f>
        <v>214.13</v>
      </c>
      <c r="I407">
        <f>413.1</f>
        <v>413.1</v>
      </c>
      <c r="J407">
        <f>3787.38</f>
        <v>3787.38</v>
      </c>
    </row>
    <row r="408" spans="1:10" x14ac:dyDescent="0.25">
      <c r="A408" s="1">
        <v>44223</v>
      </c>
      <c r="B408">
        <f>150.25</f>
        <v>150.25</v>
      </c>
      <c r="C408">
        <f>118.5594</f>
        <v>118.5594</v>
      </c>
      <c r="D408">
        <f>81.81</f>
        <v>81.81</v>
      </c>
      <c r="E408">
        <f>2694.42</f>
        <v>2694.42</v>
      </c>
      <c r="F408">
        <f>143.01</f>
        <v>143.01</v>
      </c>
      <c r="G408">
        <f>257.8639</f>
        <v>257.8639</v>
      </c>
      <c r="H408">
        <f>213.98</f>
        <v>213.98</v>
      </c>
      <c r="I408">
        <f>409.2</f>
        <v>409.2</v>
      </c>
      <c r="J408">
        <f>3750.77</f>
        <v>3750.77</v>
      </c>
    </row>
    <row r="409" spans="1:10" x14ac:dyDescent="0.25">
      <c r="A409" s="1">
        <v>44222</v>
      </c>
      <c r="B409">
        <f>152.35</f>
        <v>152.35</v>
      </c>
      <c r="C409">
        <f>121.3031</f>
        <v>121.3031</v>
      </c>
      <c r="D409">
        <f>82.79</f>
        <v>82.79</v>
      </c>
      <c r="E409">
        <f>2754.12</f>
        <v>2754.12</v>
      </c>
      <c r="F409">
        <f>144.91</f>
        <v>144.91</v>
      </c>
      <c r="G409">
        <f>260.851</f>
        <v>260.851</v>
      </c>
      <c r="H409">
        <f>215.86</f>
        <v>215.86</v>
      </c>
      <c r="I409">
        <f>416.29</f>
        <v>416.29</v>
      </c>
      <c r="J409">
        <f>3849.62</f>
        <v>3849.62</v>
      </c>
    </row>
    <row r="410" spans="1:10" x14ac:dyDescent="0.25">
      <c r="A410" s="1">
        <v>44221</v>
      </c>
      <c r="B410">
        <f>153.39</f>
        <v>153.38999999999999</v>
      </c>
      <c r="C410">
        <f>121.4985</f>
        <v>121.49850000000001</v>
      </c>
      <c r="D410">
        <f>82.68</f>
        <v>82.68</v>
      </c>
      <c r="E410">
        <f>2756.87</f>
        <v>2756.87</v>
      </c>
      <c r="F410">
        <f>146.02</f>
        <v>146.02000000000001</v>
      </c>
      <c r="G410">
        <f>258.9695</f>
        <v>258.96949999999998</v>
      </c>
      <c r="H410">
        <f>214.09</f>
        <v>214.09</v>
      </c>
      <c r="I410">
        <f>420.44</f>
        <v>420.44</v>
      </c>
      <c r="J410">
        <f>3855.36</f>
        <v>3855.36</v>
      </c>
    </row>
    <row r="411" spans="1:10" x14ac:dyDescent="0.25">
      <c r="A411" s="1">
        <v>44218</v>
      </c>
      <c r="B411">
        <f>155.59</f>
        <v>155.59</v>
      </c>
      <c r="C411">
        <f>122.6243</f>
        <v>122.62430000000001</v>
      </c>
      <c r="D411">
        <f>83.68</f>
        <v>83.68</v>
      </c>
      <c r="E411">
        <f>2755.66</f>
        <v>2755.66</v>
      </c>
      <c r="F411">
        <f>147.98</f>
        <v>147.97999999999999</v>
      </c>
      <c r="G411">
        <f>257.2699</f>
        <v>257.26990000000001</v>
      </c>
      <c r="H411">
        <f>213.32</f>
        <v>213.32</v>
      </c>
      <c r="I411">
        <f>426.57</f>
        <v>426.57</v>
      </c>
      <c r="J411">
        <f>3841.47</f>
        <v>3841.47</v>
      </c>
    </row>
    <row r="412" spans="1:10" x14ac:dyDescent="0.25">
      <c r="A412" s="1">
        <v>44217</v>
      </c>
      <c r="B412">
        <f>157.7</f>
        <v>157.69999999999999</v>
      </c>
      <c r="C412">
        <f>123.9465</f>
        <v>123.9465</v>
      </c>
      <c r="D412">
        <f>84.64</f>
        <v>84.64</v>
      </c>
      <c r="E412">
        <f>2765.57</f>
        <v>2765.57</v>
      </c>
      <c r="F412">
        <f>149.54</f>
        <v>149.54</v>
      </c>
      <c r="G412">
        <f>257.6451</f>
        <v>257.64510000000001</v>
      </c>
      <c r="H412">
        <f>213.25</f>
        <v>213.25</v>
      </c>
      <c r="I412">
        <f>427.89</f>
        <v>427.89</v>
      </c>
      <c r="J412">
        <f>3853.07</f>
        <v>3853.07</v>
      </c>
    </row>
    <row r="413" spans="1:10" x14ac:dyDescent="0.25">
      <c r="A413" s="1">
        <v>44216</v>
      </c>
      <c r="B413">
        <f>161.06</f>
        <v>161.06</v>
      </c>
      <c r="C413">
        <f>124.4933</f>
        <v>124.4933</v>
      </c>
      <c r="D413">
        <f>85.18</f>
        <v>85.18</v>
      </c>
      <c r="E413">
        <f>2761.48</f>
        <v>2761.48</v>
      </c>
      <c r="F413">
        <f>153.19</f>
        <v>153.19</v>
      </c>
      <c r="G413">
        <f>257.7328</f>
        <v>257.7328</v>
      </c>
      <c r="H413">
        <f>213.93</f>
        <v>213.93</v>
      </c>
      <c r="I413">
        <f>435.22</f>
        <v>435.22</v>
      </c>
      <c r="J413">
        <f>3851.85</f>
        <v>3851.85</v>
      </c>
    </row>
    <row r="414" spans="1:10" x14ac:dyDescent="0.25">
      <c r="A414" s="1">
        <v>44215</v>
      </c>
      <c r="B414">
        <f>160.19</f>
        <v>160.19</v>
      </c>
      <c r="C414">
        <f>124.7438</f>
        <v>124.74379999999999</v>
      </c>
      <c r="D414">
        <f>84.77</f>
        <v>84.77</v>
      </c>
      <c r="E414">
        <f>2732.48</f>
        <v>2732.48</v>
      </c>
      <c r="F414">
        <f>152.22</f>
        <v>152.22</v>
      </c>
      <c r="G414">
        <f>257.5604</f>
        <v>257.56040000000002</v>
      </c>
      <c r="H414">
        <f>211.31</f>
        <v>211.31</v>
      </c>
      <c r="I414">
        <f>433.65</f>
        <v>433.65</v>
      </c>
      <c r="J414">
        <f>3798.91</f>
        <v>3798.91</v>
      </c>
    </row>
    <row r="415" spans="1:10" x14ac:dyDescent="0.25">
      <c r="A415" s="1">
        <v>44214</v>
      </c>
      <c r="B415">
        <f>158.01</f>
        <v>158.01</v>
      </c>
      <c r="C415">
        <f>124.2096</f>
        <v>124.20959999999999</v>
      </c>
      <c r="D415">
        <f>83.32</f>
        <v>83.32</v>
      </c>
      <c r="E415">
        <f>2713.49</f>
        <v>2713.49</v>
      </c>
      <c r="F415">
        <f>149.72</f>
        <v>149.72</v>
      </c>
      <c r="G415">
        <f>258.0198</f>
        <v>258.01979999999998</v>
      </c>
      <c r="H415">
        <f>211.26</f>
        <v>211.26</v>
      </c>
      <c r="I415">
        <f>432.29</f>
        <v>432.29</v>
      </c>
      <c r="J415" t="e">
        <f>NA()</f>
        <v>#N/A</v>
      </c>
    </row>
    <row r="416" spans="1:10" x14ac:dyDescent="0.25">
      <c r="A416" s="1">
        <v>44211</v>
      </c>
      <c r="B416">
        <f>158.47</f>
        <v>158.47</v>
      </c>
      <c r="C416">
        <f>124.2492</f>
        <v>124.2492</v>
      </c>
      <c r="D416">
        <f>84.34</f>
        <v>84.34</v>
      </c>
      <c r="E416">
        <f>2714.81</f>
        <v>2714.81</v>
      </c>
      <c r="F416">
        <f>150.42</f>
        <v>150.41999999999999</v>
      </c>
      <c r="G416">
        <f>258.3805</f>
        <v>258.38049999999998</v>
      </c>
      <c r="H416">
        <f>211.45</f>
        <v>211.45</v>
      </c>
      <c r="I416">
        <f>433.49</f>
        <v>433.49</v>
      </c>
      <c r="J416">
        <f>3768.25</f>
        <v>3768.25</v>
      </c>
    </row>
    <row r="417" spans="1:10" x14ac:dyDescent="0.25">
      <c r="A417" s="1">
        <v>44210</v>
      </c>
      <c r="B417">
        <f>163.11</f>
        <v>163.11000000000001</v>
      </c>
      <c r="C417">
        <f>125.94</f>
        <v>125.94</v>
      </c>
      <c r="D417">
        <f>85.85</f>
        <v>85.85</v>
      </c>
      <c r="E417">
        <f>2738.09</f>
        <v>2738.09</v>
      </c>
      <c r="F417">
        <f>155.2</f>
        <v>155.19999999999999</v>
      </c>
      <c r="G417">
        <f>259.3614</f>
        <v>259.3614</v>
      </c>
      <c r="H417">
        <f>210.14</f>
        <v>210.14</v>
      </c>
      <c r="I417">
        <f>440.97</f>
        <v>440.97</v>
      </c>
      <c r="J417">
        <f>3795.54</f>
        <v>3795.54</v>
      </c>
    </row>
    <row r="418" spans="1:10" x14ac:dyDescent="0.25">
      <c r="A418" s="1">
        <v>44209</v>
      </c>
      <c r="B418">
        <f>159.86</f>
        <v>159.86000000000001</v>
      </c>
      <c r="C418">
        <f>125.2935</f>
        <v>125.29349999999999</v>
      </c>
      <c r="D418">
        <f>84.5</f>
        <v>84.5</v>
      </c>
      <c r="E418">
        <f>2739.87</f>
        <v>2739.87</v>
      </c>
      <c r="F418">
        <f>151.62</f>
        <v>151.62</v>
      </c>
      <c r="G418">
        <f>259.8769</f>
        <v>259.87689999999998</v>
      </c>
      <c r="H418">
        <f>208.76</f>
        <v>208.76</v>
      </c>
      <c r="I418">
        <f>435.4</f>
        <v>435.4</v>
      </c>
      <c r="J418">
        <f>3809.84</f>
        <v>3809.84</v>
      </c>
    </row>
    <row r="419" spans="1:10" x14ac:dyDescent="0.25">
      <c r="A419" s="1">
        <v>44208</v>
      </c>
      <c r="B419">
        <f>159.87</f>
        <v>159.87</v>
      </c>
      <c r="C419">
        <f>125.4886</f>
        <v>125.48860000000001</v>
      </c>
      <c r="D419">
        <f>84.08</f>
        <v>84.08</v>
      </c>
      <c r="E419">
        <f>2734.4</f>
        <v>2734.4</v>
      </c>
      <c r="F419">
        <f>151.79</f>
        <v>151.79</v>
      </c>
      <c r="G419">
        <f>259.367</f>
        <v>259.36700000000002</v>
      </c>
      <c r="H419">
        <f>207.14</f>
        <v>207.14</v>
      </c>
      <c r="I419">
        <f>436.97</f>
        <v>436.97</v>
      </c>
      <c r="J419">
        <f>3801.19</f>
        <v>3801.19</v>
      </c>
    </row>
    <row r="420" spans="1:10" x14ac:dyDescent="0.25">
      <c r="A420" s="1">
        <v>44207</v>
      </c>
      <c r="B420">
        <f>156.28</f>
        <v>156.28</v>
      </c>
      <c r="C420">
        <f>124.2056</f>
        <v>124.2056</v>
      </c>
      <c r="D420">
        <f>83.13</f>
        <v>83.13</v>
      </c>
      <c r="E420">
        <f>2730.05</f>
        <v>2730.05</v>
      </c>
      <c r="F420">
        <f>148.21</f>
        <v>148.21</v>
      </c>
      <c r="G420">
        <f>260.4822</f>
        <v>260.48219999999998</v>
      </c>
      <c r="H420">
        <f>207.36</f>
        <v>207.36</v>
      </c>
      <c r="I420">
        <f>432.07</f>
        <v>432.07</v>
      </c>
      <c r="J420">
        <f>3799.61</f>
        <v>3799.61</v>
      </c>
    </row>
    <row r="421" spans="1:10" x14ac:dyDescent="0.25">
      <c r="A421" s="1">
        <v>44204</v>
      </c>
      <c r="B421">
        <f>156.29</f>
        <v>156.29</v>
      </c>
      <c r="C421">
        <f>124.6936</f>
        <v>124.6936</v>
      </c>
      <c r="D421">
        <f>84.13</f>
        <v>84.13</v>
      </c>
      <c r="E421">
        <f>2753.31</f>
        <v>2753.31</v>
      </c>
      <c r="F421">
        <f>147.98</f>
        <v>147.97999999999999</v>
      </c>
      <c r="G421">
        <f>263.7357</f>
        <v>263.73570000000001</v>
      </c>
      <c r="H421">
        <f>210.25</f>
        <v>210.25</v>
      </c>
      <c r="I421">
        <f>433.25</f>
        <v>433.25</v>
      </c>
      <c r="J421">
        <f>3824.68</f>
        <v>3824.68</v>
      </c>
    </row>
    <row r="422" spans="1:10" x14ac:dyDescent="0.25">
      <c r="A422" s="1">
        <v>44203</v>
      </c>
      <c r="B422">
        <f>155.83</f>
        <v>155.83000000000001</v>
      </c>
      <c r="C422">
        <f>124.5432</f>
        <v>124.5432</v>
      </c>
      <c r="D422">
        <f>84.44</f>
        <v>84.44</v>
      </c>
      <c r="E422">
        <f>2734.19</f>
        <v>2734.19</v>
      </c>
      <c r="F422">
        <f>148.02</f>
        <v>148.02000000000001</v>
      </c>
      <c r="G422">
        <f>262.5106</f>
        <v>262.51060000000001</v>
      </c>
      <c r="H422">
        <f>208.51</f>
        <v>208.51</v>
      </c>
      <c r="I422">
        <f>434.86</f>
        <v>434.86</v>
      </c>
      <c r="J422">
        <f>3803.79</f>
        <v>3803.79</v>
      </c>
    </row>
    <row r="423" spans="1:10" x14ac:dyDescent="0.25">
      <c r="A423" s="1">
        <v>44202</v>
      </c>
      <c r="B423">
        <f>153.8</f>
        <v>153.80000000000001</v>
      </c>
      <c r="C423">
        <f>122.9684</f>
        <v>122.9684</v>
      </c>
      <c r="D423">
        <f>84.27</f>
        <v>84.27</v>
      </c>
      <c r="E423">
        <f>2699.51</f>
        <v>2699.51</v>
      </c>
      <c r="F423">
        <f>145.74</f>
        <v>145.74</v>
      </c>
      <c r="G423">
        <f>263.1212</f>
        <v>263.12119999999999</v>
      </c>
      <c r="H423">
        <f>208.77</f>
        <v>208.77</v>
      </c>
      <c r="I423">
        <f>436.68</f>
        <v>436.68</v>
      </c>
      <c r="J423">
        <f>3748.14</f>
        <v>3748.14</v>
      </c>
    </row>
    <row r="424" spans="1:10" x14ac:dyDescent="0.25">
      <c r="A424" s="1">
        <v>44201</v>
      </c>
      <c r="B424">
        <f>150.03</f>
        <v>150.03</v>
      </c>
      <c r="C424">
        <f>118.932</f>
        <v>118.932</v>
      </c>
      <c r="D424">
        <f>83.48</f>
        <v>83.48</v>
      </c>
      <c r="E424">
        <f>2684.18</f>
        <v>2684.18</v>
      </c>
      <c r="F424">
        <f>141.52</f>
        <v>141.52000000000001</v>
      </c>
      <c r="G424">
        <f>263.4897</f>
        <v>263.48970000000003</v>
      </c>
      <c r="H424">
        <f>209.78</f>
        <v>209.78</v>
      </c>
      <c r="I424">
        <f>434.72</f>
        <v>434.72</v>
      </c>
      <c r="J424">
        <f>3726.86</f>
        <v>3726.86</v>
      </c>
    </row>
    <row r="425" spans="1:10" x14ac:dyDescent="0.25">
      <c r="A425" s="1">
        <v>44200</v>
      </c>
      <c r="B425">
        <f>144.96</f>
        <v>144.96</v>
      </c>
      <c r="C425">
        <f>118.6646</f>
        <v>118.66459999999999</v>
      </c>
      <c r="D425">
        <f>83.12</f>
        <v>83.12</v>
      </c>
      <c r="E425">
        <f>2670.04</f>
        <v>2670.04</v>
      </c>
      <c r="F425">
        <f>135.5</f>
        <v>135.5</v>
      </c>
      <c r="G425">
        <f>263.9202</f>
        <v>263.92020000000002</v>
      </c>
      <c r="H425">
        <f>209.35</f>
        <v>209.35</v>
      </c>
      <c r="I425">
        <f>427.66</f>
        <v>427.66</v>
      </c>
      <c r="J425">
        <f>3700.65</f>
        <v>3700.65</v>
      </c>
    </row>
    <row r="426" spans="1:10" x14ac:dyDescent="0.25">
      <c r="A426" s="1">
        <v>44197</v>
      </c>
      <c r="B426">
        <f>144.6</f>
        <v>144.6</v>
      </c>
      <c r="C426">
        <f>119.4167</f>
        <v>119.41670000000001</v>
      </c>
      <c r="D426">
        <f>84.75</f>
        <v>84.75</v>
      </c>
      <c r="E426">
        <f>2690.04</f>
        <v>2690.04</v>
      </c>
      <c r="F426">
        <f>135.7</f>
        <v>135.69999999999999</v>
      </c>
      <c r="G426">
        <f>264.6479</f>
        <v>264.64789999999999</v>
      </c>
      <c r="H426">
        <f>214.02</f>
        <v>214.02</v>
      </c>
      <c r="I426">
        <f>440.92</f>
        <v>440.92</v>
      </c>
      <c r="J426" t="e">
        <f>NA()</f>
        <v>#N/A</v>
      </c>
    </row>
    <row r="427" spans="1:10" x14ac:dyDescent="0.25">
      <c r="A427" s="1">
        <v>44196</v>
      </c>
      <c r="B427">
        <f>144.58</f>
        <v>144.58000000000001</v>
      </c>
      <c r="C427">
        <f>119.4167</f>
        <v>119.41670000000001</v>
      </c>
      <c r="D427">
        <f>84.77</f>
        <v>84.77</v>
      </c>
      <c r="E427">
        <f>2690.04</f>
        <v>2690.04</v>
      </c>
      <c r="F427">
        <f>135.7</f>
        <v>135.69999999999999</v>
      </c>
      <c r="G427">
        <f>264.6479</f>
        <v>264.64789999999999</v>
      </c>
      <c r="H427">
        <f>214.02</f>
        <v>214.02</v>
      </c>
      <c r="I427">
        <f>440.92</f>
        <v>440.92</v>
      </c>
      <c r="J427">
        <f>3756.07</f>
        <v>3756.07</v>
      </c>
    </row>
    <row r="428" spans="1:10" x14ac:dyDescent="0.25">
      <c r="A428" s="1">
        <v>44195</v>
      </c>
      <c r="B428">
        <f>145.49</f>
        <v>145.49</v>
      </c>
      <c r="C428">
        <f>118.9263</f>
        <v>118.9263</v>
      </c>
      <c r="D428">
        <f>84.89</f>
        <v>84.89</v>
      </c>
      <c r="E428">
        <f>2686.06</f>
        <v>2686.06</v>
      </c>
      <c r="F428">
        <f>136.72</f>
        <v>136.72</v>
      </c>
      <c r="G428">
        <f>264.68</f>
        <v>264.68</v>
      </c>
      <c r="H428">
        <f>212.94</f>
        <v>212.94</v>
      </c>
      <c r="I428">
        <f>442.7</f>
        <v>442.7</v>
      </c>
      <c r="J428">
        <f>3732.04</f>
        <v>3732.04</v>
      </c>
    </row>
    <row r="429" spans="1:10" x14ac:dyDescent="0.25">
      <c r="A429" s="1">
        <v>44194</v>
      </c>
      <c r="B429">
        <f>144.47</f>
        <v>144.47</v>
      </c>
      <c r="C429">
        <f>118.4809</f>
        <v>118.48090000000001</v>
      </c>
      <c r="D429">
        <f>84.02</f>
        <v>84.02</v>
      </c>
      <c r="E429">
        <f>2682.19</f>
        <v>2682.19</v>
      </c>
      <c r="F429">
        <f>135.67</f>
        <v>135.66999999999999</v>
      </c>
      <c r="G429">
        <f>264.7731</f>
        <v>264.7731</v>
      </c>
      <c r="H429">
        <f>212.12</f>
        <v>212.12</v>
      </c>
      <c r="I429">
        <f>441.25</f>
        <v>441.25</v>
      </c>
      <c r="J429">
        <f>3727.04</f>
        <v>3727.04</v>
      </c>
    </row>
    <row r="430" spans="1:10" x14ac:dyDescent="0.25">
      <c r="A430" s="1">
        <v>44193</v>
      </c>
      <c r="B430">
        <f>144.52</f>
        <v>144.52000000000001</v>
      </c>
      <c r="C430">
        <f>118.4336</f>
        <v>118.4336</v>
      </c>
      <c r="D430">
        <f>82.61</f>
        <v>82.61</v>
      </c>
      <c r="E430">
        <f>2676.8</f>
        <v>2676.8</v>
      </c>
      <c r="F430">
        <f>135.97</f>
        <v>135.97</v>
      </c>
      <c r="G430">
        <f>262.9293</f>
        <v>262.92930000000001</v>
      </c>
      <c r="H430">
        <f>212.1</f>
        <v>212.1</v>
      </c>
      <c r="I430">
        <f>441.32</f>
        <v>441.32</v>
      </c>
      <c r="J430">
        <f>3735.36</f>
        <v>3735.36</v>
      </c>
    </row>
    <row r="431" spans="1:10" x14ac:dyDescent="0.25">
      <c r="A431" s="1">
        <v>44190</v>
      </c>
      <c r="B431">
        <f>144.78</f>
        <v>144.78</v>
      </c>
      <c r="C431">
        <f>117.9321</f>
        <v>117.93210000000001</v>
      </c>
      <c r="D431">
        <f>82.5</f>
        <v>82.5</v>
      </c>
      <c r="E431">
        <f>2659.27</f>
        <v>2659.27</v>
      </c>
      <c r="F431">
        <f>136.39</f>
        <v>136.38999999999999</v>
      </c>
      <c r="G431">
        <f>261.1197</f>
        <v>261.11970000000002</v>
      </c>
      <c r="H431">
        <f>210.87</f>
        <v>210.87</v>
      </c>
      <c r="I431">
        <f>439.8</f>
        <v>439.8</v>
      </c>
      <c r="J431" t="e">
        <f>NA()</f>
        <v>#N/A</v>
      </c>
    </row>
    <row r="432" spans="1:10" x14ac:dyDescent="0.25">
      <c r="A432" s="1">
        <v>44189</v>
      </c>
      <c r="B432">
        <f>144.74</f>
        <v>144.74</v>
      </c>
      <c r="C432">
        <f>117.9075</f>
        <v>117.9075</v>
      </c>
      <c r="D432">
        <f>82.49</f>
        <v>82.49</v>
      </c>
      <c r="E432">
        <f>2659.04</f>
        <v>2659.04</v>
      </c>
      <c r="F432">
        <f>136.38</f>
        <v>136.38</v>
      </c>
      <c r="G432">
        <f>261.0458</f>
        <v>261.04579999999999</v>
      </c>
      <c r="H432">
        <f>210.77</f>
        <v>210.77</v>
      </c>
      <c r="I432">
        <f>439.77</f>
        <v>439.77</v>
      </c>
      <c r="J432">
        <f>3703.06</f>
        <v>3703.06</v>
      </c>
    </row>
    <row r="433" spans="1:10" x14ac:dyDescent="0.25">
      <c r="A433" s="1">
        <v>44188</v>
      </c>
      <c r="B433">
        <f>144.78</f>
        <v>144.78</v>
      </c>
      <c r="C433">
        <f>117.6301</f>
        <v>117.6301</v>
      </c>
      <c r="D433">
        <f>82.3</f>
        <v>82.3</v>
      </c>
      <c r="E433">
        <f>2651.41</f>
        <v>2651.41</v>
      </c>
      <c r="F433">
        <f>136.75</f>
        <v>136.75</v>
      </c>
      <c r="G433">
        <f>260.1958</f>
        <v>260.19580000000002</v>
      </c>
      <c r="H433">
        <f>209.27</f>
        <v>209.27</v>
      </c>
      <c r="I433">
        <f>441.32</f>
        <v>441.32</v>
      </c>
      <c r="J433">
        <f>3690.01</f>
        <v>3690.01</v>
      </c>
    </row>
    <row r="434" spans="1:10" x14ac:dyDescent="0.25">
      <c r="A434" s="1">
        <v>44187</v>
      </c>
      <c r="B434">
        <f>142.03</f>
        <v>142.03</v>
      </c>
      <c r="C434">
        <f>115.687</f>
        <v>115.687</v>
      </c>
      <c r="D434">
        <f>80.44</f>
        <v>80.44</v>
      </c>
      <c r="E434">
        <f>2643.07</f>
        <v>2643.07</v>
      </c>
      <c r="F434">
        <f>133.57</f>
        <v>133.57</v>
      </c>
      <c r="G434">
        <f>258.9734</f>
        <v>258.97340000000003</v>
      </c>
      <c r="H434">
        <f>209.58</f>
        <v>209.58</v>
      </c>
      <c r="I434">
        <f>432.28</f>
        <v>432.28</v>
      </c>
      <c r="J434">
        <f>3687.26</f>
        <v>3687.26</v>
      </c>
    </row>
    <row r="435" spans="1:10" x14ac:dyDescent="0.25">
      <c r="A435" s="1">
        <v>44186</v>
      </c>
      <c r="B435">
        <f>143.28</f>
        <v>143.28</v>
      </c>
      <c r="C435">
        <f>116.305</f>
        <v>116.30500000000001</v>
      </c>
      <c r="D435">
        <f>81.95</f>
        <v>81.95</v>
      </c>
      <c r="E435">
        <f>2644.97</f>
        <v>2644.97</v>
      </c>
      <c r="F435">
        <f>135.18</f>
        <v>135.18</v>
      </c>
      <c r="G435">
        <f>259.6549</f>
        <v>259.6549</v>
      </c>
      <c r="H435">
        <f>208.76</f>
        <v>208.76</v>
      </c>
      <c r="I435">
        <f>432.99</f>
        <v>432.99</v>
      </c>
      <c r="J435">
        <f>3694.92</f>
        <v>3694.92</v>
      </c>
    </row>
    <row r="436" spans="1:10" x14ac:dyDescent="0.25">
      <c r="A436" s="1">
        <v>44183</v>
      </c>
      <c r="B436">
        <f>147.77</f>
        <v>147.77000000000001</v>
      </c>
      <c r="C436">
        <f>116.7041</f>
        <v>116.7041</v>
      </c>
      <c r="D436">
        <f>83.83</f>
        <v>83.83</v>
      </c>
      <c r="E436">
        <f>2666.3</f>
        <v>2666.3</v>
      </c>
      <c r="F436">
        <f>139.26</f>
        <v>139.26</v>
      </c>
      <c r="G436">
        <f>263.4248</f>
        <v>263.4248</v>
      </c>
      <c r="H436">
        <f>210.98</f>
        <v>210.98</v>
      </c>
      <c r="I436">
        <f>438.97</f>
        <v>438.97</v>
      </c>
      <c r="J436">
        <f>3709.41</f>
        <v>3709.41</v>
      </c>
    </row>
    <row r="437" spans="1:10" x14ac:dyDescent="0.25">
      <c r="A437" s="1">
        <v>44182</v>
      </c>
      <c r="B437">
        <f>149.38</f>
        <v>149.38</v>
      </c>
      <c r="C437">
        <f>117.8539</f>
        <v>117.8539</v>
      </c>
      <c r="D437">
        <f>84.45</f>
        <v>84.45</v>
      </c>
      <c r="E437">
        <f>2674.87</f>
        <v>2674.87</v>
      </c>
      <c r="F437">
        <f>141.09</f>
        <v>141.09</v>
      </c>
      <c r="G437">
        <f>263.404</f>
        <v>263.404</v>
      </c>
      <c r="H437">
        <f>214.74</f>
        <v>214.74</v>
      </c>
      <c r="I437">
        <f>439.42</f>
        <v>439.42</v>
      </c>
      <c r="J437">
        <f>3722.48</f>
        <v>3722.48</v>
      </c>
    </row>
    <row r="438" spans="1:10" x14ac:dyDescent="0.25">
      <c r="A438" s="1">
        <v>44181</v>
      </c>
      <c r="B438">
        <f>149.32</f>
        <v>149.32</v>
      </c>
      <c r="C438">
        <f>117.316</f>
        <v>117.316</v>
      </c>
      <c r="D438">
        <f>84.5</f>
        <v>84.5</v>
      </c>
      <c r="E438">
        <f>2654.79</f>
        <v>2654.79</v>
      </c>
      <c r="F438">
        <f>141.4</f>
        <v>141.4</v>
      </c>
      <c r="G438">
        <f>262.1907</f>
        <v>262.19069999999999</v>
      </c>
      <c r="H438">
        <f>212.85</f>
        <v>212.85</v>
      </c>
      <c r="I438">
        <f>442.15</f>
        <v>442.15</v>
      </c>
      <c r="J438">
        <f>3701.17</f>
        <v>3701.17</v>
      </c>
    </row>
    <row r="439" spans="1:10" x14ac:dyDescent="0.25">
      <c r="A439" s="1">
        <v>44180</v>
      </c>
      <c r="B439">
        <f>149.2</f>
        <v>149.19999999999999</v>
      </c>
      <c r="C439">
        <f>116.8827</f>
        <v>116.8827</v>
      </c>
      <c r="D439">
        <f>85.08</f>
        <v>85.08</v>
      </c>
      <c r="E439">
        <f>2643.74</f>
        <v>2643.74</v>
      </c>
      <c r="F439">
        <f>141.41</f>
        <v>141.41</v>
      </c>
      <c r="G439">
        <f>260.6274</f>
        <v>260.62740000000002</v>
      </c>
      <c r="H439">
        <f>212.02</f>
        <v>212.02</v>
      </c>
      <c r="I439">
        <f>445.33</f>
        <v>445.33</v>
      </c>
      <c r="J439">
        <f>3694.62</f>
        <v>3694.62</v>
      </c>
    </row>
    <row r="440" spans="1:10" x14ac:dyDescent="0.25">
      <c r="A440" s="1">
        <v>44179</v>
      </c>
      <c r="B440">
        <f>147.79</f>
        <v>147.79</v>
      </c>
      <c r="C440">
        <f>115.5396</f>
        <v>115.53959999999999</v>
      </c>
      <c r="D440">
        <f>85.16</f>
        <v>85.16</v>
      </c>
      <c r="E440">
        <f>2619.43</f>
        <v>2619.4299999999998</v>
      </c>
      <c r="F440">
        <f>139.76</f>
        <v>139.76</v>
      </c>
      <c r="G440">
        <f>260.7537</f>
        <v>260.75369999999998</v>
      </c>
      <c r="H440">
        <f>209.82</f>
        <v>209.82</v>
      </c>
      <c r="I440">
        <f>443.9</f>
        <v>443.9</v>
      </c>
      <c r="J440">
        <f>3647.49</f>
        <v>3647.49</v>
      </c>
    </row>
    <row r="441" spans="1:10" x14ac:dyDescent="0.25">
      <c r="A441" s="1">
        <v>44176</v>
      </c>
      <c r="B441">
        <f>150.95</f>
        <v>150.94999999999999</v>
      </c>
      <c r="C441">
        <f>115.8506</f>
        <v>115.8506</v>
      </c>
      <c r="D441">
        <f>85.96</f>
        <v>85.96</v>
      </c>
      <c r="E441">
        <f>2621.89</f>
        <v>2621.89</v>
      </c>
      <c r="F441">
        <f>143.23</f>
        <v>143.22999999999999</v>
      </c>
      <c r="G441">
        <f>261.215</f>
        <v>261.21499999999997</v>
      </c>
      <c r="H441">
        <f>210.5</f>
        <v>210.5</v>
      </c>
      <c r="I441">
        <f>447.05</f>
        <v>447.05</v>
      </c>
      <c r="J441">
        <f>3663.46</f>
        <v>3663.46</v>
      </c>
    </row>
    <row r="442" spans="1:10" x14ac:dyDescent="0.25">
      <c r="A442" s="1">
        <v>44175</v>
      </c>
      <c r="B442">
        <f>152.33</f>
        <v>152.33000000000001</v>
      </c>
      <c r="C442">
        <f>117.0112</f>
        <v>117.0112</v>
      </c>
      <c r="D442">
        <f>86.21</f>
        <v>86.21</v>
      </c>
      <c r="E442">
        <f>2628.59</f>
        <v>2628.59</v>
      </c>
      <c r="F442">
        <f>145.17</f>
        <v>145.16999999999999</v>
      </c>
      <c r="G442">
        <f>261.0447</f>
        <v>261.04469999999998</v>
      </c>
      <c r="H442">
        <f>210.24</f>
        <v>210.24</v>
      </c>
      <c r="I442">
        <f>448.57</f>
        <v>448.57</v>
      </c>
      <c r="J442">
        <f>3668.1</f>
        <v>3668.1</v>
      </c>
    </row>
    <row r="443" spans="1:10" x14ac:dyDescent="0.25">
      <c r="A443" s="1">
        <v>44174</v>
      </c>
      <c r="B443">
        <f>148.85</f>
        <v>148.85</v>
      </c>
      <c r="C443">
        <f>117.1022</f>
        <v>117.1022</v>
      </c>
      <c r="D443">
        <f>86.09</f>
        <v>86.09</v>
      </c>
      <c r="E443">
        <f>2627.53</f>
        <v>2627.53</v>
      </c>
      <c r="F443">
        <f>141.44</f>
        <v>141.44</v>
      </c>
      <c r="G443">
        <f>261.3411</f>
        <v>261.34109999999998</v>
      </c>
      <c r="H443">
        <f>210.94</f>
        <v>210.94</v>
      </c>
      <c r="I443">
        <f>450.58</f>
        <v>450.58</v>
      </c>
      <c r="J443">
        <f>3672.82</f>
        <v>3672.82</v>
      </c>
    </row>
    <row r="444" spans="1:10" x14ac:dyDescent="0.25">
      <c r="A444" s="1">
        <v>44173</v>
      </c>
      <c r="B444">
        <f>148.71</f>
        <v>148.71</v>
      </c>
      <c r="C444">
        <f>116.965</f>
        <v>116.965</v>
      </c>
      <c r="D444">
        <f>86.47</f>
        <v>86.47</v>
      </c>
      <c r="E444">
        <f>2642.05</f>
        <v>2642.05</v>
      </c>
      <c r="F444">
        <f>141.41</f>
        <v>141.41</v>
      </c>
      <c r="G444">
        <f>261.2658</f>
        <v>261.26580000000001</v>
      </c>
      <c r="H444">
        <f>212.35</f>
        <v>212.35</v>
      </c>
      <c r="I444">
        <f>453.7</f>
        <v>453.7</v>
      </c>
      <c r="J444">
        <f>3702.25</f>
        <v>3702.25</v>
      </c>
    </row>
    <row r="445" spans="1:10" x14ac:dyDescent="0.25">
      <c r="A445" s="1">
        <v>44172</v>
      </c>
      <c r="B445">
        <f>147.93</f>
        <v>147.93</v>
      </c>
      <c r="C445">
        <f>117.1373</f>
        <v>117.1373</v>
      </c>
      <c r="D445">
        <f>86.99</f>
        <v>86.99</v>
      </c>
      <c r="E445">
        <f>2635.88</f>
        <v>2635.88</v>
      </c>
      <c r="F445">
        <f>140.48</f>
        <v>140.47999999999999</v>
      </c>
      <c r="G445">
        <f>260.2124</f>
        <v>260.2124</v>
      </c>
      <c r="H445">
        <f>213.1</f>
        <v>213.1</v>
      </c>
      <c r="I445">
        <f>454.37</f>
        <v>454.37</v>
      </c>
      <c r="J445">
        <f>3691.96</f>
        <v>3691.96</v>
      </c>
    </row>
    <row r="446" spans="1:10" x14ac:dyDescent="0.25">
      <c r="A446" s="1">
        <v>44169</v>
      </c>
      <c r="B446">
        <f>149.74</f>
        <v>149.74</v>
      </c>
      <c r="C446">
        <f>118.0894</f>
        <v>118.0894</v>
      </c>
      <c r="D446">
        <f>87.49</f>
        <v>87.49</v>
      </c>
      <c r="E446">
        <f>2639.66</f>
        <v>2639.66</v>
      </c>
      <c r="F446">
        <f>142.65</f>
        <v>142.65</v>
      </c>
      <c r="G446">
        <f>260.7571</f>
        <v>260.75709999999998</v>
      </c>
      <c r="H446">
        <f>214.42</f>
        <v>214.42</v>
      </c>
      <c r="I446">
        <f>457.32</f>
        <v>457.32</v>
      </c>
      <c r="J446">
        <f>3699.12</f>
        <v>3699.12</v>
      </c>
    </row>
    <row r="447" spans="1:10" x14ac:dyDescent="0.25">
      <c r="A447" s="1">
        <v>44168</v>
      </c>
      <c r="B447">
        <f>144.8</f>
        <v>144.80000000000001</v>
      </c>
      <c r="C447">
        <f>117.0684</f>
        <v>117.0684</v>
      </c>
      <c r="D447">
        <f>87.94</f>
        <v>87.94</v>
      </c>
      <c r="E447">
        <f>2621.28</f>
        <v>2621.2800000000002</v>
      </c>
      <c r="F447">
        <f>137.15</f>
        <v>137.15</v>
      </c>
      <c r="G447">
        <f>259.363</f>
        <v>259.363</v>
      </c>
      <c r="H447">
        <f>212.73</f>
        <v>212.73</v>
      </c>
      <c r="I447">
        <f>455.64</f>
        <v>455.64</v>
      </c>
      <c r="J447">
        <f>3666.72</f>
        <v>3666.72</v>
      </c>
    </row>
    <row r="448" spans="1:10" x14ac:dyDescent="0.25">
      <c r="A448" s="1">
        <v>44167</v>
      </c>
      <c r="B448">
        <f>143.46</f>
        <v>143.46</v>
      </c>
      <c r="C448">
        <f>116.6647</f>
        <v>116.6647</v>
      </c>
      <c r="D448">
        <f>85.92</f>
        <v>85.92</v>
      </c>
      <c r="E448">
        <f>2613.91</f>
        <v>2613.91</v>
      </c>
      <c r="F448">
        <f>135.84</f>
        <v>135.84</v>
      </c>
      <c r="G448">
        <f>258.5814</f>
        <v>258.58139999999997</v>
      </c>
      <c r="H448">
        <f>210.92</f>
        <v>210.92</v>
      </c>
      <c r="I448">
        <f>444.23</f>
        <v>444.23</v>
      </c>
      <c r="J448">
        <f>3669.01</f>
        <v>3669.01</v>
      </c>
    </row>
    <row r="449" spans="1:10" x14ac:dyDescent="0.25">
      <c r="A449" s="1">
        <v>44166</v>
      </c>
      <c r="B449">
        <f>140.36</f>
        <v>140.36000000000001</v>
      </c>
      <c r="C449">
        <f>115.6405</f>
        <v>115.6405</v>
      </c>
      <c r="D449">
        <f>85.25</f>
        <v>85.25</v>
      </c>
      <c r="E449">
        <f>2609.01</f>
        <v>2609.0100000000002</v>
      </c>
      <c r="F449">
        <f>132.49</f>
        <v>132.49</v>
      </c>
      <c r="G449">
        <f>259.7769</f>
        <v>259.77690000000001</v>
      </c>
      <c r="H449">
        <f>212.45</f>
        <v>212.45</v>
      </c>
      <c r="I449">
        <f>438.27</f>
        <v>438.27</v>
      </c>
      <c r="J449">
        <f>3662.45</f>
        <v>3662.45</v>
      </c>
    </row>
    <row r="450" spans="1:10" x14ac:dyDescent="0.25">
      <c r="A450" s="1">
        <v>44165</v>
      </c>
      <c r="B450">
        <f>138.73</f>
        <v>138.72999999999999</v>
      </c>
      <c r="C450">
        <f>113.6415</f>
        <v>113.64149999999999</v>
      </c>
      <c r="D450">
        <f>83.75</f>
        <v>83.75</v>
      </c>
      <c r="E450">
        <f>2583.14</f>
        <v>2583.14</v>
      </c>
      <c r="F450">
        <f>131.3</f>
        <v>131.30000000000001</v>
      </c>
      <c r="G450">
        <f>258.7889</f>
        <v>258.78890000000001</v>
      </c>
      <c r="H450">
        <f>210.1</f>
        <v>210.1</v>
      </c>
      <c r="I450">
        <f>434.11</f>
        <v>434.11</v>
      </c>
      <c r="J450">
        <f>3621.63</f>
        <v>3621.63</v>
      </c>
    </row>
    <row r="451" spans="1:10" x14ac:dyDescent="0.25">
      <c r="A451" s="1">
        <v>44162</v>
      </c>
      <c r="B451">
        <f>145.23</f>
        <v>145.22999999999999</v>
      </c>
      <c r="C451">
        <f>115.9053</f>
        <v>115.9053</v>
      </c>
      <c r="D451">
        <f>85.73</f>
        <v>85.73</v>
      </c>
      <c r="E451">
        <f>2601.45</f>
        <v>2601.4499999999998</v>
      </c>
      <c r="F451">
        <f>137.93</f>
        <v>137.93</v>
      </c>
      <c r="G451">
        <f>260.0404</f>
        <v>260.04039999999998</v>
      </c>
      <c r="H451">
        <f>212.33</f>
        <v>212.33</v>
      </c>
      <c r="I451">
        <f>444.02</f>
        <v>444.02</v>
      </c>
      <c r="J451">
        <f>3638.35</f>
        <v>3638.35</v>
      </c>
    </row>
    <row r="452" spans="1:10" x14ac:dyDescent="0.25">
      <c r="A452" s="1">
        <v>44161</v>
      </c>
      <c r="B452">
        <f>145.89</f>
        <v>145.88999999999999</v>
      </c>
      <c r="C452">
        <f>115.9478</f>
        <v>115.9478</v>
      </c>
      <c r="D452">
        <f>85.94</f>
        <v>85.94</v>
      </c>
      <c r="E452">
        <f>2590.15</f>
        <v>2590.15</v>
      </c>
      <c r="F452">
        <f>138.31</f>
        <v>138.31</v>
      </c>
      <c r="G452">
        <f>259.7644</f>
        <v>259.76440000000002</v>
      </c>
      <c r="H452">
        <f>212.55</f>
        <v>212.55</v>
      </c>
      <c r="I452">
        <f>445.49</f>
        <v>445.49</v>
      </c>
      <c r="J452" t="e">
        <f>NA()</f>
        <v>#N/A</v>
      </c>
    </row>
    <row r="453" spans="1:10" x14ac:dyDescent="0.25">
      <c r="A453" s="1">
        <v>44160</v>
      </c>
      <c r="B453">
        <f>146.36</f>
        <v>146.36000000000001</v>
      </c>
      <c r="C453">
        <f>116.264</f>
        <v>116.264</v>
      </c>
      <c r="D453">
        <f>86.78</f>
        <v>86.78</v>
      </c>
      <c r="E453">
        <f>2589.67</f>
        <v>2589.67</v>
      </c>
      <c r="F453">
        <f>138.99</f>
        <v>138.99</v>
      </c>
      <c r="G453">
        <f>259.4367</f>
        <v>259.43669999999997</v>
      </c>
      <c r="H453">
        <f>212.76</f>
        <v>212.76</v>
      </c>
      <c r="I453">
        <f>447.19</f>
        <v>447.19</v>
      </c>
      <c r="J453">
        <f>3629.65</f>
        <v>3629.65</v>
      </c>
    </row>
    <row r="454" spans="1:10" x14ac:dyDescent="0.25">
      <c r="A454" s="1">
        <v>44159</v>
      </c>
      <c r="B454">
        <f>147.65</f>
        <v>147.65</v>
      </c>
      <c r="C454">
        <f>116.4744</f>
        <v>116.4744</v>
      </c>
      <c r="D454">
        <f>85.61</f>
        <v>85.61</v>
      </c>
      <c r="E454">
        <f>2587.19</f>
        <v>2587.19</v>
      </c>
      <c r="F454">
        <f>141.03</f>
        <v>141.03</v>
      </c>
      <c r="G454">
        <f>258.3701</f>
        <v>258.37009999999998</v>
      </c>
      <c r="H454">
        <f>211.92</f>
        <v>211.92</v>
      </c>
      <c r="I454">
        <f>450.35</f>
        <v>450.35</v>
      </c>
      <c r="J454">
        <f>3635.41</f>
        <v>3635.41</v>
      </c>
    </row>
    <row r="455" spans="1:10" x14ac:dyDescent="0.25">
      <c r="A455" s="1">
        <v>44158</v>
      </c>
      <c r="B455">
        <f>141.36</f>
        <v>141.36000000000001</v>
      </c>
      <c r="C455">
        <f>112.9948</f>
        <v>112.9948</v>
      </c>
      <c r="D455">
        <f>82.05</f>
        <v>82.05</v>
      </c>
      <c r="E455">
        <f>2546.9</f>
        <v>2546.9</v>
      </c>
      <c r="F455">
        <f>133.89</f>
        <v>133.88999999999999</v>
      </c>
      <c r="G455">
        <f>256.9828</f>
        <v>256.9828</v>
      </c>
      <c r="H455">
        <f>210.57</f>
        <v>210.57</v>
      </c>
      <c r="I455">
        <f>438.93</f>
        <v>438.93</v>
      </c>
      <c r="J455">
        <f>3577.59</f>
        <v>3577.59</v>
      </c>
    </row>
    <row r="456" spans="1:10" x14ac:dyDescent="0.25">
      <c r="A456" s="1">
        <v>44155</v>
      </c>
      <c r="B456">
        <f>135.13</f>
        <v>135.13</v>
      </c>
      <c r="C456">
        <f>111.8318</f>
        <v>111.8318</v>
      </c>
      <c r="D456">
        <f>81.16</f>
        <v>81.16</v>
      </c>
      <c r="E456">
        <f>2540.02</f>
        <v>2540.02</v>
      </c>
      <c r="F456">
        <f>127.29</f>
        <v>127.29</v>
      </c>
      <c r="G456">
        <f>258.6035</f>
        <v>258.6035</v>
      </c>
      <c r="H456">
        <f>211.68</f>
        <v>211.68</v>
      </c>
      <c r="I456">
        <f>428.89</f>
        <v>428.89</v>
      </c>
      <c r="J456">
        <f>3557.54</f>
        <v>3557.54</v>
      </c>
    </row>
    <row r="457" spans="1:10" x14ac:dyDescent="0.25">
      <c r="A457" s="1">
        <v>44154</v>
      </c>
      <c r="B457">
        <f>135.13</f>
        <v>135.13</v>
      </c>
      <c r="C457">
        <f>112.0865</f>
        <v>112.0865</v>
      </c>
      <c r="D457">
        <f>81.67</f>
        <v>81.67</v>
      </c>
      <c r="E457">
        <f>2546.31</f>
        <v>2546.31</v>
      </c>
      <c r="F457">
        <f>126.94</f>
        <v>126.94</v>
      </c>
      <c r="G457">
        <f>259.6308</f>
        <v>259.63080000000002</v>
      </c>
      <c r="H457">
        <f>212.49</f>
        <v>212.49</v>
      </c>
      <c r="I457">
        <f>434.72</f>
        <v>434.72</v>
      </c>
      <c r="J457">
        <f>3581.87</f>
        <v>3581.87</v>
      </c>
    </row>
    <row r="458" spans="1:10" x14ac:dyDescent="0.25">
      <c r="A458" s="1">
        <v>44153</v>
      </c>
      <c r="B458">
        <f>135.42</f>
        <v>135.41999999999999</v>
      </c>
      <c r="C458">
        <f>112.3659</f>
        <v>112.3659</v>
      </c>
      <c r="D458">
        <f>82.08</f>
        <v>82.08</v>
      </c>
      <c r="E458">
        <f>2543.36</f>
        <v>2543.36</v>
      </c>
      <c r="F458">
        <f>127.07</f>
        <v>127.07</v>
      </c>
      <c r="G458">
        <f>260.662</f>
        <v>260.66199999999998</v>
      </c>
      <c r="H458">
        <f>212.73</f>
        <v>212.73</v>
      </c>
      <c r="I458">
        <f>434.53</f>
        <v>434.53</v>
      </c>
      <c r="J458">
        <f>3567.79</f>
        <v>3567.79</v>
      </c>
    </row>
    <row r="459" spans="1:10" x14ac:dyDescent="0.25">
      <c r="A459" s="1">
        <v>44152</v>
      </c>
      <c r="B459">
        <f>136.66</f>
        <v>136.66</v>
      </c>
      <c r="C459">
        <f>112.3811</f>
        <v>112.3811</v>
      </c>
      <c r="D459">
        <f>81.76</f>
        <v>81.760000000000005</v>
      </c>
      <c r="E459">
        <f>2558.43</f>
        <v>2558.4299999999998</v>
      </c>
      <c r="F459">
        <f>128.81</f>
        <v>128.81</v>
      </c>
      <c r="G459">
        <f>262.5468</f>
        <v>262.54680000000002</v>
      </c>
      <c r="H459">
        <f>214.97</f>
        <v>214.97</v>
      </c>
      <c r="I459">
        <f>436.25</f>
        <v>436.25</v>
      </c>
      <c r="J459">
        <f>3609.53</f>
        <v>3609.53</v>
      </c>
    </row>
    <row r="460" spans="1:10" x14ac:dyDescent="0.25">
      <c r="A460" s="1">
        <v>44151</v>
      </c>
      <c r="B460">
        <f>135.55</f>
        <v>135.55000000000001</v>
      </c>
      <c r="C460">
        <f>111.942</f>
        <v>111.94199999999999</v>
      </c>
      <c r="D460">
        <f>80.84</f>
        <v>80.84</v>
      </c>
      <c r="E460">
        <f>2561.5</f>
        <v>2561.5</v>
      </c>
      <c r="F460">
        <f>127.67</f>
        <v>127.67</v>
      </c>
      <c r="G460">
        <f>263.3932</f>
        <v>263.39319999999998</v>
      </c>
      <c r="H460">
        <f>214.11</f>
        <v>214.11</v>
      </c>
      <c r="I460">
        <f>432.68</f>
        <v>432.68</v>
      </c>
      <c r="J460">
        <f>3626.91</f>
        <v>3626.91</v>
      </c>
    </row>
    <row r="461" spans="1:10" x14ac:dyDescent="0.25">
      <c r="A461" s="1">
        <v>44148</v>
      </c>
      <c r="B461">
        <f>129.34</f>
        <v>129.34</v>
      </c>
      <c r="C461">
        <f>109.2574</f>
        <v>109.2574</v>
      </c>
      <c r="D461">
        <f>77.74</f>
        <v>77.739999999999995</v>
      </c>
      <c r="E461">
        <f>2529.29</f>
        <v>2529.29</v>
      </c>
      <c r="F461">
        <f>121.17</f>
        <v>121.17</v>
      </c>
      <c r="G461">
        <f>261.1642</f>
        <v>261.16419999999999</v>
      </c>
      <c r="H461">
        <f>212.13</f>
        <v>212.13</v>
      </c>
      <c r="I461">
        <f>416.89</f>
        <v>416.89</v>
      </c>
      <c r="J461">
        <f>3585.15</f>
        <v>3585.15</v>
      </c>
    </row>
    <row r="462" spans="1:10" x14ac:dyDescent="0.25">
      <c r="A462" s="1">
        <v>44147</v>
      </c>
      <c r="B462">
        <f>127.64</f>
        <v>127.64</v>
      </c>
      <c r="C462">
        <f>108.1408</f>
        <v>108.1408</v>
      </c>
      <c r="D462">
        <f>77.08</f>
        <v>77.08</v>
      </c>
      <c r="E462">
        <f>2509.24</f>
        <v>2509.2399999999998</v>
      </c>
      <c r="F462">
        <f>119.1</f>
        <v>119.1</v>
      </c>
      <c r="G462">
        <f>259.9311</f>
        <v>259.93110000000001</v>
      </c>
      <c r="H462">
        <f>209.62</f>
        <v>209.62</v>
      </c>
      <c r="I462">
        <f>406.05</f>
        <v>406.05</v>
      </c>
      <c r="J462">
        <f>3537.01</f>
        <v>3537.01</v>
      </c>
    </row>
    <row r="463" spans="1:10" x14ac:dyDescent="0.25">
      <c r="A463" s="1">
        <v>44146</v>
      </c>
      <c r="B463">
        <f>130.94</f>
        <v>130.94</v>
      </c>
      <c r="C463">
        <f>109.7635</f>
        <v>109.76349999999999</v>
      </c>
      <c r="D463">
        <f>78.46</f>
        <v>78.459999999999994</v>
      </c>
      <c r="E463">
        <f>2528.25</f>
        <v>2528.25</v>
      </c>
      <c r="F463">
        <f>122.76</f>
        <v>122.76</v>
      </c>
      <c r="G463">
        <f>260.1793</f>
        <v>260.17930000000001</v>
      </c>
      <c r="H463">
        <f>212.02</f>
        <v>212.02</v>
      </c>
      <c r="I463">
        <f>413.23</f>
        <v>413.23</v>
      </c>
      <c r="J463">
        <f>3572.66</f>
        <v>3572.66</v>
      </c>
    </row>
    <row r="464" spans="1:10" x14ac:dyDescent="0.25">
      <c r="A464" s="1">
        <v>44145</v>
      </c>
      <c r="B464">
        <f>131.32</f>
        <v>131.32</v>
      </c>
      <c r="C464">
        <f>109.9336</f>
        <v>109.9336</v>
      </c>
      <c r="D464">
        <f>79.83</f>
        <v>79.83</v>
      </c>
      <c r="E464">
        <f>2507.1</f>
        <v>2507.1</v>
      </c>
      <c r="F464">
        <f>123</f>
        <v>123</v>
      </c>
      <c r="G464">
        <f>257.9663</f>
        <v>257.96629999999999</v>
      </c>
      <c r="H464">
        <f>209.48</f>
        <v>209.48</v>
      </c>
      <c r="I464">
        <f>421.48</f>
        <v>421.48</v>
      </c>
      <c r="J464">
        <f>3545.53</f>
        <v>3545.53</v>
      </c>
    </row>
    <row r="465" spans="1:10" x14ac:dyDescent="0.25">
      <c r="A465" s="1">
        <v>44144</v>
      </c>
      <c r="B465">
        <f>126.85</f>
        <v>126.85</v>
      </c>
      <c r="C465">
        <f>107.9092</f>
        <v>107.9092</v>
      </c>
      <c r="D465">
        <f>74.48</f>
        <v>74.48</v>
      </c>
      <c r="E465">
        <f>2502.06</f>
        <v>2502.06</v>
      </c>
      <c r="F465">
        <f>118.6</f>
        <v>118.6</v>
      </c>
      <c r="G465">
        <f>253.9077</f>
        <v>253.90770000000001</v>
      </c>
      <c r="H465">
        <f>205.58</f>
        <v>205.58</v>
      </c>
      <c r="I465">
        <f>405.56</f>
        <v>405.56</v>
      </c>
      <c r="J465">
        <f>3550.5</f>
        <v>3550.5</v>
      </c>
    </row>
    <row r="466" spans="1:10" x14ac:dyDescent="0.25">
      <c r="A466" s="1">
        <v>44141</v>
      </c>
      <c r="B466">
        <f>114.77</f>
        <v>114.77</v>
      </c>
      <c r="C466">
        <f>101.2872</f>
        <v>101.2872</v>
      </c>
      <c r="D466">
        <f>69.54</f>
        <v>69.540000000000006</v>
      </c>
      <c r="E466">
        <f>2470.05</f>
        <v>2470.0500000000002</v>
      </c>
      <c r="F466">
        <f>105.83</f>
        <v>105.83</v>
      </c>
      <c r="G466">
        <f>252.9617</f>
        <v>252.96170000000001</v>
      </c>
      <c r="H466">
        <f>202.25</f>
        <v>202.25</v>
      </c>
      <c r="I466">
        <f>372.34</f>
        <v>372.34</v>
      </c>
      <c r="J466">
        <f>3509.44</f>
        <v>3509.44</v>
      </c>
    </row>
    <row r="467" spans="1:10" x14ac:dyDescent="0.25">
      <c r="A467" s="1">
        <v>44140</v>
      </c>
      <c r="B467">
        <f>115.67</f>
        <v>115.67</v>
      </c>
      <c r="C467">
        <f>101.6158</f>
        <v>101.61579999999999</v>
      </c>
      <c r="D467">
        <f>70.3</f>
        <v>70.3</v>
      </c>
      <c r="E467">
        <f>2466.58</f>
        <v>2466.58</v>
      </c>
      <c r="F467">
        <f>107.32</f>
        <v>107.32</v>
      </c>
      <c r="G467">
        <f>251.9092</f>
        <v>251.9092</v>
      </c>
      <c r="H467">
        <f>202.79</f>
        <v>202.79</v>
      </c>
      <c r="I467">
        <f>373.72</f>
        <v>373.72</v>
      </c>
      <c r="J467">
        <f>3510.45</f>
        <v>3510.45</v>
      </c>
    </row>
    <row r="468" spans="1:10" x14ac:dyDescent="0.25">
      <c r="A468" s="1">
        <v>44139</v>
      </c>
      <c r="B468">
        <f>114.85</f>
        <v>114.85</v>
      </c>
      <c r="C468">
        <f>99.4491</f>
        <v>99.449100000000001</v>
      </c>
      <c r="D468">
        <f>68.22</f>
        <v>68.22</v>
      </c>
      <c r="E468">
        <f>2416.61</f>
        <v>2416.61</v>
      </c>
      <c r="F468">
        <f>107.26</f>
        <v>107.26</v>
      </c>
      <c r="G468">
        <f>249.7425</f>
        <v>249.74250000000001</v>
      </c>
      <c r="H468">
        <f>200.77</f>
        <v>200.77</v>
      </c>
      <c r="I468">
        <f>370.72</f>
        <v>370.72</v>
      </c>
      <c r="J468">
        <f>3443.44</f>
        <v>3443.44</v>
      </c>
    </row>
    <row r="469" spans="1:10" x14ac:dyDescent="0.25">
      <c r="A469" s="1">
        <v>44138</v>
      </c>
      <c r="B469">
        <f>114.45</f>
        <v>114.45</v>
      </c>
      <c r="C469">
        <f>99.9173</f>
        <v>99.917299999999997</v>
      </c>
      <c r="D469">
        <f>68.29</f>
        <v>68.290000000000006</v>
      </c>
      <c r="E469">
        <f>2369.27</f>
        <v>2369.27</v>
      </c>
      <c r="F469">
        <f>107.11</f>
        <v>107.11</v>
      </c>
      <c r="G469">
        <f>247.9965</f>
        <v>247.9965</v>
      </c>
      <c r="H469">
        <f>199.31</f>
        <v>199.31</v>
      </c>
      <c r="I469">
        <f>366.88</f>
        <v>366.88</v>
      </c>
      <c r="J469">
        <f>3369.16</f>
        <v>3369.16</v>
      </c>
    </row>
    <row r="470" spans="1:10" x14ac:dyDescent="0.25">
      <c r="A470" s="1">
        <v>44137</v>
      </c>
      <c r="B470">
        <f>112.83</f>
        <v>112.83</v>
      </c>
      <c r="C470">
        <f>97.1231</f>
        <v>97.123099999999994</v>
      </c>
      <c r="D470">
        <f>66.67</f>
        <v>66.67</v>
      </c>
      <c r="E470">
        <f>2322.14</f>
        <v>2322.14</v>
      </c>
      <c r="F470">
        <f>105.9</f>
        <v>105.9</v>
      </c>
      <c r="G470">
        <f>243.5321</f>
        <v>243.53210000000001</v>
      </c>
      <c r="H470">
        <f>195.75</f>
        <v>195.75</v>
      </c>
      <c r="I470">
        <f>353.57</f>
        <v>353.57</v>
      </c>
      <c r="J470">
        <f>3310.24</f>
        <v>3310.24</v>
      </c>
    </row>
    <row r="471" spans="1:10" x14ac:dyDescent="0.25">
      <c r="A471" s="1">
        <v>44134</v>
      </c>
      <c r="B471">
        <f>110.67</f>
        <v>110.67</v>
      </c>
      <c r="C471">
        <f>95.3716</f>
        <v>95.371600000000001</v>
      </c>
      <c r="D471">
        <f>66.66</f>
        <v>66.66</v>
      </c>
      <c r="E471">
        <f>2292.93</f>
        <v>2292.9299999999998</v>
      </c>
      <c r="F471">
        <f>102.8</f>
        <v>102.8</v>
      </c>
      <c r="G471">
        <f>240.0435</f>
        <v>240.04349999999999</v>
      </c>
      <c r="H471">
        <f>191.67</f>
        <v>191.67</v>
      </c>
      <c r="I471">
        <f>345.16</f>
        <v>345.16</v>
      </c>
      <c r="J471">
        <f>3269.96</f>
        <v>3269.96</v>
      </c>
    </row>
    <row r="472" spans="1:10" x14ac:dyDescent="0.25">
      <c r="A472" s="1">
        <v>44133</v>
      </c>
      <c r="B472">
        <f>110.08</f>
        <v>110.08</v>
      </c>
      <c r="C472">
        <f>95.2456</f>
        <v>95.245599999999996</v>
      </c>
      <c r="D472">
        <f>67.45</f>
        <v>67.45</v>
      </c>
      <c r="E472">
        <f>2318.44</f>
        <v>2318.44</v>
      </c>
      <c r="F472">
        <f>102.1</f>
        <v>102.1</v>
      </c>
      <c r="G472">
        <f>241.3321</f>
        <v>241.3321</v>
      </c>
      <c r="H472">
        <f>193.08</f>
        <v>193.08</v>
      </c>
      <c r="I472">
        <f>344.99</f>
        <v>344.99</v>
      </c>
      <c r="J472">
        <f>3310.11</f>
        <v>3310.11</v>
      </c>
    </row>
    <row r="473" spans="1:10" x14ac:dyDescent="0.25">
      <c r="A473" s="1">
        <v>44132</v>
      </c>
      <c r="B473">
        <f>108.92</f>
        <v>108.92</v>
      </c>
      <c r="C473">
        <f>95.248</f>
        <v>95.248000000000005</v>
      </c>
      <c r="D473">
        <f>67.2</f>
        <v>67.2</v>
      </c>
      <c r="E473">
        <f>2306.65</f>
        <v>2306.65</v>
      </c>
      <c r="F473">
        <f>100.7</f>
        <v>100.7</v>
      </c>
      <c r="G473">
        <f>242.7179</f>
        <v>242.71789999999999</v>
      </c>
      <c r="H473">
        <f>191.46</f>
        <v>191.46</v>
      </c>
      <c r="I473">
        <f>345.39</f>
        <v>345.39</v>
      </c>
      <c r="J473">
        <f>3271.03</f>
        <v>3271.03</v>
      </c>
    </row>
    <row r="474" spans="1:10" x14ac:dyDescent="0.25">
      <c r="A474" s="1">
        <v>44131</v>
      </c>
      <c r="B474">
        <f>112.98</f>
        <v>112.98</v>
      </c>
      <c r="C474">
        <f>97.8247</f>
        <v>97.824700000000007</v>
      </c>
      <c r="D474">
        <f>69.19</f>
        <v>69.19</v>
      </c>
      <c r="E474">
        <f>2381.65</f>
        <v>2381.65</v>
      </c>
      <c r="F474">
        <f>104.52</f>
        <v>104.52</v>
      </c>
      <c r="G474">
        <f>249.3522</f>
        <v>249.35220000000001</v>
      </c>
      <c r="H474">
        <f>196.07</f>
        <v>196.07</v>
      </c>
      <c r="I474">
        <f>358.52</f>
        <v>358.52</v>
      </c>
      <c r="J474">
        <f>3390.68</f>
        <v>3390.68</v>
      </c>
    </row>
    <row r="475" spans="1:10" x14ac:dyDescent="0.25">
      <c r="A475" s="1">
        <v>44130</v>
      </c>
      <c r="B475">
        <f>114.63</f>
        <v>114.63</v>
      </c>
      <c r="C475">
        <f>99.4725</f>
        <v>99.472499999999997</v>
      </c>
      <c r="D475">
        <f>71.14</f>
        <v>71.14</v>
      </c>
      <c r="E475">
        <f>2390.08</f>
        <v>2390.08</v>
      </c>
      <c r="F475">
        <f>106.17</f>
        <v>106.17</v>
      </c>
      <c r="G475">
        <f>249.9182</f>
        <v>249.91820000000001</v>
      </c>
      <c r="H475">
        <f>198.45</f>
        <v>198.45</v>
      </c>
      <c r="I475">
        <f>370.66</f>
        <v>370.66</v>
      </c>
      <c r="J475">
        <f>3400.97</f>
        <v>3400.97</v>
      </c>
    </row>
    <row r="476" spans="1:10" x14ac:dyDescent="0.25">
      <c r="A476" s="1">
        <v>44127</v>
      </c>
      <c r="B476">
        <f>117.91</f>
        <v>117.91</v>
      </c>
      <c r="C476">
        <f>101.3115</f>
        <v>101.3115</v>
      </c>
      <c r="D476">
        <f>72.92</f>
        <v>72.92</v>
      </c>
      <c r="E476">
        <f>2430.54</f>
        <v>2430.54</v>
      </c>
      <c r="F476">
        <f>109.44</f>
        <v>109.44</v>
      </c>
      <c r="G476">
        <f>252.4679</f>
        <v>252.46789999999999</v>
      </c>
      <c r="H476">
        <f>200.46</f>
        <v>200.46</v>
      </c>
      <c r="I476">
        <f>380.5</f>
        <v>380.5</v>
      </c>
      <c r="J476">
        <f>3465.39</f>
        <v>3465.39</v>
      </c>
    </row>
    <row r="477" spans="1:10" x14ac:dyDescent="0.25">
      <c r="A477" s="1">
        <v>44126</v>
      </c>
      <c r="B477">
        <f>117.64</f>
        <v>117.64</v>
      </c>
      <c r="C477">
        <f>100.6145</f>
        <v>100.61450000000001</v>
      </c>
      <c r="D477">
        <f>71.56</f>
        <v>71.56</v>
      </c>
      <c r="E477">
        <f>2421</f>
        <v>2421</v>
      </c>
      <c r="F477">
        <f>109.37</f>
        <v>109.37</v>
      </c>
      <c r="G477">
        <f>251.9389</f>
        <v>251.93889999999999</v>
      </c>
      <c r="H477">
        <f>199.36</f>
        <v>199.36</v>
      </c>
      <c r="I477">
        <f>374.93</f>
        <v>374.93</v>
      </c>
      <c r="J477">
        <f>3453.49</f>
        <v>3453.49</v>
      </c>
    </row>
    <row r="478" spans="1:10" x14ac:dyDescent="0.25">
      <c r="A478" s="1">
        <v>44125</v>
      </c>
      <c r="B478">
        <f>115.59</f>
        <v>115.59</v>
      </c>
      <c r="C478">
        <f>99.6686</f>
        <v>99.668599999999998</v>
      </c>
      <c r="D478">
        <f>70.27</f>
        <v>70.27</v>
      </c>
      <c r="E478">
        <f>2417.83</f>
        <v>2417.83</v>
      </c>
      <c r="F478">
        <f>106.99</f>
        <v>106.99</v>
      </c>
      <c r="G478">
        <f>253.0019</f>
        <v>253.00190000000001</v>
      </c>
      <c r="H478">
        <f>200.71</f>
        <v>200.71</v>
      </c>
      <c r="I478">
        <f>370.42</f>
        <v>370.42</v>
      </c>
      <c r="J478">
        <f>3435.56</f>
        <v>3435.56</v>
      </c>
    </row>
    <row r="479" spans="1:10" x14ac:dyDescent="0.25">
      <c r="A479" s="1">
        <v>44124</v>
      </c>
      <c r="B479">
        <f>116.99</f>
        <v>116.99</v>
      </c>
      <c r="C479">
        <f>99.7386</f>
        <v>99.738600000000005</v>
      </c>
      <c r="D479">
        <f>70.11</f>
        <v>70.11</v>
      </c>
      <c r="E479">
        <f>2422.71</f>
        <v>2422.71</v>
      </c>
      <c r="F479">
        <f>108.61</f>
        <v>108.61</v>
      </c>
      <c r="G479">
        <f>253.4027</f>
        <v>253.40270000000001</v>
      </c>
      <c r="H479">
        <f>200.99</f>
        <v>200.99</v>
      </c>
      <c r="I479">
        <f>376.4</f>
        <v>376.4</v>
      </c>
      <c r="J479">
        <f>3443.12</f>
        <v>3443.12</v>
      </c>
    </row>
    <row r="480" spans="1:10" x14ac:dyDescent="0.25">
      <c r="A480" s="1">
        <v>44123</v>
      </c>
      <c r="B480">
        <f>116.62</f>
        <v>116.62</v>
      </c>
      <c r="C480">
        <f>99.3744</f>
        <v>99.374399999999994</v>
      </c>
      <c r="D480">
        <f>69.8</f>
        <v>69.8</v>
      </c>
      <c r="E480">
        <f>2417.93</f>
        <v>2417.9299999999998</v>
      </c>
      <c r="F480">
        <f>108.32</f>
        <v>108.32</v>
      </c>
      <c r="G480">
        <f>253.3945</f>
        <v>253.39449999999999</v>
      </c>
      <c r="H480">
        <f>200.24</f>
        <v>200.24</v>
      </c>
      <c r="I480">
        <f>376.91</f>
        <v>376.91</v>
      </c>
      <c r="J480">
        <f>3426.92</f>
        <v>3426.92</v>
      </c>
    </row>
    <row r="481" spans="1:10" x14ac:dyDescent="0.25">
      <c r="A481" s="1">
        <v>44120</v>
      </c>
      <c r="B481">
        <f>117.59</f>
        <v>117.59</v>
      </c>
      <c r="C481">
        <f>99.8612</f>
        <v>99.861199999999997</v>
      </c>
      <c r="D481">
        <f>68.79</f>
        <v>68.790000000000006</v>
      </c>
      <c r="E481">
        <f>2440.14</f>
        <v>2440.14</v>
      </c>
      <c r="F481">
        <f>109.62</f>
        <v>109.62</v>
      </c>
      <c r="G481">
        <f>255.1486</f>
        <v>255.14859999999999</v>
      </c>
      <c r="H481">
        <f>201.71</f>
        <v>201.71</v>
      </c>
      <c r="I481">
        <f>378.17</f>
        <v>378.17</v>
      </c>
      <c r="J481">
        <f>3483.81</f>
        <v>3483.81</v>
      </c>
    </row>
    <row r="482" spans="1:10" x14ac:dyDescent="0.25">
      <c r="A482" s="1">
        <v>44119</v>
      </c>
      <c r="B482">
        <f>118.48</f>
        <v>118.48</v>
      </c>
      <c r="C482">
        <f>99.4516</f>
        <v>99.451599999999999</v>
      </c>
      <c r="D482">
        <f>68.48</f>
        <v>68.48</v>
      </c>
      <c r="E482">
        <f>2435.93</f>
        <v>2435.9299999999998</v>
      </c>
      <c r="F482">
        <f>110.26</f>
        <v>110.26</v>
      </c>
      <c r="G482">
        <f>254.3527</f>
        <v>254.3527</v>
      </c>
      <c r="H482">
        <f>203.32</f>
        <v>203.32</v>
      </c>
      <c r="I482">
        <f>372.43</f>
        <v>372.43</v>
      </c>
      <c r="J482">
        <f>3483.34</f>
        <v>3483.34</v>
      </c>
    </row>
    <row r="483" spans="1:10" x14ac:dyDescent="0.25">
      <c r="A483" s="1">
        <v>44118</v>
      </c>
      <c r="B483">
        <f>119.62</f>
        <v>119.62</v>
      </c>
      <c r="C483">
        <f>99.8707</f>
        <v>99.870699999999999</v>
      </c>
      <c r="D483">
        <f>69.3</f>
        <v>69.3</v>
      </c>
      <c r="E483">
        <f>2453.61</f>
        <v>2453.61</v>
      </c>
      <c r="F483">
        <f>111.09</f>
        <v>111.09</v>
      </c>
      <c r="G483">
        <f>256.682</f>
        <v>256.68200000000002</v>
      </c>
      <c r="H483">
        <f>203.11</f>
        <v>203.11</v>
      </c>
      <c r="I483">
        <f>372.85</f>
        <v>372.85</v>
      </c>
      <c r="J483">
        <f>3488.67</f>
        <v>3488.67</v>
      </c>
    </row>
    <row r="484" spans="1:10" x14ac:dyDescent="0.25">
      <c r="A484" s="1">
        <v>44117</v>
      </c>
      <c r="B484">
        <f>119.59</f>
        <v>119.59</v>
      </c>
      <c r="C484">
        <f>100.5491</f>
        <v>100.5491</v>
      </c>
      <c r="D484">
        <f>70</f>
        <v>70</v>
      </c>
      <c r="E484">
        <f>2464.18</f>
        <v>2464.1799999999998</v>
      </c>
      <c r="F484">
        <f>110.93</f>
        <v>110.93</v>
      </c>
      <c r="G484">
        <f>257.2932</f>
        <v>257.29320000000001</v>
      </c>
      <c r="H484">
        <f>204.84</f>
        <v>204.84</v>
      </c>
      <c r="I484">
        <f>371.49</f>
        <v>371.49</v>
      </c>
      <c r="J484">
        <f>3511.93</f>
        <v>3511.93</v>
      </c>
    </row>
    <row r="485" spans="1:10" x14ac:dyDescent="0.25">
      <c r="A485" s="1">
        <v>44116</v>
      </c>
      <c r="B485">
        <f>120.95</f>
        <v>120.95</v>
      </c>
      <c r="C485">
        <f>102.1039</f>
        <v>102.1039</v>
      </c>
      <c r="D485">
        <f>70.51</f>
        <v>70.510000000000005</v>
      </c>
      <c r="E485">
        <f>2477.92</f>
        <v>2477.92</v>
      </c>
      <c r="F485">
        <f>112.5</f>
        <v>112.5</v>
      </c>
      <c r="G485">
        <f>257.8681</f>
        <v>257.86810000000003</v>
      </c>
      <c r="H485">
        <f>207.03</f>
        <v>207.03</v>
      </c>
      <c r="I485">
        <f>378.16</f>
        <v>378.16</v>
      </c>
      <c r="J485">
        <f>3534.22</f>
        <v>3534.22</v>
      </c>
    </row>
    <row r="486" spans="1:10" x14ac:dyDescent="0.25">
      <c r="A486" s="1">
        <v>44113</v>
      </c>
      <c r="B486">
        <f>121.08</f>
        <v>121.08</v>
      </c>
      <c r="C486">
        <f>101.2658</f>
        <v>101.2658</v>
      </c>
      <c r="D486">
        <f>70.37</f>
        <v>70.37</v>
      </c>
      <c r="E486">
        <f>2447.76</f>
        <v>2447.7600000000002</v>
      </c>
      <c r="F486">
        <f>112.67</f>
        <v>112.67</v>
      </c>
      <c r="G486">
        <f>255.5411</f>
        <v>255.5411</v>
      </c>
      <c r="H486">
        <f>205.95</f>
        <v>205.95</v>
      </c>
      <c r="I486">
        <f>378.25</f>
        <v>378.25</v>
      </c>
      <c r="J486">
        <f>3477.13</f>
        <v>3477.13</v>
      </c>
    </row>
    <row r="487" spans="1:10" x14ac:dyDescent="0.25">
      <c r="A487" s="1">
        <v>44112</v>
      </c>
      <c r="B487">
        <f>121.33</f>
        <v>121.33</v>
      </c>
      <c r="C487">
        <f>101.2274</f>
        <v>101.2274</v>
      </c>
      <c r="D487">
        <f>70.3</f>
        <v>70.3</v>
      </c>
      <c r="E487">
        <f>2427.36</f>
        <v>2427.36</v>
      </c>
      <c r="F487">
        <f>112.97</f>
        <v>112.97</v>
      </c>
      <c r="G487">
        <f>253.3149</f>
        <v>253.31489999999999</v>
      </c>
      <c r="H487">
        <f>206.6</f>
        <v>206.6</v>
      </c>
      <c r="I487">
        <f>379.62</f>
        <v>379.62</v>
      </c>
      <c r="J487">
        <f>3446.83</f>
        <v>3446.83</v>
      </c>
    </row>
    <row r="488" spans="1:10" x14ac:dyDescent="0.25">
      <c r="A488" s="1">
        <v>44111</v>
      </c>
      <c r="B488">
        <f>118.35</f>
        <v>118.35</v>
      </c>
      <c r="C488">
        <f>100.1479</f>
        <v>100.14790000000001</v>
      </c>
      <c r="D488">
        <f>69.64</f>
        <v>69.64</v>
      </c>
      <c r="E488">
        <f>2409.4</f>
        <v>2409.4</v>
      </c>
      <c r="F488">
        <f>109.56</f>
        <v>109.56</v>
      </c>
      <c r="G488">
        <f>252.1126</f>
        <v>252.11259999999999</v>
      </c>
      <c r="H488">
        <f>204.3</f>
        <v>204.3</v>
      </c>
      <c r="I488">
        <f>373.75</f>
        <v>373.75</v>
      </c>
      <c r="J488">
        <f>3419.45</f>
        <v>3419.45</v>
      </c>
    </row>
    <row r="489" spans="1:10" x14ac:dyDescent="0.25">
      <c r="A489" s="1">
        <v>44110</v>
      </c>
      <c r="B489">
        <f>118.07</f>
        <v>118.07</v>
      </c>
      <c r="C489">
        <f>99.2899</f>
        <v>99.289900000000003</v>
      </c>
      <c r="D489">
        <f>68.97</f>
        <v>68.97</v>
      </c>
      <c r="E489">
        <f>2382.57</f>
        <v>2382.5700000000002</v>
      </c>
      <c r="F489">
        <f>109.16</f>
        <v>109.16</v>
      </c>
      <c r="G489">
        <f>250.9977</f>
        <v>250.99770000000001</v>
      </c>
      <c r="H489">
        <f>204.15</f>
        <v>204.15</v>
      </c>
      <c r="I489">
        <f>369.08</f>
        <v>369.08</v>
      </c>
      <c r="J489">
        <f>3360.95</f>
        <v>3360.95</v>
      </c>
    </row>
    <row r="490" spans="1:10" x14ac:dyDescent="0.25">
      <c r="A490" s="1">
        <v>44109</v>
      </c>
      <c r="B490">
        <f>118.03</f>
        <v>118.03</v>
      </c>
      <c r="C490">
        <f>99.3534</f>
        <v>99.353399999999993</v>
      </c>
      <c r="D490">
        <f>68.73</f>
        <v>68.73</v>
      </c>
      <c r="E490">
        <f>2403.5</f>
        <v>2403.5</v>
      </c>
      <c r="F490">
        <f>109.4</f>
        <v>109.4</v>
      </c>
      <c r="G490">
        <f>252.3803</f>
        <v>252.38030000000001</v>
      </c>
      <c r="H490">
        <f>205.16</f>
        <v>205.16</v>
      </c>
      <c r="I490">
        <f>373.65</f>
        <v>373.65</v>
      </c>
      <c r="J490">
        <f>3408.63</f>
        <v>3408.63</v>
      </c>
    </row>
    <row r="491" spans="1:10" x14ac:dyDescent="0.25">
      <c r="A491" s="1">
        <v>44106</v>
      </c>
      <c r="B491">
        <f>115.4</f>
        <v>115.4</v>
      </c>
      <c r="C491">
        <f>97.4903</f>
        <v>97.490300000000005</v>
      </c>
      <c r="D491">
        <f>67.87</f>
        <v>67.87</v>
      </c>
      <c r="E491">
        <f>2362.41</f>
        <v>2362.41</v>
      </c>
      <c r="F491">
        <f>106.53</f>
        <v>106.53</v>
      </c>
      <c r="G491">
        <f>250.3893</f>
        <v>250.38929999999999</v>
      </c>
      <c r="H491">
        <f>203.03</f>
        <v>203.03</v>
      </c>
      <c r="I491">
        <f>369.58</f>
        <v>369.58</v>
      </c>
      <c r="J491">
        <f>3348.44</f>
        <v>3348.44</v>
      </c>
    </row>
    <row r="492" spans="1:10" x14ac:dyDescent="0.25">
      <c r="A492" s="1">
        <v>44105</v>
      </c>
      <c r="B492">
        <f>115.44</f>
        <v>115.44</v>
      </c>
      <c r="C492">
        <f>96.9613</f>
        <v>96.961299999999994</v>
      </c>
      <c r="D492">
        <f>67.74</f>
        <v>67.739999999999995</v>
      </c>
      <c r="E492">
        <f>2380.02</f>
        <v>2380.02</v>
      </c>
      <c r="F492">
        <f>106.33</f>
        <v>106.33</v>
      </c>
      <c r="G492">
        <f>251.1055</f>
        <v>251.10550000000001</v>
      </c>
      <c r="H492">
        <f>200.92</f>
        <v>200.92</v>
      </c>
      <c r="I492">
        <f>366.75</f>
        <v>366.75</v>
      </c>
      <c r="J492">
        <f>3380.8</f>
        <v>3380.8</v>
      </c>
    </row>
    <row r="493" spans="1:10" x14ac:dyDescent="0.25">
      <c r="A493" s="1">
        <v>44104</v>
      </c>
      <c r="B493">
        <f>117.64</f>
        <v>117.64</v>
      </c>
      <c r="C493">
        <f>96.6911</f>
        <v>96.691100000000006</v>
      </c>
      <c r="D493">
        <f>67.21</f>
        <v>67.209999999999994</v>
      </c>
      <c r="E493">
        <f>2367.27</f>
        <v>2367.27</v>
      </c>
      <c r="F493">
        <f>108.99</f>
        <v>108.99</v>
      </c>
      <c r="G493">
        <f>250.1195</f>
        <v>250.11949999999999</v>
      </c>
      <c r="H493">
        <f>198.2</f>
        <v>198.2</v>
      </c>
      <c r="I493">
        <f>364.93</f>
        <v>364.93</v>
      </c>
      <c r="J493">
        <f>3363</f>
        <v>3363</v>
      </c>
    </row>
    <row r="494" spans="1:10" x14ac:dyDescent="0.25">
      <c r="A494" s="1">
        <v>44103</v>
      </c>
      <c r="B494">
        <f>118.04</f>
        <v>118.04</v>
      </c>
      <c r="C494">
        <f>96.2511</f>
        <v>96.251099999999994</v>
      </c>
      <c r="D494">
        <f>67.31</f>
        <v>67.31</v>
      </c>
      <c r="E494">
        <f>2359.63</f>
        <v>2359.63</v>
      </c>
      <c r="F494">
        <f>109.59</f>
        <v>109.59</v>
      </c>
      <c r="G494">
        <f>248.9311</f>
        <v>248.93109999999999</v>
      </c>
      <c r="H494">
        <f>197.66</f>
        <v>197.66</v>
      </c>
      <c r="I494">
        <f>368.14</f>
        <v>368.14</v>
      </c>
      <c r="J494">
        <f>3335.47</f>
        <v>3335.47</v>
      </c>
    </row>
    <row r="495" spans="1:10" x14ac:dyDescent="0.25">
      <c r="A495" s="1">
        <v>44102</v>
      </c>
      <c r="B495">
        <f>120.23</f>
        <v>120.23</v>
      </c>
      <c r="C495">
        <f>97.3008</f>
        <v>97.300799999999995</v>
      </c>
      <c r="D495">
        <f>67.94</f>
        <v>67.94</v>
      </c>
      <c r="E495">
        <f>2366.41</f>
        <v>2366.41</v>
      </c>
      <c r="F495">
        <f>111.95</f>
        <v>111.95</v>
      </c>
      <c r="G495">
        <f>249.9112</f>
        <v>249.91120000000001</v>
      </c>
      <c r="H495">
        <f>199.17</f>
        <v>199.17</v>
      </c>
      <c r="I495">
        <f>371.84</f>
        <v>371.84</v>
      </c>
      <c r="J495">
        <f>3351.6</f>
        <v>3351.6</v>
      </c>
    </row>
    <row r="496" spans="1:10" x14ac:dyDescent="0.25">
      <c r="A496" s="1">
        <v>44099</v>
      </c>
      <c r="B496">
        <f>118.54</f>
        <v>118.54</v>
      </c>
      <c r="C496">
        <f>94.8735</f>
        <v>94.873500000000007</v>
      </c>
      <c r="D496">
        <f>66.49</f>
        <v>66.489999999999995</v>
      </c>
      <c r="E496">
        <f>2326.85</f>
        <v>2326.85</v>
      </c>
      <c r="F496">
        <f>110.03</f>
        <v>110.03</v>
      </c>
      <c r="G496">
        <f>246.4925</f>
        <v>246.49250000000001</v>
      </c>
      <c r="H496">
        <f>195.83</f>
        <v>195.83</v>
      </c>
      <c r="I496">
        <f>363.55</f>
        <v>363.55</v>
      </c>
      <c r="J496">
        <f>3298.46</f>
        <v>3298.46</v>
      </c>
    </row>
    <row r="497" spans="1:10" x14ac:dyDescent="0.25">
      <c r="A497" s="1">
        <v>44098</v>
      </c>
      <c r="B497">
        <f>118.86</f>
        <v>118.86</v>
      </c>
      <c r="C497">
        <f>94.2797</f>
        <v>94.279700000000005</v>
      </c>
      <c r="D497">
        <f>66.59</f>
        <v>66.59</v>
      </c>
      <c r="E497">
        <f>2300.3</f>
        <v>2300.3000000000002</v>
      </c>
      <c r="F497">
        <f>110.18</f>
        <v>110.18</v>
      </c>
      <c r="G497">
        <f>245.7174</f>
        <v>245.7174</v>
      </c>
      <c r="H497">
        <f>193.3</f>
        <v>193.3</v>
      </c>
      <c r="I497">
        <f>356.41</f>
        <v>356.41</v>
      </c>
      <c r="J497">
        <f>3246.59</f>
        <v>3246.59</v>
      </c>
    </row>
    <row r="498" spans="1:10" x14ac:dyDescent="0.25">
      <c r="A498" s="1">
        <v>44097</v>
      </c>
      <c r="B498">
        <f>120.05</f>
        <v>120.05</v>
      </c>
      <c r="C498">
        <f>94.6592</f>
        <v>94.659199999999998</v>
      </c>
      <c r="D498">
        <f>68.24</f>
        <v>68.239999999999995</v>
      </c>
      <c r="E498">
        <f>2305.57</f>
        <v>2305.5700000000002</v>
      </c>
      <c r="F498">
        <f>111.1</f>
        <v>111.1</v>
      </c>
      <c r="G498">
        <f>246.0306</f>
        <v>246.03059999999999</v>
      </c>
      <c r="H498">
        <f>193.24</f>
        <v>193.24</v>
      </c>
      <c r="I498">
        <f>362.81</f>
        <v>362.81</v>
      </c>
      <c r="J498">
        <f>3236.92</f>
        <v>3236.92</v>
      </c>
    </row>
    <row r="499" spans="1:10" x14ac:dyDescent="0.25">
      <c r="A499" s="1">
        <v>44096</v>
      </c>
      <c r="B499">
        <f>123.3</f>
        <v>123.3</v>
      </c>
      <c r="C499">
        <f>95.9293</f>
        <v>95.929299999999998</v>
      </c>
      <c r="D499">
        <f>68.37</f>
        <v>68.37</v>
      </c>
      <c r="E499">
        <f>2343.39</f>
        <v>2343.39</v>
      </c>
      <c r="F499">
        <f>114.52</f>
        <v>114.52</v>
      </c>
      <c r="G499">
        <f>247.7564</f>
        <v>247.75640000000001</v>
      </c>
      <c r="H499">
        <f>197.45</f>
        <v>197.45</v>
      </c>
      <c r="I499">
        <f>370.79</f>
        <v>370.79</v>
      </c>
      <c r="J499">
        <f>3315.57</f>
        <v>3315.57</v>
      </c>
    </row>
    <row r="500" spans="1:10" x14ac:dyDescent="0.25">
      <c r="A500" s="1">
        <v>44095</v>
      </c>
      <c r="B500">
        <f>123.54</f>
        <v>123.54</v>
      </c>
      <c r="C500">
        <f>96.7438</f>
        <v>96.743799999999993</v>
      </c>
      <c r="D500">
        <f>69.4</f>
        <v>69.400000000000006</v>
      </c>
      <c r="E500">
        <f>2329.49</f>
        <v>2329.4899999999998</v>
      </c>
      <c r="F500">
        <f>114.44</f>
        <v>114.44</v>
      </c>
      <c r="G500">
        <f>246.3875</f>
        <v>246.38749999999999</v>
      </c>
      <c r="H500">
        <f>196.34</f>
        <v>196.34</v>
      </c>
      <c r="I500">
        <f>368.9</f>
        <v>368.9</v>
      </c>
      <c r="J500">
        <f>3281.06</f>
        <v>3281.06</v>
      </c>
    </row>
    <row r="501" spans="1:10" x14ac:dyDescent="0.25">
      <c r="A501" s="1">
        <v>44092</v>
      </c>
      <c r="B501">
        <f>127.84</f>
        <v>127.84</v>
      </c>
      <c r="C501">
        <f>99.7965</f>
        <v>99.796499999999995</v>
      </c>
      <c r="D501">
        <f>72.8</f>
        <v>72.8</v>
      </c>
      <c r="E501">
        <f>2367.99</f>
        <v>2367.9899999999998</v>
      </c>
      <c r="F501">
        <f>118.36</f>
        <v>118.36</v>
      </c>
      <c r="G501">
        <f>249.5952</f>
        <v>249.59520000000001</v>
      </c>
      <c r="H501">
        <f>201.45</f>
        <v>201.45</v>
      </c>
      <c r="I501">
        <f>386.24</f>
        <v>386.24</v>
      </c>
      <c r="J501">
        <f>3319.47</f>
        <v>3319.47</v>
      </c>
    </row>
    <row r="502" spans="1:10" x14ac:dyDescent="0.25">
      <c r="A502" s="1">
        <v>44091</v>
      </c>
      <c r="B502">
        <f>129.16</f>
        <v>129.16</v>
      </c>
      <c r="C502">
        <f>100.1645</f>
        <v>100.1645</v>
      </c>
      <c r="D502">
        <f>73.78</f>
        <v>73.78</v>
      </c>
      <c r="E502">
        <f>2383.54</f>
        <v>2383.54</v>
      </c>
      <c r="F502">
        <f>119.72</f>
        <v>119.72</v>
      </c>
      <c r="G502">
        <f>251.1136</f>
        <v>251.11359999999999</v>
      </c>
      <c r="H502">
        <f>204.58</f>
        <v>204.58</v>
      </c>
      <c r="I502">
        <f>392.11</f>
        <v>392.11</v>
      </c>
      <c r="J502">
        <f>3357.01</f>
        <v>3357.01</v>
      </c>
    </row>
    <row r="503" spans="1:10" x14ac:dyDescent="0.25">
      <c r="A503" s="1">
        <v>44090</v>
      </c>
      <c r="B503">
        <f>129.7</f>
        <v>129.69999999999999</v>
      </c>
      <c r="C503">
        <f>101.2255</f>
        <v>101.2255</v>
      </c>
      <c r="D503">
        <f>74.73</f>
        <v>74.73</v>
      </c>
      <c r="E503">
        <f>2403.5</f>
        <v>2403.5</v>
      </c>
      <c r="F503">
        <f>120.33</f>
        <v>120.33</v>
      </c>
      <c r="G503">
        <f>252.554</f>
        <v>252.554</v>
      </c>
      <c r="H503">
        <f>207.85</f>
        <v>207.85</v>
      </c>
      <c r="I503">
        <f>391.84</f>
        <v>391.84</v>
      </c>
      <c r="J503">
        <f>3385.49</f>
        <v>3385.49</v>
      </c>
    </row>
    <row r="504" spans="1:10" x14ac:dyDescent="0.25">
      <c r="A504" s="1">
        <v>44089</v>
      </c>
      <c r="B504">
        <f>127.45</f>
        <v>127.45</v>
      </c>
      <c r="C504">
        <f>100.6243</f>
        <v>100.62430000000001</v>
      </c>
      <c r="D504">
        <f>73.41</f>
        <v>73.41</v>
      </c>
      <c r="E504">
        <f>2407.97</f>
        <v>2407.9699999999998</v>
      </c>
      <c r="F504">
        <f>117.78</f>
        <v>117.78</v>
      </c>
      <c r="G504">
        <f>252.872</f>
        <v>252.87200000000001</v>
      </c>
      <c r="H504">
        <f>206.61</f>
        <v>206.61</v>
      </c>
      <c r="I504">
        <f>386.16</f>
        <v>386.16</v>
      </c>
      <c r="J504">
        <f>3401.2</f>
        <v>3401.2</v>
      </c>
    </row>
    <row r="505" spans="1:10" x14ac:dyDescent="0.25">
      <c r="A505" s="1">
        <v>44088</v>
      </c>
      <c r="B505">
        <f>127.34</f>
        <v>127.34</v>
      </c>
      <c r="C505">
        <f>101.5243</f>
        <v>101.5243</v>
      </c>
      <c r="D505">
        <f>72.85</f>
        <v>72.849999999999994</v>
      </c>
      <c r="E505">
        <f>2396.37</f>
        <v>2396.37</v>
      </c>
      <c r="F505">
        <f>118.09</f>
        <v>118.09</v>
      </c>
      <c r="G505">
        <f>252.9471</f>
        <v>252.94710000000001</v>
      </c>
      <c r="H505">
        <f>204.68</f>
        <v>204.68</v>
      </c>
      <c r="I505">
        <f>389.37</f>
        <v>389.37</v>
      </c>
      <c r="J505">
        <f>3383.54</f>
        <v>3383.54</v>
      </c>
    </row>
    <row r="506" spans="1:10" x14ac:dyDescent="0.25">
      <c r="A506" s="1">
        <v>44085</v>
      </c>
      <c r="B506">
        <f>127.35</f>
        <v>127.35</v>
      </c>
      <c r="C506">
        <f>100.4992</f>
        <v>100.4992</v>
      </c>
      <c r="D506">
        <f>71.52</f>
        <v>71.52</v>
      </c>
      <c r="E506">
        <f>2368.14</f>
        <v>2368.14</v>
      </c>
      <c r="F506">
        <f>118.11</f>
        <v>118.11</v>
      </c>
      <c r="G506">
        <f>251.9802</f>
        <v>251.9802</v>
      </c>
      <c r="H506">
        <f>201.45</f>
        <v>201.45</v>
      </c>
      <c r="I506">
        <f>382.64</f>
        <v>382.64</v>
      </c>
      <c r="J506">
        <f>3340.97</f>
        <v>3340.97</v>
      </c>
    </row>
    <row r="507" spans="1:10" x14ac:dyDescent="0.25">
      <c r="A507" s="1">
        <v>44084</v>
      </c>
      <c r="B507">
        <f>127.54</f>
        <v>127.54</v>
      </c>
      <c r="C507">
        <f>100.3189</f>
        <v>100.3189</v>
      </c>
      <c r="D507">
        <f>71.59</f>
        <v>71.59</v>
      </c>
      <c r="E507">
        <f>2367.8</f>
        <v>2367.8000000000002</v>
      </c>
      <c r="F507">
        <f>118.45</f>
        <v>118.45</v>
      </c>
      <c r="G507">
        <f>251.0559</f>
        <v>251.05590000000001</v>
      </c>
      <c r="H507">
        <f>202.08</f>
        <v>202.08</v>
      </c>
      <c r="I507">
        <f>377.06</f>
        <v>377.06</v>
      </c>
      <c r="J507">
        <f>3339.19</f>
        <v>3339.19</v>
      </c>
    </row>
    <row r="508" spans="1:10" x14ac:dyDescent="0.25">
      <c r="A508" s="1">
        <v>44083</v>
      </c>
      <c r="B508">
        <f>129.18</f>
        <v>129.18</v>
      </c>
      <c r="C508">
        <f>101.1237</f>
        <v>101.1237</v>
      </c>
      <c r="D508">
        <f>71.9</f>
        <v>71.900000000000006</v>
      </c>
      <c r="E508">
        <f>2393.75</f>
        <v>2393.75</v>
      </c>
      <c r="F508">
        <f>120.84</f>
        <v>120.84</v>
      </c>
      <c r="G508">
        <f>252.821</f>
        <v>252.821</v>
      </c>
      <c r="H508">
        <f>203.7</f>
        <v>203.7</v>
      </c>
      <c r="I508">
        <f>381.62</f>
        <v>381.62</v>
      </c>
      <c r="J508">
        <f>3398.96</f>
        <v>3398.96</v>
      </c>
    </row>
    <row r="509" spans="1:10" x14ac:dyDescent="0.25">
      <c r="A509" s="1">
        <v>44082</v>
      </c>
      <c r="B509">
        <f>128.02</f>
        <v>128.02000000000001</v>
      </c>
      <c r="C509">
        <f>100.3039</f>
        <v>100.3039</v>
      </c>
      <c r="D509">
        <f>72.78</f>
        <v>72.78</v>
      </c>
      <c r="E509">
        <f>2354.41</f>
        <v>2354.41</v>
      </c>
      <c r="F509">
        <f>119.81</f>
        <v>119.81</v>
      </c>
      <c r="G509">
        <f>248.9106</f>
        <v>248.91059999999999</v>
      </c>
      <c r="H509">
        <f>202.04</f>
        <v>202.04</v>
      </c>
      <c r="I509">
        <f>381.25</f>
        <v>381.25</v>
      </c>
      <c r="J509">
        <f>3331.84</f>
        <v>3331.84</v>
      </c>
    </row>
    <row r="510" spans="1:10" x14ac:dyDescent="0.25">
      <c r="A510" s="1">
        <v>44081</v>
      </c>
      <c r="B510">
        <f>131.91</f>
        <v>131.91</v>
      </c>
      <c r="C510">
        <f>102.3029</f>
        <v>102.30289999999999</v>
      </c>
      <c r="D510">
        <f>72.11</f>
        <v>72.11</v>
      </c>
      <c r="E510">
        <f>2408.05</f>
        <v>2408.0500000000002</v>
      </c>
      <c r="F510">
        <f>124.02</f>
        <v>124.02</v>
      </c>
      <c r="G510">
        <f>252.2046</f>
        <v>252.2046</v>
      </c>
      <c r="H510">
        <f>203.56</f>
        <v>203.56</v>
      </c>
      <c r="I510">
        <f>391.98</f>
        <v>391.98</v>
      </c>
      <c r="J510" t="e">
        <f>NA()</f>
        <v>#N/A</v>
      </c>
    </row>
    <row r="511" spans="1:10" x14ac:dyDescent="0.25">
      <c r="A511" s="1">
        <v>44078</v>
      </c>
      <c r="B511">
        <f>131.35</f>
        <v>131.35</v>
      </c>
      <c r="C511">
        <f>101.7718</f>
        <v>101.7718</v>
      </c>
      <c r="D511">
        <f>71.35</f>
        <v>71.349999999999994</v>
      </c>
      <c r="E511">
        <f>2399.6</f>
        <v>2399.6</v>
      </c>
      <c r="F511">
        <f>123.15</f>
        <v>123.15</v>
      </c>
      <c r="G511">
        <f>251.5923</f>
        <v>251.59229999999999</v>
      </c>
      <c r="H511">
        <f>203.24</f>
        <v>203.24</v>
      </c>
      <c r="I511">
        <f>388.43</f>
        <v>388.43</v>
      </c>
      <c r="J511">
        <f>3426.96</f>
        <v>3426.96</v>
      </c>
    </row>
    <row r="512" spans="1:10" x14ac:dyDescent="0.25">
      <c r="A512" s="1">
        <v>44077</v>
      </c>
      <c r="B512">
        <f>132.34</f>
        <v>132.34</v>
      </c>
      <c r="C512">
        <f>101.8507</f>
        <v>101.8507</v>
      </c>
      <c r="D512">
        <f>70.71</f>
        <v>70.709999999999994</v>
      </c>
      <c r="E512">
        <f>2425.78</f>
        <v>2425.7800000000002</v>
      </c>
      <c r="F512">
        <f>124.27</f>
        <v>124.27</v>
      </c>
      <c r="G512">
        <f>253.8969</f>
        <v>253.89689999999999</v>
      </c>
      <c r="H512">
        <f>205.61</f>
        <v>205.61</v>
      </c>
      <c r="I512">
        <f>389.51</f>
        <v>389.51</v>
      </c>
      <c r="J512">
        <f>3455.06</f>
        <v>3455.06</v>
      </c>
    </row>
    <row r="513" spans="1:10" x14ac:dyDescent="0.25">
      <c r="A513" s="1">
        <v>44076</v>
      </c>
      <c r="B513">
        <f>133.13</f>
        <v>133.13</v>
      </c>
      <c r="C513">
        <f>103.0176</f>
        <v>103.0176</v>
      </c>
      <c r="D513">
        <f>70.34</f>
        <v>70.34</v>
      </c>
      <c r="E513">
        <f>2494.1</f>
        <v>2494.1</v>
      </c>
      <c r="F513">
        <f>125.09</f>
        <v>125.09</v>
      </c>
      <c r="G513">
        <f>256.9385</f>
        <v>256.93849999999998</v>
      </c>
      <c r="H513">
        <f>207.51</f>
        <v>207.51</v>
      </c>
      <c r="I513">
        <f>397.43</f>
        <v>397.43</v>
      </c>
      <c r="J513">
        <f>3580.84</f>
        <v>3580.84</v>
      </c>
    </row>
    <row r="514" spans="1:10" x14ac:dyDescent="0.25">
      <c r="A514" s="1">
        <v>44075</v>
      </c>
      <c r="B514">
        <f>133.89</f>
        <v>133.88999999999999</v>
      </c>
      <c r="C514">
        <f>102.3682</f>
        <v>102.3682</v>
      </c>
      <c r="D514">
        <f>69.88</f>
        <v>69.88</v>
      </c>
      <c r="E514">
        <f>2467.25</f>
        <v>2467.25</v>
      </c>
      <c r="F514">
        <f>125.85</f>
        <v>125.85</v>
      </c>
      <c r="G514">
        <f>253.1858</f>
        <v>253.1858</v>
      </c>
      <c r="H514">
        <f>204.26</f>
        <v>204.26</v>
      </c>
      <c r="I514">
        <f>389.17</f>
        <v>389.17</v>
      </c>
      <c r="J514">
        <f>3526.65</f>
        <v>3526.65</v>
      </c>
    </row>
    <row r="515" spans="1:10" x14ac:dyDescent="0.25">
      <c r="A515" s="1">
        <v>44074</v>
      </c>
      <c r="B515">
        <f>134.24</f>
        <v>134.24</v>
      </c>
      <c r="C515">
        <f>102.5945</f>
        <v>102.5945</v>
      </c>
      <c r="D515">
        <f>69.82</f>
        <v>69.819999999999993</v>
      </c>
      <c r="E515">
        <f>2455.51</f>
        <v>2455.5100000000002</v>
      </c>
      <c r="F515">
        <f>126.7</f>
        <v>126.7</v>
      </c>
      <c r="G515">
        <f>253.7745</f>
        <v>253.77449999999999</v>
      </c>
      <c r="H515">
        <f>204.85</f>
        <v>204.85</v>
      </c>
      <c r="I515">
        <f>390.52</f>
        <v>390.52</v>
      </c>
      <c r="J515">
        <f>3500.31</f>
        <v>3500.31</v>
      </c>
    </row>
    <row r="516" spans="1:10" x14ac:dyDescent="0.25">
      <c r="A516" s="1">
        <v>44071</v>
      </c>
      <c r="B516">
        <f>136.04</f>
        <v>136.04</v>
      </c>
      <c r="C516">
        <f>103.6426</f>
        <v>103.6426</v>
      </c>
      <c r="D516">
        <f>70.53</f>
        <v>70.53</v>
      </c>
      <c r="E516">
        <f>2456.86</f>
        <v>2456.86</v>
      </c>
      <c r="F516">
        <f>128.34</f>
        <v>128.34</v>
      </c>
      <c r="G516">
        <f>254.2476</f>
        <v>254.24760000000001</v>
      </c>
      <c r="H516">
        <f>205.73</f>
        <v>205.73</v>
      </c>
      <c r="I516">
        <f>397.31</f>
        <v>397.31</v>
      </c>
      <c r="J516">
        <f>3508.01</f>
        <v>3508.01</v>
      </c>
    </row>
    <row r="517" spans="1:10" x14ac:dyDescent="0.25">
      <c r="A517" s="1">
        <v>44070</v>
      </c>
      <c r="B517">
        <f>134.58</f>
        <v>134.58000000000001</v>
      </c>
      <c r="C517">
        <f>102.6783</f>
        <v>102.67829999999999</v>
      </c>
      <c r="D517">
        <f>68.99</f>
        <v>68.989999999999995</v>
      </c>
      <c r="E517">
        <f>2442.79</f>
        <v>2442.79</v>
      </c>
      <c r="F517">
        <f>126.84</f>
        <v>126.84</v>
      </c>
      <c r="G517">
        <f>253.2953</f>
        <v>253.2953</v>
      </c>
      <c r="H517">
        <f>203.86</f>
        <v>203.86</v>
      </c>
      <c r="I517">
        <f>394.98</f>
        <v>394.98</v>
      </c>
      <c r="J517">
        <f>3484.55</f>
        <v>3484.55</v>
      </c>
    </row>
    <row r="518" spans="1:10" x14ac:dyDescent="0.25">
      <c r="A518" s="1">
        <v>44069</v>
      </c>
      <c r="B518">
        <f>135.02</f>
        <v>135.02000000000001</v>
      </c>
      <c r="C518">
        <f>102.1189</f>
        <v>102.1189</v>
      </c>
      <c r="D518">
        <f>68.52</f>
        <v>68.52</v>
      </c>
      <c r="E518">
        <f>2446.05</f>
        <v>2446.0500000000002</v>
      </c>
      <c r="F518">
        <f>127.02</f>
        <v>127.02</v>
      </c>
      <c r="G518">
        <f>252.735</f>
        <v>252.73500000000001</v>
      </c>
      <c r="H518">
        <f>202.85</f>
        <v>202.85</v>
      </c>
      <c r="I518">
        <f>391.34</f>
        <v>391.34</v>
      </c>
      <c r="J518">
        <f>3478.73</f>
        <v>3478.73</v>
      </c>
    </row>
    <row r="519" spans="1:10" x14ac:dyDescent="0.25">
      <c r="A519" s="1">
        <v>44068</v>
      </c>
      <c r="B519">
        <f>136.33</f>
        <v>136.33000000000001</v>
      </c>
      <c r="C519">
        <f>101.9852</f>
        <v>101.98520000000001</v>
      </c>
      <c r="D519">
        <f>69.03</f>
        <v>69.03</v>
      </c>
      <c r="E519">
        <f>2422.95</f>
        <v>2422.9499999999998</v>
      </c>
      <c r="F519">
        <f>128.64</f>
        <v>128.63999999999999</v>
      </c>
      <c r="G519">
        <f>252.1547</f>
        <v>252.15469999999999</v>
      </c>
      <c r="H519">
        <f>203.72</f>
        <v>203.72</v>
      </c>
      <c r="I519">
        <f>394.03</f>
        <v>394.03</v>
      </c>
      <c r="J519">
        <f>3443.62</f>
        <v>3443.62</v>
      </c>
    </row>
    <row r="520" spans="1:10" x14ac:dyDescent="0.25">
      <c r="A520" s="1">
        <v>44067</v>
      </c>
      <c r="B520">
        <f>137.75</f>
        <v>137.75</v>
      </c>
      <c r="C520">
        <f>101.6341</f>
        <v>101.6341</v>
      </c>
      <c r="D520">
        <f>67.68</f>
        <v>67.680000000000007</v>
      </c>
      <c r="E520">
        <f>2417.05</f>
        <v>2417.0500000000002</v>
      </c>
      <c r="F520">
        <f>130.37</f>
        <v>130.37</v>
      </c>
      <c r="G520">
        <f>252.8826</f>
        <v>252.8826</v>
      </c>
      <c r="H520">
        <f>203.21</f>
        <v>203.21</v>
      </c>
      <c r="I520">
        <f>397.33</f>
        <v>397.33</v>
      </c>
      <c r="J520">
        <f>3431.28</f>
        <v>3431.28</v>
      </c>
    </row>
    <row r="521" spans="1:10" x14ac:dyDescent="0.25">
      <c r="A521" s="1">
        <v>44064</v>
      </c>
      <c r="B521">
        <f>134.55</f>
        <v>134.55000000000001</v>
      </c>
      <c r="C521">
        <f>99.6964</f>
        <v>99.696399999999997</v>
      </c>
      <c r="D521">
        <f>66.38</f>
        <v>66.38</v>
      </c>
      <c r="E521">
        <f>2392.11</f>
        <v>2392.11</v>
      </c>
      <c r="F521">
        <f>127.04</f>
        <v>127.04</v>
      </c>
      <c r="G521">
        <f>250.3058</f>
        <v>250.3058</v>
      </c>
      <c r="H521">
        <f>202.36</f>
        <v>202.36</v>
      </c>
      <c r="I521">
        <f>385.47</f>
        <v>385.47</v>
      </c>
      <c r="J521">
        <f>3397.16</f>
        <v>3397.16</v>
      </c>
    </row>
    <row r="522" spans="1:10" x14ac:dyDescent="0.25">
      <c r="A522" s="1">
        <v>44063</v>
      </c>
      <c r="B522">
        <f>135.48</f>
        <v>135.47999999999999</v>
      </c>
      <c r="C522">
        <f>100.0188</f>
        <v>100.0188</v>
      </c>
      <c r="D522">
        <f>65.93</f>
        <v>65.930000000000007</v>
      </c>
      <c r="E522">
        <f>2389.15</f>
        <v>2389.15</v>
      </c>
      <c r="F522">
        <f>127.95</f>
        <v>127.95</v>
      </c>
      <c r="G522">
        <f>250.7709</f>
        <v>250.77090000000001</v>
      </c>
      <c r="H522">
        <f>201.42</f>
        <v>201.42</v>
      </c>
      <c r="I522">
        <f>387.62</f>
        <v>387.62</v>
      </c>
      <c r="J522">
        <f>3385.51</f>
        <v>3385.51</v>
      </c>
    </row>
    <row r="523" spans="1:10" x14ac:dyDescent="0.25">
      <c r="A523" s="1">
        <v>44062</v>
      </c>
      <c r="B523">
        <f>138.42</f>
        <v>138.41999999999999</v>
      </c>
      <c r="C523">
        <f>101.3607</f>
        <v>101.36069999999999</v>
      </c>
      <c r="D523">
        <f>66.2</f>
        <v>66.2</v>
      </c>
      <c r="E523">
        <f>2394.47</f>
        <v>2394.4699999999998</v>
      </c>
      <c r="F523">
        <f>130.54</f>
        <v>130.54</v>
      </c>
      <c r="G523">
        <f>252.5203</f>
        <v>252.52029999999999</v>
      </c>
      <c r="H523">
        <f>200.18</f>
        <v>200.18</v>
      </c>
      <c r="I523">
        <f>391.45</f>
        <v>391.45</v>
      </c>
      <c r="J523">
        <f>3374.85</f>
        <v>3374.85</v>
      </c>
    </row>
    <row r="524" spans="1:10" x14ac:dyDescent="0.25">
      <c r="A524" s="1">
        <v>44061</v>
      </c>
      <c r="B524">
        <f>139.05</f>
        <v>139.05000000000001</v>
      </c>
      <c r="C524">
        <f>101.0285</f>
        <v>101.02849999999999</v>
      </c>
      <c r="D524">
        <f>65.69</f>
        <v>65.69</v>
      </c>
      <c r="E524">
        <f>2399.37</f>
        <v>2399.37</v>
      </c>
      <c r="F524">
        <f>131.25</f>
        <v>131.25</v>
      </c>
      <c r="G524">
        <f>252.8336</f>
        <v>252.83359999999999</v>
      </c>
      <c r="H524">
        <f>203.05</f>
        <v>203.05</v>
      </c>
      <c r="I524">
        <f>391.71</f>
        <v>391.71</v>
      </c>
      <c r="J524">
        <f>3389.78</f>
        <v>3389.78</v>
      </c>
    </row>
    <row r="525" spans="1:10" x14ac:dyDescent="0.25">
      <c r="A525" s="1">
        <v>44060</v>
      </c>
      <c r="B525">
        <f>140.13</f>
        <v>140.13</v>
      </c>
      <c r="C525">
        <f>101.4904</f>
        <v>101.49039999999999</v>
      </c>
      <c r="D525">
        <f>65.97</f>
        <v>65.97</v>
      </c>
      <c r="E525">
        <f>2393.97</f>
        <v>2393.9699999999998</v>
      </c>
      <c r="F525">
        <f>132.74</f>
        <v>132.74</v>
      </c>
      <c r="G525">
        <f>251.8725</f>
        <v>251.8725</v>
      </c>
      <c r="H525">
        <f>203.31</f>
        <v>203.31</v>
      </c>
      <c r="I525">
        <f>394.9</f>
        <v>394.9</v>
      </c>
      <c r="J525">
        <f>3381.99</f>
        <v>3381.99</v>
      </c>
    </row>
    <row r="526" spans="1:10" x14ac:dyDescent="0.25">
      <c r="A526" s="1">
        <v>44057</v>
      </c>
      <c r="B526">
        <f>140.79</f>
        <v>140.79</v>
      </c>
      <c r="C526">
        <f>102.4245</f>
        <v>102.42449999999999</v>
      </c>
      <c r="D526">
        <f>66.84</f>
        <v>66.84</v>
      </c>
      <c r="E526">
        <f>2384.2</f>
        <v>2384.1999999999998</v>
      </c>
      <c r="F526">
        <f>133.27</f>
        <v>133.27000000000001</v>
      </c>
      <c r="G526">
        <f>250.6078</f>
        <v>250.6078</v>
      </c>
      <c r="H526">
        <f>201.93</f>
        <v>201.93</v>
      </c>
      <c r="I526">
        <f>399.51</f>
        <v>399.51</v>
      </c>
      <c r="J526">
        <f>3372.85</f>
        <v>3372.85</v>
      </c>
    </row>
    <row r="527" spans="1:10" x14ac:dyDescent="0.25">
      <c r="A527" s="1">
        <v>44056</v>
      </c>
      <c r="B527">
        <f>141.05</f>
        <v>141.05000000000001</v>
      </c>
      <c r="C527">
        <f>102.4837</f>
        <v>102.4837</v>
      </c>
      <c r="D527">
        <f>66.66</f>
        <v>66.66</v>
      </c>
      <c r="E527">
        <f>2390.08</f>
        <v>2390.08</v>
      </c>
      <c r="F527">
        <f>133.43</f>
        <v>133.43</v>
      </c>
      <c r="G527">
        <f>251.2873</f>
        <v>251.28729999999999</v>
      </c>
      <c r="H527">
        <f>202.29</f>
        <v>202.29</v>
      </c>
      <c r="I527">
        <f>397.89</f>
        <v>397.89</v>
      </c>
      <c r="J527">
        <f>3373.43</f>
        <v>3373.43</v>
      </c>
    </row>
    <row r="528" spans="1:10" x14ac:dyDescent="0.25">
      <c r="A528" s="1">
        <v>44055</v>
      </c>
      <c r="B528">
        <f>143.07</f>
        <v>143.07</v>
      </c>
      <c r="C528">
        <f>103.2285</f>
        <v>103.2285</v>
      </c>
      <c r="D528">
        <f>66.77</f>
        <v>66.77</v>
      </c>
      <c r="E528">
        <f>2391.8</f>
        <v>2391.8000000000002</v>
      </c>
      <c r="F528">
        <f>136.02</f>
        <v>136.02000000000001</v>
      </c>
      <c r="G528">
        <f>251.3493</f>
        <v>251.3493</v>
      </c>
      <c r="H528">
        <f>203.98</f>
        <v>203.98</v>
      </c>
      <c r="I528">
        <f>401.07</f>
        <v>401.07</v>
      </c>
      <c r="J528">
        <f>3380.35</f>
        <v>3380.35</v>
      </c>
    </row>
    <row r="529" spans="1:10" x14ac:dyDescent="0.25">
      <c r="A529" s="1">
        <v>44054</v>
      </c>
      <c r="B529">
        <f>141.89</f>
        <v>141.88999999999999</v>
      </c>
      <c r="C529">
        <f>102.7241</f>
        <v>102.72410000000001</v>
      </c>
      <c r="D529">
        <f>66.01</f>
        <v>66.010000000000005</v>
      </c>
      <c r="E529">
        <f>2359.47</f>
        <v>2359.4699999999998</v>
      </c>
      <c r="F529">
        <f>134.72</f>
        <v>134.72</v>
      </c>
      <c r="G529">
        <f>247.7667</f>
        <v>247.76669999999999</v>
      </c>
      <c r="H529">
        <f>201.7</f>
        <v>201.7</v>
      </c>
      <c r="I529">
        <f>403.9</f>
        <v>403.9</v>
      </c>
      <c r="J529">
        <f>3333.69</f>
        <v>3333.69</v>
      </c>
    </row>
    <row r="530" spans="1:10" x14ac:dyDescent="0.25">
      <c r="A530" s="1">
        <v>44053</v>
      </c>
      <c r="B530">
        <f>140.45</f>
        <v>140.44999999999999</v>
      </c>
      <c r="C530">
        <f>100.9765</f>
        <v>100.9765</v>
      </c>
      <c r="D530">
        <f>64.36</f>
        <v>64.36</v>
      </c>
      <c r="E530">
        <f>2360.87</f>
        <v>2360.87</v>
      </c>
      <c r="F530">
        <f>133.45</f>
        <v>133.44999999999999</v>
      </c>
      <c r="G530">
        <f>248.2759</f>
        <v>248.27590000000001</v>
      </c>
      <c r="H530">
        <f>202.81</f>
        <v>202.81</v>
      </c>
      <c r="I530">
        <f>397.44</f>
        <v>397.44</v>
      </c>
      <c r="J530">
        <f>3360.47</f>
        <v>3360.47</v>
      </c>
    </row>
    <row r="531" spans="1:10" x14ac:dyDescent="0.25">
      <c r="A531" s="1">
        <v>44050</v>
      </c>
      <c r="B531">
        <f>137.78</f>
        <v>137.78</v>
      </c>
      <c r="C531">
        <f>100.1606</f>
        <v>100.1606</v>
      </c>
      <c r="D531">
        <f>62.62</f>
        <v>62.62</v>
      </c>
      <c r="E531">
        <f>2355.97</f>
        <v>2355.9699999999998</v>
      </c>
      <c r="F531">
        <f>130.33</f>
        <v>130.33000000000001</v>
      </c>
      <c r="G531">
        <f>247.4565</f>
        <v>247.45650000000001</v>
      </c>
      <c r="H531">
        <f>202.81</f>
        <v>202.81</v>
      </c>
      <c r="I531">
        <f>385.71</f>
        <v>385.71</v>
      </c>
      <c r="J531">
        <f>3351.28</f>
        <v>3351.28</v>
      </c>
    </row>
    <row r="532" spans="1:10" x14ac:dyDescent="0.25">
      <c r="A532" s="1">
        <v>44049</v>
      </c>
      <c r="B532">
        <f>138.65</f>
        <v>138.65</v>
      </c>
      <c r="C532">
        <f>99.2335</f>
        <v>99.233500000000006</v>
      </c>
      <c r="D532">
        <f>62.23</f>
        <v>62.23</v>
      </c>
      <c r="E532">
        <f>2359.89</f>
        <v>2359.89</v>
      </c>
      <c r="F532">
        <f>131.27</f>
        <v>131.27000000000001</v>
      </c>
      <c r="G532">
        <f>247.7498</f>
        <v>247.74979999999999</v>
      </c>
      <c r="H532">
        <f>201.21</f>
        <v>201.21</v>
      </c>
      <c r="I532">
        <f>383.02</f>
        <v>383.02</v>
      </c>
      <c r="J532">
        <f>3349.16</f>
        <v>3349.16</v>
      </c>
    </row>
    <row r="533" spans="1:10" x14ac:dyDescent="0.25">
      <c r="A533" s="1">
        <v>44048</v>
      </c>
      <c r="B533">
        <f>139.62</f>
        <v>139.62</v>
      </c>
      <c r="C533">
        <f>99.5137</f>
        <v>99.5137</v>
      </c>
      <c r="D533">
        <f>61.71</f>
        <v>61.71</v>
      </c>
      <c r="E533">
        <f>2355.94</f>
        <v>2355.94</v>
      </c>
      <c r="F533">
        <f>132.33</f>
        <v>132.33000000000001</v>
      </c>
      <c r="G533">
        <f>249.2481</f>
        <v>249.24809999999999</v>
      </c>
      <c r="H533">
        <f>201.56</f>
        <v>201.56</v>
      </c>
      <c r="I533">
        <f>384.68</f>
        <v>384.68</v>
      </c>
      <c r="J533">
        <f>3327.77</f>
        <v>3327.77</v>
      </c>
    </row>
    <row r="534" spans="1:10" x14ac:dyDescent="0.25">
      <c r="A534" s="1">
        <v>44047</v>
      </c>
      <c r="B534">
        <f>137.08</f>
        <v>137.08000000000001</v>
      </c>
      <c r="C534">
        <f>98.1931</f>
        <v>98.193100000000001</v>
      </c>
      <c r="D534">
        <f>60.57</f>
        <v>60.57</v>
      </c>
      <c r="E534">
        <f>2336.82</f>
        <v>2336.8200000000002</v>
      </c>
      <c r="F534">
        <f>130.23</f>
        <v>130.22999999999999</v>
      </c>
      <c r="G534">
        <f>249</f>
        <v>249</v>
      </c>
      <c r="H534">
        <f>201.52</f>
        <v>201.52</v>
      </c>
      <c r="I534">
        <f>371.73</f>
        <v>371.73</v>
      </c>
      <c r="J534">
        <f>3306.51</f>
        <v>3306.51</v>
      </c>
    </row>
    <row r="535" spans="1:10" x14ac:dyDescent="0.25">
      <c r="A535" s="1">
        <v>44046</v>
      </c>
      <c r="B535">
        <f>133.48</f>
        <v>133.47999999999999</v>
      </c>
      <c r="C535">
        <f>97.8411</f>
        <v>97.841099999999997</v>
      </c>
      <c r="D535">
        <f>59.16</f>
        <v>59.16</v>
      </c>
      <c r="E535">
        <f>2324.08</f>
        <v>2324.08</v>
      </c>
      <c r="F535">
        <f>126.45</f>
        <v>126.45</v>
      </c>
      <c r="G535">
        <f>246.691</f>
        <v>246.691</v>
      </c>
      <c r="H535">
        <f>198.41</f>
        <v>198.41</v>
      </c>
      <c r="I535">
        <f>367.6</f>
        <v>367.6</v>
      </c>
      <c r="J535">
        <f>3294.61</f>
        <v>3294.61</v>
      </c>
    </row>
    <row r="536" spans="1:10" x14ac:dyDescent="0.25">
      <c r="A536" s="1">
        <v>44043</v>
      </c>
      <c r="B536">
        <f>133.33</f>
        <v>133.33000000000001</v>
      </c>
      <c r="C536">
        <f>97.5649</f>
        <v>97.564899999999994</v>
      </c>
      <c r="D536">
        <f>59.69</f>
        <v>59.69</v>
      </c>
      <c r="E536">
        <f>2304.98</f>
        <v>2304.98</v>
      </c>
      <c r="F536">
        <f>125.88</f>
        <v>125.88</v>
      </c>
      <c r="G536">
        <f>246.9172</f>
        <v>246.91720000000001</v>
      </c>
      <c r="H536">
        <f>200.76</f>
        <v>200.76</v>
      </c>
      <c r="I536">
        <f>364.96</f>
        <v>364.96</v>
      </c>
      <c r="J536">
        <f>3271.12</f>
        <v>3271.12</v>
      </c>
    </row>
    <row r="537" spans="1:10" x14ac:dyDescent="0.25">
      <c r="A537" s="1">
        <v>44042</v>
      </c>
      <c r="B537">
        <f>134.93</f>
        <v>134.93</v>
      </c>
      <c r="C537">
        <f>98.0864</f>
        <v>98.086399999999998</v>
      </c>
      <c r="D537">
        <f>60.02</f>
        <v>60.02</v>
      </c>
      <c r="E537">
        <f>2304.01</f>
        <v>2304.0100000000002</v>
      </c>
      <c r="F537">
        <f>127.45</f>
        <v>127.45</v>
      </c>
      <c r="G537">
        <f>248.6647</f>
        <v>248.66470000000001</v>
      </c>
      <c r="H537">
        <f>201.17</f>
        <v>201.17</v>
      </c>
      <c r="I537">
        <f>370.9</f>
        <v>370.9</v>
      </c>
      <c r="J537">
        <f>3246.22</f>
        <v>3246.22</v>
      </c>
    </row>
    <row r="538" spans="1:10" x14ac:dyDescent="0.25">
      <c r="A538" s="1">
        <v>44041</v>
      </c>
      <c r="B538">
        <f>139.16</f>
        <v>139.16</v>
      </c>
      <c r="C538">
        <f>100.0897</f>
        <v>100.08969999999999</v>
      </c>
      <c r="D538">
        <f>61.39</f>
        <v>61.39</v>
      </c>
      <c r="E538">
        <f>2319.71</f>
        <v>2319.71</v>
      </c>
      <c r="F538">
        <f>132</f>
        <v>132</v>
      </c>
      <c r="G538">
        <f>249.7755</f>
        <v>249.77549999999999</v>
      </c>
      <c r="H538">
        <f>202.76</f>
        <v>202.76</v>
      </c>
      <c r="I538">
        <f>371.97</f>
        <v>371.97</v>
      </c>
      <c r="J538">
        <f>3258.44</f>
        <v>3258.44</v>
      </c>
    </row>
    <row r="539" spans="1:10" x14ac:dyDescent="0.25">
      <c r="A539" s="1">
        <v>44040</v>
      </c>
      <c r="B539">
        <f>137.81</f>
        <v>137.81</v>
      </c>
      <c r="C539">
        <f>98.9951</f>
        <v>98.995099999999994</v>
      </c>
      <c r="D539">
        <f>61.96</f>
        <v>61.96</v>
      </c>
      <c r="E539">
        <f>2299.91</f>
        <v>2299.91</v>
      </c>
      <c r="F539">
        <f>130.22</f>
        <v>130.22</v>
      </c>
      <c r="G539">
        <f>248.764</f>
        <v>248.76400000000001</v>
      </c>
      <c r="H539">
        <f>199.7</f>
        <v>199.7</v>
      </c>
      <c r="I539">
        <f>374.72</f>
        <v>374.72</v>
      </c>
      <c r="J539">
        <f>3218.44</f>
        <v>3218.44</v>
      </c>
    </row>
    <row r="540" spans="1:10" x14ac:dyDescent="0.25">
      <c r="A540" s="1">
        <v>44039</v>
      </c>
      <c r="B540">
        <f>139.18</f>
        <v>139.18</v>
      </c>
      <c r="C540">
        <f>99.3267</f>
        <v>99.326700000000002</v>
      </c>
      <c r="D540">
        <f>62.03</f>
        <v>62.03</v>
      </c>
      <c r="E540">
        <f>2311.62</f>
        <v>2311.62</v>
      </c>
      <c r="F540">
        <f>131.63</f>
        <v>131.63</v>
      </c>
      <c r="G540">
        <f>247.9031</f>
        <v>247.90309999999999</v>
      </c>
      <c r="H540">
        <f>197.09</f>
        <v>197.09</v>
      </c>
      <c r="I540">
        <f>370.9</f>
        <v>370.9</v>
      </c>
      <c r="J540">
        <f>3239.41</f>
        <v>3239.41</v>
      </c>
    </row>
    <row r="541" spans="1:10" x14ac:dyDescent="0.25">
      <c r="A541" s="1">
        <v>44036</v>
      </c>
      <c r="B541">
        <f>138.85</f>
        <v>138.85</v>
      </c>
      <c r="C541">
        <f>99.5918</f>
        <v>99.591800000000006</v>
      </c>
      <c r="D541">
        <f>62.6</f>
        <v>62.6</v>
      </c>
      <c r="E541">
        <f>2291.58</f>
        <v>2291.58</v>
      </c>
      <c r="F541">
        <f>131.44</f>
        <v>131.44</v>
      </c>
      <c r="G541">
        <f>246.0754</f>
        <v>246.0754</v>
      </c>
      <c r="H541">
        <f>195.61</f>
        <v>195.61</v>
      </c>
      <c r="I541">
        <f>375.9</f>
        <v>375.9</v>
      </c>
      <c r="J541">
        <f>3215.63</f>
        <v>3215.63</v>
      </c>
    </row>
    <row r="542" spans="1:10" x14ac:dyDescent="0.25">
      <c r="A542" s="1">
        <v>44035</v>
      </c>
      <c r="B542">
        <f>139.18</f>
        <v>139.18</v>
      </c>
      <c r="C542">
        <f>100.2577</f>
        <v>100.2577</v>
      </c>
      <c r="D542">
        <f>63.93</f>
        <v>63.93</v>
      </c>
      <c r="E542">
        <f>2308.12</f>
        <v>2308.12</v>
      </c>
      <c r="F542">
        <f>131.93</f>
        <v>131.93</v>
      </c>
      <c r="G542">
        <f>246.8266</f>
        <v>246.82660000000001</v>
      </c>
      <c r="H542">
        <f>196.43</f>
        <v>196.43</v>
      </c>
      <c r="I542">
        <f>380.93</f>
        <v>380.93</v>
      </c>
      <c r="J542">
        <f>3235.66</f>
        <v>3235.66</v>
      </c>
    </row>
    <row r="543" spans="1:10" x14ac:dyDescent="0.25">
      <c r="A543" s="1">
        <v>44034</v>
      </c>
      <c r="B543">
        <f>139.55</f>
        <v>139.55000000000001</v>
      </c>
      <c r="C543">
        <f>100.4261</f>
        <v>100.42610000000001</v>
      </c>
      <c r="D543">
        <f>63.93</f>
        <v>63.93</v>
      </c>
      <c r="E543">
        <f>2327.76</f>
        <v>2327.7600000000002</v>
      </c>
      <c r="F543">
        <f>132.46</f>
        <v>132.46</v>
      </c>
      <c r="G543">
        <f>244.6774</f>
        <v>244.67740000000001</v>
      </c>
      <c r="H543">
        <f>197.19</f>
        <v>197.19</v>
      </c>
      <c r="I543">
        <f>385.76</f>
        <v>385.76</v>
      </c>
      <c r="J543">
        <f>3276.02</f>
        <v>3276.02</v>
      </c>
    </row>
    <row r="544" spans="1:10" x14ac:dyDescent="0.25">
      <c r="A544" s="1">
        <v>44033</v>
      </c>
      <c r="B544">
        <f>141</f>
        <v>141</v>
      </c>
      <c r="C544">
        <f>100.5789</f>
        <v>100.5789</v>
      </c>
      <c r="D544">
        <f>64.29</f>
        <v>64.290000000000006</v>
      </c>
      <c r="E544">
        <f>2321.55</f>
        <v>2321.5500000000002</v>
      </c>
      <c r="F544">
        <f>134.44</f>
        <v>134.44</v>
      </c>
      <c r="G544">
        <f>243.8701</f>
        <v>243.87010000000001</v>
      </c>
      <c r="H544">
        <f>195.55</f>
        <v>195.55</v>
      </c>
      <c r="I544">
        <f>380.42</f>
        <v>380.42</v>
      </c>
      <c r="J544">
        <f>3257.3</f>
        <v>3257.3</v>
      </c>
    </row>
    <row r="545" spans="1:10" x14ac:dyDescent="0.25">
      <c r="A545" s="1">
        <v>44032</v>
      </c>
      <c r="B545">
        <f>135.28</f>
        <v>135.28</v>
      </c>
      <c r="C545">
        <f>98.8589</f>
        <v>98.858900000000006</v>
      </c>
      <c r="D545">
        <f>63.53</f>
        <v>63.53</v>
      </c>
      <c r="E545">
        <f>2312.95</f>
        <v>2312.9499999999998</v>
      </c>
      <c r="F545">
        <f>128.38</f>
        <v>128.38</v>
      </c>
      <c r="G545">
        <f>241.7964</f>
        <v>241.79640000000001</v>
      </c>
      <c r="H545">
        <f>194.89</f>
        <v>194.89</v>
      </c>
      <c r="I545">
        <f>372.09</f>
        <v>372.09</v>
      </c>
      <c r="J545">
        <f>3251.84</f>
        <v>3251.84</v>
      </c>
    </row>
    <row r="546" spans="1:10" x14ac:dyDescent="0.25">
      <c r="A546" s="1">
        <v>44029</v>
      </c>
      <c r="B546">
        <f>136.74</f>
        <v>136.74</v>
      </c>
      <c r="C546">
        <f>98.9562</f>
        <v>98.956199999999995</v>
      </c>
      <c r="D546">
        <f>64.36</f>
        <v>64.36</v>
      </c>
      <c r="E546">
        <f>2293.92</f>
        <v>2293.92</v>
      </c>
      <c r="F546">
        <f>130.4</f>
        <v>130.4</v>
      </c>
      <c r="G546">
        <f>242.9979</f>
        <v>242.99789999999999</v>
      </c>
      <c r="H546">
        <f>196.39</f>
        <v>196.39</v>
      </c>
      <c r="I546">
        <f>374.81</f>
        <v>374.81</v>
      </c>
      <c r="J546">
        <f>3224.73</f>
        <v>3224.73</v>
      </c>
    </row>
    <row r="547" spans="1:10" x14ac:dyDescent="0.25">
      <c r="A547" s="1">
        <v>44028</v>
      </c>
      <c r="B547">
        <f>137.94</f>
        <v>137.94</v>
      </c>
      <c r="C547">
        <f>99.6762</f>
        <v>99.676199999999994</v>
      </c>
      <c r="D547">
        <f>65.19</f>
        <v>65.19</v>
      </c>
      <c r="E547">
        <f>2288.81</f>
        <v>2288.81</v>
      </c>
      <c r="F547">
        <f>132.18</f>
        <v>132.18</v>
      </c>
      <c r="G547">
        <f>242.3116</f>
        <v>242.3116</v>
      </c>
      <c r="H547">
        <f>194.78</f>
        <v>194.78</v>
      </c>
      <c r="I547">
        <f>375.29</f>
        <v>375.29</v>
      </c>
      <c r="J547">
        <f>3215.57</f>
        <v>3215.57</v>
      </c>
    </row>
    <row r="548" spans="1:10" x14ac:dyDescent="0.25">
      <c r="A548" s="1">
        <v>44027</v>
      </c>
      <c r="B548">
        <f>138.4</f>
        <v>138.4</v>
      </c>
      <c r="C548">
        <f>99.7734</f>
        <v>99.773399999999995</v>
      </c>
      <c r="D548">
        <f>66.01</f>
        <v>66.010000000000005</v>
      </c>
      <c r="E548">
        <f>2298.78</f>
        <v>2298.7800000000002</v>
      </c>
      <c r="F548">
        <f>132.54</f>
        <v>132.54</v>
      </c>
      <c r="G548">
        <f>242.8617</f>
        <v>242.86170000000001</v>
      </c>
      <c r="H548">
        <f>196.9</f>
        <v>196.9</v>
      </c>
      <c r="I548">
        <f>380.07</f>
        <v>380.07</v>
      </c>
      <c r="J548">
        <f>3226.56</f>
        <v>3226.56</v>
      </c>
    </row>
    <row r="549" spans="1:10" x14ac:dyDescent="0.25">
      <c r="A549" s="1">
        <v>44026</v>
      </c>
      <c r="B549">
        <f>136.68</f>
        <v>136.68</v>
      </c>
      <c r="C549">
        <f>98.098</f>
        <v>98.097999999999999</v>
      </c>
      <c r="D549">
        <f>62.95</f>
        <v>62.95</v>
      </c>
      <c r="E549">
        <f>2270.69</f>
        <v>2270.69</v>
      </c>
      <c r="F549">
        <f>130.32</f>
        <v>130.32</v>
      </c>
      <c r="G549">
        <f>241.0523</f>
        <v>241.0523</v>
      </c>
      <c r="H549">
        <f>195.31</f>
        <v>195.31</v>
      </c>
      <c r="I549">
        <f>366.69</f>
        <v>366.69</v>
      </c>
      <c r="J549">
        <f>3197.52</f>
        <v>3197.52</v>
      </c>
    </row>
    <row r="550" spans="1:10" x14ac:dyDescent="0.25">
      <c r="A550" s="1">
        <v>44025</v>
      </c>
      <c r="B550">
        <f>134.08</f>
        <v>134.08000000000001</v>
      </c>
      <c r="C550">
        <f>97.7138</f>
        <v>97.713800000000006</v>
      </c>
      <c r="D550">
        <f>63.88</f>
        <v>63.88</v>
      </c>
      <c r="E550">
        <f>2253.76</f>
        <v>2253.7600000000002</v>
      </c>
      <c r="F550">
        <f>126.98</f>
        <v>126.98</v>
      </c>
      <c r="G550">
        <f>239.557</f>
        <v>239.55699999999999</v>
      </c>
      <c r="H550">
        <f>194.2</f>
        <v>194.2</v>
      </c>
      <c r="I550">
        <f>364.77</f>
        <v>364.77</v>
      </c>
      <c r="J550">
        <f>3155.22</f>
        <v>3155.22</v>
      </c>
    </row>
    <row r="551" spans="1:10" x14ac:dyDescent="0.25">
      <c r="A551" s="1">
        <v>44022</v>
      </c>
      <c r="B551">
        <f>133.5</f>
        <v>133.5</v>
      </c>
      <c r="C551">
        <f>96.9793</f>
        <v>96.979299999999995</v>
      </c>
      <c r="D551">
        <f>63.65</f>
        <v>63.65</v>
      </c>
      <c r="E551">
        <f>2259.6</f>
        <v>2259.6</v>
      </c>
      <c r="F551">
        <f>126.23</f>
        <v>126.23</v>
      </c>
      <c r="G551">
        <f>238.9568</f>
        <v>238.95679999999999</v>
      </c>
      <c r="H551">
        <f>195.61</f>
        <v>195.61</v>
      </c>
      <c r="I551">
        <f>363.1</f>
        <v>363.1</v>
      </c>
      <c r="J551">
        <f>3185.04</f>
        <v>3185.04</v>
      </c>
    </row>
    <row r="552" spans="1:10" x14ac:dyDescent="0.25">
      <c r="A552" s="1">
        <v>44021</v>
      </c>
      <c r="B552">
        <f>131.42</f>
        <v>131.41999999999999</v>
      </c>
      <c r="C552">
        <f>94.9216</f>
        <v>94.921599999999998</v>
      </c>
      <c r="D552">
        <f>63.24</f>
        <v>63.24</v>
      </c>
      <c r="E552">
        <f>2240.73</f>
        <v>2240.73</v>
      </c>
      <c r="F552">
        <f>123.87</f>
        <v>123.87</v>
      </c>
      <c r="G552">
        <f>235.6291</f>
        <v>235.62909999999999</v>
      </c>
      <c r="H552">
        <f>195.65</f>
        <v>195.65</v>
      </c>
      <c r="I552">
        <f>354.67</f>
        <v>354.67</v>
      </c>
      <c r="J552">
        <f>3152.05</f>
        <v>3152.05</v>
      </c>
    </row>
    <row r="553" spans="1:10" x14ac:dyDescent="0.25">
      <c r="A553" s="1">
        <v>44020</v>
      </c>
      <c r="B553">
        <f>135.48</f>
        <v>135.47999999999999</v>
      </c>
      <c r="C553">
        <f>96.5293</f>
        <v>96.529300000000006</v>
      </c>
      <c r="D553">
        <f>64.65</f>
        <v>64.650000000000006</v>
      </c>
      <c r="E553">
        <f>2252.64</f>
        <v>2252.64</v>
      </c>
      <c r="F553">
        <f>128.53</f>
        <v>128.53</v>
      </c>
      <c r="G553">
        <f>237.5267</f>
        <v>237.52670000000001</v>
      </c>
      <c r="H553">
        <f>196.92</f>
        <v>196.92</v>
      </c>
      <c r="I553">
        <f>368.08</f>
        <v>368.08</v>
      </c>
      <c r="J553">
        <f>3169.94</f>
        <v>3169.94</v>
      </c>
    </row>
    <row r="554" spans="1:10" x14ac:dyDescent="0.25">
      <c r="A554" s="1">
        <v>44019</v>
      </c>
      <c r="B554">
        <f>136.04</f>
        <v>136.04</v>
      </c>
      <c r="C554">
        <f>96.2061</f>
        <v>96.206100000000006</v>
      </c>
      <c r="D554">
        <f>64.87</f>
        <v>64.87</v>
      </c>
      <c r="E554">
        <f>2243.17</f>
        <v>2243.17</v>
      </c>
      <c r="F554">
        <f>129.14</f>
        <v>129.13999999999999</v>
      </c>
      <c r="G554">
        <f>237.7813</f>
        <v>237.78129999999999</v>
      </c>
      <c r="H554">
        <f>197.44</f>
        <v>197.44</v>
      </c>
      <c r="I554">
        <f>369.35</f>
        <v>369.35</v>
      </c>
      <c r="J554">
        <f>3145.32</f>
        <v>3145.32</v>
      </c>
    </row>
    <row r="555" spans="1:10" x14ac:dyDescent="0.25">
      <c r="A555" s="1">
        <v>44018</v>
      </c>
      <c r="B555">
        <f>138.79</f>
        <v>138.79</v>
      </c>
      <c r="C555">
        <f>97.9287</f>
        <v>97.928700000000006</v>
      </c>
      <c r="D555">
        <f>66.32</f>
        <v>66.319999999999993</v>
      </c>
      <c r="E555">
        <f>2264.29</f>
        <v>2264.29</v>
      </c>
      <c r="F555">
        <f>132.01</f>
        <v>132.01</v>
      </c>
      <c r="G555">
        <f>237.326</f>
        <v>237.32599999999999</v>
      </c>
      <c r="H555">
        <f>200.9</f>
        <v>200.9</v>
      </c>
      <c r="I555">
        <f>380.34</f>
        <v>380.34</v>
      </c>
      <c r="J555">
        <f>3179.72</f>
        <v>3179.72</v>
      </c>
    </row>
    <row r="556" spans="1:10" x14ac:dyDescent="0.25">
      <c r="A556" s="1">
        <v>44015</v>
      </c>
      <c r="B556">
        <f>137.26</f>
        <v>137.26</v>
      </c>
      <c r="C556">
        <f>95.8771</f>
        <v>95.877099999999999</v>
      </c>
      <c r="D556">
        <f>65.18</f>
        <v>65.180000000000007</v>
      </c>
      <c r="E556">
        <f>2226.4</f>
        <v>2226.4</v>
      </c>
      <c r="F556">
        <f>131.07</f>
        <v>131.07</v>
      </c>
      <c r="G556">
        <f>234.9797</f>
        <v>234.97970000000001</v>
      </c>
      <c r="H556">
        <f>199.73</f>
        <v>199.73</v>
      </c>
      <c r="I556">
        <f>372.96</f>
        <v>372.96</v>
      </c>
      <c r="J556" t="e">
        <f>NA()</f>
        <v>#N/A</v>
      </c>
    </row>
    <row r="557" spans="1:10" x14ac:dyDescent="0.25">
      <c r="A557" s="1">
        <v>44014</v>
      </c>
      <c r="B557">
        <f>137.48</f>
        <v>137.47999999999999</v>
      </c>
      <c r="C557">
        <f>95.9993</f>
        <v>95.999300000000005</v>
      </c>
      <c r="D557">
        <f>65.1</f>
        <v>65.099999999999994</v>
      </c>
      <c r="E557">
        <f>2227.65</f>
        <v>2227.65</v>
      </c>
      <c r="F557">
        <f>131.46</f>
        <v>131.46</v>
      </c>
      <c r="G557">
        <f>235.7509</f>
        <v>235.7509</v>
      </c>
      <c r="H557">
        <f>199.87</f>
        <v>199.87</v>
      </c>
      <c r="I557">
        <f>373.88</f>
        <v>373.88</v>
      </c>
      <c r="J557">
        <f>3130.01</f>
        <v>3130.01</v>
      </c>
    </row>
    <row r="558" spans="1:10" x14ac:dyDescent="0.25">
      <c r="A558" s="1">
        <v>44013</v>
      </c>
      <c r="B558">
        <f>135.89</f>
        <v>135.88999999999999</v>
      </c>
      <c r="C558">
        <f>95.0691</f>
        <v>95.069100000000006</v>
      </c>
      <c r="D558">
        <f>64.33</f>
        <v>64.33</v>
      </c>
      <c r="E558">
        <f>2211.27</f>
        <v>2211.27</v>
      </c>
      <c r="F558">
        <f>130.23</f>
        <v>130.22999999999999</v>
      </c>
      <c r="G558">
        <f>234.1428</f>
        <v>234.14279999999999</v>
      </c>
      <c r="H558">
        <f>199.03</f>
        <v>199.03</v>
      </c>
      <c r="I558">
        <f>371.27</f>
        <v>371.27</v>
      </c>
      <c r="J558">
        <f>3115.86</f>
        <v>3115.86</v>
      </c>
    </row>
    <row r="559" spans="1:10" x14ac:dyDescent="0.25">
      <c r="A559" s="1">
        <v>44012</v>
      </c>
      <c r="B559">
        <f>136.46</f>
        <v>136.46</v>
      </c>
      <c r="C559">
        <f>95.5427</f>
        <v>95.542699999999996</v>
      </c>
      <c r="D559">
        <f>64.35</f>
        <v>64.349999999999994</v>
      </c>
      <c r="E559">
        <f>2201.79</f>
        <v>2201.79</v>
      </c>
      <c r="F559">
        <f>131.24</f>
        <v>131.24</v>
      </c>
      <c r="G559">
        <f>233.8319</f>
        <v>233.83189999999999</v>
      </c>
      <c r="H559">
        <f>195.41</f>
        <v>195.41</v>
      </c>
      <c r="I559">
        <f>372.96</f>
        <v>372.96</v>
      </c>
      <c r="J559">
        <f>3100.29</f>
        <v>3100.29</v>
      </c>
    </row>
    <row r="560" spans="1:10" x14ac:dyDescent="0.25">
      <c r="A560" s="1">
        <v>44011</v>
      </c>
      <c r="B560">
        <f>135.96</f>
        <v>135.96</v>
      </c>
      <c r="C560">
        <f>94.5057</f>
        <v>94.505700000000004</v>
      </c>
      <c r="D560">
        <f>64.59</f>
        <v>64.59</v>
      </c>
      <c r="E560">
        <f>2176.44</f>
        <v>2176.44</v>
      </c>
      <c r="F560">
        <f>130.29</f>
        <v>130.29</v>
      </c>
      <c r="G560">
        <f>232.7309</f>
        <v>232.73089999999999</v>
      </c>
      <c r="H560">
        <f>192.95</f>
        <v>192.95</v>
      </c>
      <c r="I560">
        <f>378.46</f>
        <v>378.46</v>
      </c>
      <c r="J560">
        <f>3053.24</f>
        <v>3053.24</v>
      </c>
    </row>
    <row r="561" spans="1:10" x14ac:dyDescent="0.25">
      <c r="A561" s="1">
        <v>44008</v>
      </c>
      <c r="B561">
        <f>134.64</f>
        <v>134.63999999999999</v>
      </c>
      <c r="C561">
        <f>93.8164</f>
        <v>93.816400000000002</v>
      </c>
      <c r="D561">
        <f>63.89</f>
        <v>63.89</v>
      </c>
      <c r="E561">
        <f>2157.19</f>
        <v>2157.19</v>
      </c>
      <c r="F561">
        <f>128.73</f>
        <v>128.72999999999999</v>
      </c>
      <c r="G561">
        <f>230.9589</f>
        <v>230.9589</v>
      </c>
      <c r="H561">
        <f>192.1</f>
        <v>192.1</v>
      </c>
      <c r="I561">
        <f>361.08</f>
        <v>361.08</v>
      </c>
      <c r="J561">
        <f>3009.05</f>
        <v>3009.05</v>
      </c>
    </row>
    <row r="562" spans="1:10" x14ac:dyDescent="0.25">
      <c r="A562" s="1">
        <v>44007</v>
      </c>
      <c r="B562">
        <f>137.65</f>
        <v>137.65</v>
      </c>
      <c r="C562">
        <f>96.4375</f>
        <v>96.4375</v>
      </c>
      <c r="D562">
        <f>65.54</f>
        <v>65.540000000000006</v>
      </c>
      <c r="E562">
        <f>2193.4</f>
        <v>2193.4</v>
      </c>
      <c r="F562">
        <f>132.05</f>
        <v>132.05000000000001</v>
      </c>
      <c r="G562">
        <f>233.4412</f>
        <v>233.44120000000001</v>
      </c>
      <c r="H562">
        <f>194.12</f>
        <v>194.12</v>
      </c>
      <c r="I562">
        <f>368</f>
        <v>368</v>
      </c>
      <c r="J562">
        <f>3083.76</f>
        <v>3083.76</v>
      </c>
    </row>
    <row r="563" spans="1:10" x14ac:dyDescent="0.25">
      <c r="A563" s="1">
        <v>44006</v>
      </c>
      <c r="B563">
        <f>137.02</f>
        <v>137.02000000000001</v>
      </c>
      <c r="C563">
        <f>95.0945</f>
        <v>95.094499999999996</v>
      </c>
      <c r="D563">
        <f>65.52</f>
        <v>65.52</v>
      </c>
      <c r="E563">
        <f>2180.12</f>
        <v>2180.12</v>
      </c>
      <c r="F563">
        <f>131.13</f>
        <v>131.13</v>
      </c>
      <c r="G563">
        <f>232.7718</f>
        <v>232.77180000000001</v>
      </c>
      <c r="H563">
        <f>193.97</f>
        <v>193.97</v>
      </c>
      <c r="I563">
        <f>368.23</f>
        <v>368.23</v>
      </c>
      <c r="J563">
        <f>3050.33</f>
        <v>3050.33</v>
      </c>
    </row>
    <row r="564" spans="1:10" x14ac:dyDescent="0.25">
      <c r="A564" s="1">
        <v>44005</v>
      </c>
      <c r="B564">
        <f>142.85</f>
        <v>142.85</v>
      </c>
      <c r="C564">
        <f>98.1132</f>
        <v>98.113200000000006</v>
      </c>
      <c r="D564">
        <f>67.9</f>
        <v>67.900000000000006</v>
      </c>
      <c r="E564">
        <f>2236.04</f>
        <v>2236.04</v>
      </c>
      <c r="F564">
        <f>137.5</f>
        <v>137.5</v>
      </c>
      <c r="G564">
        <f>237.2801</f>
        <v>237.2801</v>
      </c>
      <c r="H564">
        <f>198.53</f>
        <v>198.53</v>
      </c>
      <c r="I564">
        <f>385.91</f>
        <v>385.91</v>
      </c>
      <c r="J564">
        <f>3131.29</f>
        <v>3131.29</v>
      </c>
    </row>
    <row r="565" spans="1:10" x14ac:dyDescent="0.25">
      <c r="A565" s="1">
        <v>44004</v>
      </c>
      <c r="B565">
        <f>141.45</f>
        <v>141.44999999999999</v>
      </c>
      <c r="C565">
        <f>97.0152</f>
        <v>97.015199999999993</v>
      </c>
      <c r="D565">
        <f>67.89</f>
        <v>67.89</v>
      </c>
      <c r="E565">
        <f>2217.82</f>
        <v>2217.8200000000002</v>
      </c>
      <c r="F565">
        <f>136.09</f>
        <v>136.09</v>
      </c>
      <c r="G565">
        <f>236.3427</f>
        <v>236.34270000000001</v>
      </c>
      <c r="H565">
        <f>198.61</f>
        <v>198.61</v>
      </c>
      <c r="I565">
        <f>388.81</f>
        <v>388.81</v>
      </c>
      <c r="J565">
        <f>3117.86</f>
        <v>3117.86</v>
      </c>
    </row>
    <row r="566" spans="1:10" x14ac:dyDescent="0.25">
      <c r="A566" s="1">
        <v>44001</v>
      </c>
      <c r="B566">
        <f>141.3</f>
        <v>141.30000000000001</v>
      </c>
      <c r="C566">
        <f>97.2902</f>
        <v>97.290199999999999</v>
      </c>
      <c r="D566">
        <f>68.6</f>
        <v>68.599999999999994</v>
      </c>
      <c r="E566">
        <f>2208.97</f>
        <v>2208.9699999999998</v>
      </c>
      <c r="F566">
        <f>135.84</f>
        <v>135.84</v>
      </c>
      <c r="G566">
        <f>237.3672</f>
        <v>237.3672</v>
      </c>
      <c r="H566">
        <f>199.1</f>
        <v>199.1</v>
      </c>
      <c r="I566">
        <f>388.27</f>
        <v>388.27</v>
      </c>
      <c r="J566">
        <f>3097.74</f>
        <v>3097.74</v>
      </c>
    </row>
    <row r="567" spans="1:10" x14ac:dyDescent="0.25">
      <c r="A567" s="1">
        <v>44000</v>
      </c>
      <c r="B567">
        <f>141.9</f>
        <v>141.9</v>
      </c>
      <c r="C567">
        <f>97.8531</f>
        <v>97.853099999999998</v>
      </c>
      <c r="D567">
        <f>69.26</f>
        <v>69.260000000000005</v>
      </c>
      <c r="E567">
        <f>2215.64</f>
        <v>2215.64</v>
      </c>
      <c r="F567">
        <f>137.05</f>
        <v>137.05000000000001</v>
      </c>
      <c r="G567">
        <f>237.3859</f>
        <v>237.38589999999999</v>
      </c>
      <c r="H567">
        <f>201.41</f>
        <v>201.41</v>
      </c>
      <c r="I567">
        <f>395.05</f>
        <v>395.05</v>
      </c>
      <c r="J567">
        <f>3115.34</f>
        <v>3115.34</v>
      </c>
    </row>
    <row r="568" spans="1:10" x14ac:dyDescent="0.25">
      <c r="A568" s="1">
        <v>43999</v>
      </c>
      <c r="B568">
        <f>141.38</f>
        <v>141.38</v>
      </c>
      <c r="C568">
        <f>98.17</f>
        <v>98.17</v>
      </c>
      <c r="D568">
        <f>69.95</f>
        <v>69.95</v>
      </c>
      <c r="E568">
        <f>2217.9</f>
        <v>2217.9</v>
      </c>
      <c r="F568">
        <f>136.56</f>
        <v>136.56</v>
      </c>
      <c r="G568">
        <f>237.3097</f>
        <v>237.30969999999999</v>
      </c>
      <c r="H568">
        <f>203.49</f>
        <v>203.49</v>
      </c>
      <c r="I568">
        <f>398.03</f>
        <v>398.03</v>
      </c>
      <c r="J568">
        <f>3113.49</f>
        <v>3113.49</v>
      </c>
    </row>
    <row r="569" spans="1:10" x14ac:dyDescent="0.25">
      <c r="A569" s="1">
        <v>43998</v>
      </c>
      <c r="B569">
        <f>143.98</f>
        <v>143.97999999999999</v>
      </c>
      <c r="C569">
        <f>98.9724</f>
        <v>98.972399999999993</v>
      </c>
      <c r="D569">
        <f>70.73</f>
        <v>70.73</v>
      </c>
      <c r="E569">
        <f>2219.1</f>
        <v>2219.1</v>
      </c>
      <c r="F569">
        <f>139.69</f>
        <v>139.69</v>
      </c>
      <c r="G569">
        <f>236.4758</f>
        <v>236.47579999999999</v>
      </c>
      <c r="H569">
        <f>204.57</f>
        <v>204.57</v>
      </c>
      <c r="I569">
        <f>400.72</f>
        <v>400.72</v>
      </c>
      <c r="J569">
        <f>3124.74</f>
        <v>3124.74</v>
      </c>
    </row>
    <row r="570" spans="1:10" x14ac:dyDescent="0.25">
      <c r="A570" s="1">
        <v>43997</v>
      </c>
      <c r="B570">
        <f>140.21</f>
        <v>140.21</v>
      </c>
      <c r="C570">
        <f>96.8945</f>
        <v>96.894499999999994</v>
      </c>
      <c r="D570">
        <f>68.83</f>
        <v>68.83</v>
      </c>
      <c r="E570">
        <f>2171.44</f>
        <v>2171.44</v>
      </c>
      <c r="F570">
        <f>135.9</f>
        <v>135.9</v>
      </c>
      <c r="G570">
        <f>231.7427</f>
        <v>231.74270000000001</v>
      </c>
      <c r="H570">
        <f>200.13</f>
        <v>200.13</v>
      </c>
      <c r="I570">
        <f>391.38</f>
        <v>391.38</v>
      </c>
      <c r="J570">
        <f>3066.59</f>
        <v>3066.59</v>
      </c>
    </row>
    <row r="571" spans="1:10" x14ac:dyDescent="0.25">
      <c r="A571" s="1">
        <v>43994</v>
      </c>
      <c r="B571">
        <f>141.06</f>
        <v>141.06</v>
      </c>
      <c r="C571">
        <f>96.6546</f>
        <v>96.654600000000002</v>
      </c>
      <c r="D571">
        <f>70.48</f>
        <v>70.48</v>
      </c>
      <c r="E571">
        <f>2164.46</f>
        <v>2164.46</v>
      </c>
      <c r="F571">
        <f>136.46</f>
        <v>136.46</v>
      </c>
      <c r="G571">
        <f>231.0957</f>
        <v>231.09569999999999</v>
      </c>
      <c r="H571">
        <f>200.11</f>
        <v>200.11</v>
      </c>
      <c r="I571">
        <f>390.13</f>
        <v>390.13</v>
      </c>
      <c r="J571">
        <f>3041.31</f>
        <v>3041.31</v>
      </c>
    </row>
    <row r="572" spans="1:10" x14ac:dyDescent="0.25">
      <c r="A572" s="1">
        <v>43993</v>
      </c>
      <c r="B572">
        <f>139.87</f>
        <v>139.87</v>
      </c>
      <c r="C572">
        <f>95.5595</f>
        <v>95.5595</v>
      </c>
      <c r="D572">
        <f>68.98</f>
        <v>68.98</v>
      </c>
      <c r="E572">
        <f>2154.44</f>
        <v>2154.44</v>
      </c>
      <c r="F572">
        <f>134.71</f>
        <v>134.71</v>
      </c>
      <c r="G572">
        <f>232.7791</f>
        <v>232.7791</v>
      </c>
      <c r="H572">
        <f>196.35</f>
        <v>196.35</v>
      </c>
      <c r="I572">
        <f>381.73</f>
        <v>381.73</v>
      </c>
      <c r="J572">
        <f>3002.1</f>
        <v>3002.1</v>
      </c>
    </row>
    <row r="573" spans="1:10" x14ac:dyDescent="0.25">
      <c r="A573" s="1">
        <v>43992</v>
      </c>
      <c r="B573">
        <f>150.23</f>
        <v>150.22999999999999</v>
      </c>
      <c r="C573">
        <f>102.3171</f>
        <v>102.3171</v>
      </c>
      <c r="D573">
        <f>74.21</f>
        <v>74.209999999999994</v>
      </c>
      <c r="E573">
        <f>2267.36</f>
        <v>2267.36</v>
      </c>
      <c r="F573">
        <f>146.12</f>
        <v>146.12</v>
      </c>
      <c r="G573">
        <f>239.832</f>
        <v>239.83199999999999</v>
      </c>
      <c r="H573">
        <f>207.01</f>
        <v>207.01</v>
      </c>
      <c r="I573">
        <f>416.23</f>
        <v>416.23</v>
      </c>
      <c r="J573">
        <f>3190.14</f>
        <v>3190.14</v>
      </c>
    </row>
    <row r="574" spans="1:10" x14ac:dyDescent="0.25">
      <c r="A574" s="1">
        <v>43991</v>
      </c>
      <c r="B574">
        <f>154.96</f>
        <v>154.96</v>
      </c>
      <c r="C574">
        <f>104.8317</f>
        <v>104.8317</v>
      </c>
      <c r="D574">
        <f>76.22</f>
        <v>76.22</v>
      </c>
      <c r="E574">
        <f>2275.28</f>
        <v>2275.2800000000002</v>
      </c>
      <c r="F574">
        <f>151.42</f>
        <v>151.41999999999999</v>
      </c>
      <c r="G574">
        <f>239.4607</f>
        <v>239.4607</v>
      </c>
      <c r="H574">
        <f>210.57</f>
        <v>210.57</v>
      </c>
      <c r="I574">
        <f>427.14</f>
        <v>427.14</v>
      </c>
      <c r="J574">
        <f>3207.18</f>
        <v>3207.18</v>
      </c>
    </row>
    <row r="575" spans="1:10" x14ac:dyDescent="0.25">
      <c r="A575" s="1">
        <v>43990</v>
      </c>
      <c r="B575">
        <f>159.15</f>
        <v>159.15</v>
      </c>
      <c r="C575">
        <f>106.3966</f>
        <v>106.39660000000001</v>
      </c>
      <c r="D575">
        <f>77.8</f>
        <v>77.8</v>
      </c>
      <c r="E575">
        <f>2288.04</f>
        <v>2288.04</v>
      </c>
      <c r="F575">
        <f>156.13</f>
        <v>156.13</v>
      </c>
      <c r="G575">
        <f>240.1304</f>
        <v>240.13040000000001</v>
      </c>
      <c r="H575">
        <f>211.68</f>
        <v>211.68</v>
      </c>
      <c r="I575">
        <f>443.41</f>
        <v>443.41</v>
      </c>
      <c r="J575">
        <f>3232.39</f>
        <v>3232.39</v>
      </c>
    </row>
    <row r="576" spans="1:10" x14ac:dyDescent="0.25">
      <c r="A576" s="1">
        <v>43987</v>
      </c>
      <c r="B576">
        <f>155.36</f>
        <v>155.36000000000001</v>
      </c>
      <c r="C576">
        <f>104.7869</f>
        <v>104.7869</v>
      </c>
      <c r="D576">
        <f>74.73</f>
        <v>74.73</v>
      </c>
      <c r="E576">
        <f>2266.76</f>
        <v>2266.7600000000002</v>
      </c>
      <c r="F576">
        <f>152.19</f>
        <v>152.19</v>
      </c>
      <c r="G576">
        <f>238.7193</f>
        <v>238.7193</v>
      </c>
      <c r="H576">
        <f>208.16</f>
        <v>208.16</v>
      </c>
      <c r="I576">
        <f>428.34</f>
        <v>428.34</v>
      </c>
      <c r="J576">
        <f>3193.93</f>
        <v>3193.93</v>
      </c>
    </row>
    <row r="577" spans="1:10" x14ac:dyDescent="0.25">
      <c r="A577" s="1">
        <v>43986</v>
      </c>
      <c r="B577">
        <f>147.14</f>
        <v>147.13999999999999</v>
      </c>
      <c r="C577">
        <f>101.1589</f>
        <v>101.1589</v>
      </c>
      <c r="D577">
        <f>71.72</f>
        <v>71.72</v>
      </c>
      <c r="E577">
        <f>2218.5</f>
        <v>2218.5</v>
      </c>
      <c r="F577">
        <f>143.13</f>
        <v>143.13</v>
      </c>
      <c r="G577">
        <f>236.9242</f>
        <v>236.92420000000001</v>
      </c>
      <c r="H577">
        <f>202.07</f>
        <v>202.07</v>
      </c>
      <c r="I577">
        <f>406.65</f>
        <v>406.65</v>
      </c>
      <c r="J577">
        <f>3112.35</f>
        <v>3112.35</v>
      </c>
    </row>
    <row r="578" spans="1:10" x14ac:dyDescent="0.25">
      <c r="A578" s="1">
        <v>43985</v>
      </c>
      <c r="B578">
        <f>147.72</f>
        <v>147.72</v>
      </c>
      <c r="C578">
        <f>99.8127</f>
        <v>99.812700000000007</v>
      </c>
      <c r="D578">
        <f>68.96</f>
        <v>68.959999999999994</v>
      </c>
      <c r="E578">
        <f>2222.54</f>
        <v>2222.54</v>
      </c>
      <c r="F578">
        <f>143.57</f>
        <v>143.57</v>
      </c>
      <c r="G578">
        <f>237.3514</f>
        <v>237.35140000000001</v>
      </c>
      <c r="H578">
        <f>203.87</f>
        <v>203.87</v>
      </c>
      <c r="I578">
        <f>399.67</f>
        <v>399.67</v>
      </c>
      <c r="J578">
        <f>3122.87</f>
        <v>3122.87</v>
      </c>
    </row>
    <row r="579" spans="1:10" x14ac:dyDescent="0.25">
      <c r="A579" s="1">
        <v>43984</v>
      </c>
      <c r="B579">
        <f>143.88</f>
        <v>143.88</v>
      </c>
      <c r="C579">
        <f>96.085</f>
        <v>96.084999999999994</v>
      </c>
      <c r="D579">
        <f>65.8</f>
        <v>65.8</v>
      </c>
      <c r="E579">
        <f>2187.09</f>
        <v>2187.09</v>
      </c>
      <c r="F579">
        <f>139.71</f>
        <v>139.71</v>
      </c>
      <c r="G579">
        <f>235.3908</f>
        <v>235.39080000000001</v>
      </c>
      <c r="H579">
        <f>199.21</f>
        <v>199.21</v>
      </c>
      <c r="I579">
        <f>376.98</f>
        <v>376.98</v>
      </c>
      <c r="J579">
        <f>3080.82</f>
        <v>3080.82</v>
      </c>
    </row>
    <row r="580" spans="1:10" x14ac:dyDescent="0.25">
      <c r="A580" s="1">
        <v>43983</v>
      </c>
      <c r="B580">
        <f>139.8</f>
        <v>139.80000000000001</v>
      </c>
      <c r="C580">
        <f>94.4156</f>
        <v>94.415599999999998</v>
      </c>
      <c r="D580">
        <f>64.71</f>
        <v>64.709999999999994</v>
      </c>
      <c r="E580">
        <f>2163.93</f>
        <v>2163.9299999999998</v>
      </c>
      <c r="F580">
        <f>135.59</f>
        <v>135.59</v>
      </c>
      <c r="G580">
        <f>234.6703</f>
        <v>234.6703</v>
      </c>
      <c r="H580">
        <f>196.9</f>
        <v>196.9</v>
      </c>
      <c r="I580">
        <f>372.9</f>
        <v>372.9</v>
      </c>
      <c r="J580">
        <f>3055.73</f>
        <v>3055.73</v>
      </c>
    </row>
    <row r="581" spans="1:10" x14ac:dyDescent="0.25">
      <c r="A581" s="1">
        <v>43980</v>
      </c>
      <c r="B581">
        <f>137.11</f>
        <v>137.11000000000001</v>
      </c>
      <c r="C581">
        <f>92.8969</f>
        <v>92.896900000000002</v>
      </c>
      <c r="D581">
        <f>63.15</f>
        <v>63.15</v>
      </c>
      <c r="E581">
        <f>2147.88</f>
        <v>2147.88</v>
      </c>
      <c r="F581">
        <f>133.03</f>
        <v>133.03</v>
      </c>
      <c r="G581">
        <f>232.9902</f>
        <v>232.99019999999999</v>
      </c>
      <c r="H581">
        <f>192.82</f>
        <v>192.82</v>
      </c>
      <c r="I581">
        <f>369.18</f>
        <v>369.18</v>
      </c>
      <c r="J581">
        <f>3044.31</f>
        <v>3044.31</v>
      </c>
    </row>
    <row r="582" spans="1:10" x14ac:dyDescent="0.25">
      <c r="A582" s="1">
        <v>43979</v>
      </c>
      <c r="B582">
        <f>138.27</f>
        <v>138.27000000000001</v>
      </c>
      <c r="C582">
        <f>94.5936</f>
        <v>94.593599999999995</v>
      </c>
      <c r="D582">
        <f>64.71</f>
        <v>64.709999999999994</v>
      </c>
      <c r="E582">
        <f>2148.33</f>
        <v>2148.33</v>
      </c>
      <c r="F582">
        <f>134.22</f>
        <v>134.22</v>
      </c>
      <c r="G582">
        <f>232.9599</f>
        <v>232.9599</v>
      </c>
      <c r="H582">
        <f>194.1</f>
        <v>194.1</v>
      </c>
      <c r="I582">
        <f>378.86</f>
        <v>378.86</v>
      </c>
      <c r="J582">
        <f>3029.73</f>
        <v>3029.73</v>
      </c>
    </row>
    <row r="583" spans="1:10" x14ac:dyDescent="0.25">
      <c r="A583" s="1">
        <v>43978</v>
      </c>
      <c r="B583">
        <f>139.71</f>
        <v>139.71</v>
      </c>
      <c r="C583">
        <f>94.9428</f>
        <v>94.942800000000005</v>
      </c>
      <c r="D583">
        <f>64.98</f>
        <v>64.98</v>
      </c>
      <c r="E583">
        <f>2136.9</f>
        <v>2136.9</v>
      </c>
      <c r="F583">
        <f>136.14</f>
        <v>136.13999999999999</v>
      </c>
      <c r="G583">
        <f>229.6325</f>
        <v>229.63249999999999</v>
      </c>
      <c r="H583">
        <f>192.38</f>
        <v>192.38</v>
      </c>
      <c r="I583">
        <f>377.93</f>
        <v>377.93</v>
      </c>
      <c r="J583">
        <f>3036.13</f>
        <v>3036.13</v>
      </c>
    </row>
    <row r="584" spans="1:10" x14ac:dyDescent="0.25">
      <c r="A584" s="1">
        <v>43977</v>
      </c>
      <c r="B584">
        <f>138.51</f>
        <v>138.51</v>
      </c>
      <c r="C584">
        <f>91.7038</f>
        <v>91.703800000000001</v>
      </c>
      <c r="D584">
        <f>64.24</f>
        <v>64.239999999999995</v>
      </c>
      <c r="E584">
        <f>2114.27</f>
        <v>2114.27</v>
      </c>
      <c r="F584">
        <f>134.81</f>
        <v>134.81</v>
      </c>
      <c r="G584">
        <f>227.6122</f>
        <v>227.6122</v>
      </c>
      <c r="H584">
        <f>190.16</f>
        <v>190.16</v>
      </c>
      <c r="I584">
        <f>364.07</f>
        <v>364.07</v>
      </c>
      <c r="J584">
        <f>2991.77</f>
        <v>2991.77</v>
      </c>
    </row>
    <row r="585" spans="1:10" x14ac:dyDescent="0.25">
      <c r="A585" s="1">
        <v>43976</v>
      </c>
      <c r="B585">
        <f>135.35</f>
        <v>135.35</v>
      </c>
      <c r="C585">
        <f>87.4177</f>
        <v>87.417699999999996</v>
      </c>
      <c r="D585">
        <f>60.25</f>
        <v>60.25</v>
      </c>
      <c r="E585">
        <f>2081.83</f>
        <v>2081.83</v>
      </c>
      <c r="F585">
        <f>131.66</f>
        <v>131.66</v>
      </c>
      <c r="G585">
        <f>225.7785</f>
        <v>225.77850000000001</v>
      </c>
      <c r="H585">
        <f>184</f>
        <v>184</v>
      </c>
      <c r="I585">
        <f>348.28</f>
        <v>348.28</v>
      </c>
      <c r="J585" t="e">
        <f>NA()</f>
        <v>#N/A</v>
      </c>
    </row>
    <row r="586" spans="1:10" x14ac:dyDescent="0.25">
      <c r="A586" s="1">
        <v>43973</v>
      </c>
      <c r="B586">
        <f>134.6</f>
        <v>134.6</v>
      </c>
      <c r="C586">
        <f>86.8615</f>
        <v>86.861500000000007</v>
      </c>
      <c r="D586">
        <f>59.17</f>
        <v>59.17</v>
      </c>
      <c r="E586">
        <f>2071.9</f>
        <v>2071.9</v>
      </c>
      <c r="F586">
        <f>131.2</f>
        <v>131.19999999999999</v>
      </c>
      <c r="G586">
        <f>224.9813</f>
        <v>224.9813</v>
      </c>
      <c r="H586">
        <f>183.11</f>
        <v>183.11</v>
      </c>
      <c r="I586">
        <f>344.72</f>
        <v>344.72</v>
      </c>
      <c r="J586">
        <f>2955.45</f>
        <v>2955.45</v>
      </c>
    </row>
    <row r="587" spans="1:10" x14ac:dyDescent="0.25">
      <c r="A587" s="1">
        <v>43972</v>
      </c>
      <c r="B587">
        <f>136.04</f>
        <v>136.04</v>
      </c>
      <c r="C587">
        <f>87.6948</f>
        <v>87.694800000000001</v>
      </c>
      <c r="D587">
        <f>60.15</f>
        <v>60.15</v>
      </c>
      <c r="E587">
        <f>2074.1</f>
        <v>2074.1</v>
      </c>
      <c r="F587">
        <f>132.22</f>
        <v>132.22</v>
      </c>
      <c r="G587">
        <f>225.4303</f>
        <v>225.43029999999999</v>
      </c>
      <c r="H587">
        <f>182.36</f>
        <v>182.36</v>
      </c>
      <c r="I587">
        <f>347.14</f>
        <v>347.14</v>
      </c>
      <c r="J587">
        <f>2948.51</f>
        <v>2948.51</v>
      </c>
    </row>
    <row r="588" spans="1:10" x14ac:dyDescent="0.25">
      <c r="A588" s="1">
        <v>43971</v>
      </c>
      <c r="B588">
        <f>138.18</f>
        <v>138.18</v>
      </c>
      <c r="C588">
        <f>88.3934</f>
        <v>88.3934</v>
      </c>
      <c r="D588">
        <f>59.4</f>
        <v>59.4</v>
      </c>
      <c r="E588">
        <f>2092.03</f>
        <v>2092.0300000000002</v>
      </c>
      <c r="F588">
        <f>134.63</f>
        <v>134.63</v>
      </c>
      <c r="G588">
        <f>227.6718</f>
        <v>227.67179999999999</v>
      </c>
      <c r="H588">
        <f>183.38</f>
        <v>183.38</v>
      </c>
      <c r="I588">
        <f>340.8</f>
        <v>340.8</v>
      </c>
      <c r="J588">
        <f>2971.61</f>
        <v>2971.61</v>
      </c>
    </row>
    <row r="589" spans="1:10" x14ac:dyDescent="0.25">
      <c r="A589" s="1">
        <v>43970</v>
      </c>
      <c r="B589">
        <f>134.56</f>
        <v>134.56</v>
      </c>
      <c r="C589">
        <f>86.9955</f>
        <v>86.995500000000007</v>
      </c>
      <c r="D589">
        <f>58.61</f>
        <v>58.61</v>
      </c>
      <c r="E589">
        <f>2061.37</f>
        <v>2061.37</v>
      </c>
      <c r="F589">
        <f>131.06</f>
        <v>131.06</v>
      </c>
      <c r="G589">
        <f>225.7831</f>
        <v>225.78309999999999</v>
      </c>
      <c r="H589">
        <f>182.26</f>
        <v>182.26</v>
      </c>
      <c r="I589">
        <f>340.94</f>
        <v>340.94</v>
      </c>
      <c r="J589">
        <f>2922.94</f>
        <v>2922.94</v>
      </c>
    </row>
    <row r="590" spans="1:10" x14ac:dyDescent="0.25">
      <c r="A590" s="1">
        <v>43969</v>
      </c>
      <c r="B590">
        <f>135.56</f>
        <v>135.56</v>
      </c>
      <c r="C590">
        <f>87.5203</f>
        <v>87.520300000000006</v>
      </c>
      <c r="D590">
        <f>57.56</f>
        <v>57.56</v>
      </c>
      <c r="E590">
        <f>2069</f>
        <v>2069</v>
      </c>
      <c r="F590">
        <f>132.47</f>
        <v>132.47</v>
      </c>
      <c r="G590">
        <f>228.1445</f>
        <v>228.14449999999999</v>
      </c>
      <c r="H590">
        <f>183</f>
        <v>183</v>
      </c>
      <c r="I590">
        <f>345.41</f>
        <v>345.41</v>
      </c>
      <c r="J590">
        <f>2953.91</f>
        <v>2953.91</v>
      </c>
    </row>
    <row r="591" spans="1:10" x14ac:dyDescent="0.25">
      <c r="A591" s="1">
        <v>43966</v>
      </c>
      <c r="B591">
        <f>127.96</f>
        <v>127.96</v>
      </c>
      <c r="C591">
        <f>83.9953</f>
        <v>83.9953</v>
      </c>
      <c r="D591">
        <f>55.24</f>
        <v>55.24</v>
      </c>
      <c r="E591">
        <f>2008.41</f>
        <v>2008.41</v>
      </c>
      <c r="F591">
        <f>124.78</f>
        <v>124.78</v>
      </c>
      <c r="G591">
        <f>223.8257</f>
        <v>223.82570000000001</v>
      </c>
      <c r="H591">
        <f>175.84</f>
        <v>175.84</v>
      </c>
      <c r="I591">
        <f>321.45</f>
        <v>321.45</v>
      </c>
      <c r="J591">
        <f>2863.7</f>
        <v>2863.7</v>
      </c>
    </row>
    <row r="592" spans="1:10" x14ac:dyDescent="0.25">
      <c r="A592" s="1">
        <v>43965</v>
      </c>
      <c r="B592">
        <f>127.44</f>
        <v>127.44</v>
      </c>
      <c r="C592">
        <f>84.2356</f>
        <v>84.235600000000005</v>
      </c>
      <c r="D592">
        <f>55.63</f>
        <v>55.63</v>
      </c>
      <c r="E592">
        <f>1999.89</f>
        <v>1999.89</v>
      </c>
      <c r="F592">
        <f>124.2</f>
        <v>124.2</v>
      </c>
      <c r="G592">
        <f>222.4699</f>
        <v>222.4699</v>
      </c>
      <c r="H592">
        <f>176.87</f>
        <v>176.87</v>
      </c>
      <c r="I592">
        <f>322.71</f>
        <v>322.70999999999998</v>
      </c>
      <c r="J592">
        <f>2852.5</f>
        <v>2852.5</v>
      </c>
    </row>
    <row r="593" spans="1:10" x14ac:dyDescent="0.25">
      <c r="A593" s="1">
        <v>43964</v>
      </c>
      <c r="B593">
        <f>128.33</f>
        <v>128.33000000000001</v>
      </c>
      <c r="C593">
        <f>83.8028</f>
        <v>83.802800000000005</v>
      </c>
      <c r="D593">
        <f>56.11</f>
        <v>56.11</v>
      </c>
      <c r="E593">
        <f>1998.48</f>
        <v>1998.48</v>
      </c>
      <c r="F593">
        <f>124.97</f>
        <v>124.97</v>
      </c>
      <c r="G593">
        <f>225.2369</f>
        <v>225.23689999999999</v>
      </c>
      <c r="H593">
        <f>177.97</f>
        <v>177.97</v>
      </c>
      <c r="I593">
        <f>325.06</f>
        <v>325.06</v>
      </c>
      <c r="J593">
        <f>2820</f>
        <v>2820</v>
      </c>
    </row>
    <row r="594" spans="1:10" x14ac:dyDescent="0.25">
      <c r="A594" s="1">
        <v>43963</v>
      </c>
      <c r="B594">
        <f>133.06</f>
        <v>133.06</v>
      </c>
      <c r="C594">
        <f>86.3656</f>
        <v>86.365600000000001</v>
      </c>
      <c r="D594">
        <f>58.38</f>
        <v>58.38</v>
      </c>
      <c r="E594">
        <f>2034.06</f>
        <v>2034.06</v>
      </c>
      <c r="F594">
        <f>130.12</f>
        <v>130.12</v>
      </c>
      <c r="G594">
        <f>228.0562</f>
        <v>228.05619999999999</v>
      </c>
      <c r="H594">
        <f>181.15</f>
        <v>181.15</v>
      </c>
      <c r="I594">
        <f>334.44</f>
        <v>334.44</v>
      </c>
      <c r="J594">
        <f>2870.12</f>
        <v>2870.12</v>
      </c>
    </row>
    <row r="595" spans="1:10" x14ac:dyDescent="0.25">
      <c r="A595" s="1">
        <v>43962</v>
      </c>
      <c r="B595">
        <f>134.83</f>
        <v>134.83000000000001</v>
      </c>
      <c r="C595">
        <f>87.9254</f>
        <v>87.925399999999996</v>
      </c>
      <c r="D595">
        <f>59.79</f>
        <v>59.79</v>
      </c>
      <c r="E595">
        <f>2060.7</f>
        <v>2060.6999999999998</v>
      </c>
      <c r="F595">
        <f>131.94</f>
        <v>131.94</v>
      </c>
      <c r="G595">
        <f>227.8377</f>
        <v>227.83770000000001</v>
      </c>
      <c r="H595">
        <f>187.9</f>
        <v>187.9</v>
      </c>
      <c r="I595">
        <f>339.94</f>
        <v>339.94</v>
      </c>
      <c r="J595">
        <f>2930.32</f>
        <v>2930.32</v>
      </c>
    </row>
    <row r="596" spans="1:10" x14ac:dyDescent="0.25">
      <c r="A596" s="1">
        <v>43959</v>
      </c>
      <c r="B596">
        <f>136.06</f>
        <v>136.06</v>
      </c>
      <c r="C596">
        <f>89.0271</f>
        <v>89.027100000000004</v>
      </c>
      <c r="D596">
        <f>59.89</f>
        <v>59.89</v>
      </c>
      <c r="E596">
        <f>2061.89</f>
        <v>2061.89</v>
      </c>
      <c r="F596">
        <f>133.26</f>
        <v>133.26</v>
      </c>
      <c r="G596">
        <f>227.7944</f>
        <v>227.7944</v>
      </c>
      <c r="H596">
        <f>188.91</f>
        <v>188.91</v>
      </c>
      <c r="I596">
        <f>345.95</f>
        <v>345.95</v>
      </c>
      <c r="J596">
        <f>2929.8</f>
        <v>2929.8</v>
      </c>
    </row>
    <row r="597" spans="1:10" x14ac:dyDescent="0.25">
      <c r="A597" s="1">
        <v>43958</v>
      </c>
      <c r="B597">
        <f>132.11</f>
        <v>132.11000000000001</v>
      </c>
      <c r="C597">
        <f>87.3748</f>
        <v>87.374799999999993</v>
      </c>
      <c r="D597">
        <f>58.21</f>
        <v>58.21</v>
      </c>
      <c r="E597">
        <f>2026.12</f>
        <v>2026.12</v>
      </c>
      <c r="F597">
        <f>129.4</f>
        <v>129.4</v>
      </c>
      <c r="G597">
        <f>223.2456</f>
        <v>223.2456</v>
      </c>
      <c r="H597">
        <f>185.01</f>
        <v>185.01</v>
      </c>
      <c r="I597">
        <f>338.22</f>
        <v>338.22</v>
      </c>
      <c r="J597">
        <f>2881.19</f>
        <v>2881.19</v>
      </c>
    </row>
    <row r="598" spans="1:10" x14ac:dyDescent="0.25">
      <c r="A598" s="1">
        <v>43957</v>
      </c>
      <c r="B598">
        <f>130.07</f>
        <v>130.07</v>
      </c>
      <c r="C598">
        <f>86.2508</f>
        <v>86.250799999999998</v>
      </c>
      <c r="D598">
        <f>58.62</f>
        <v>58.62</v>
      </c>
      <c r="E598">
        <f>2007.6</f>
        <v>2007.6</v>
      </c>
      <c r="F598">
        <f>127.13</f>
        <v>127.13</v>
      </c>
      <c r="G598">
        <f>223.2181</f>
        <v>223.21809999999999</v>
      </c>
      <c r="H598">
        <f>183.5</f>
        <v>183.5</v>
      </c>
      <c r="I598">
        <f>334.03</f>
        <v>334.03</v>
      </c>
      <c r="J598">
        <f>2848.42</f>
        <v>2848.42</v>
      </c>
    </row>
    <row r="599" spans="1:10" x14ac:dyDescent="0.25">
      <c r="A599" s="1">
        <v>43956</v>
      </c>
      <c r="B599">
        <f>133.14</f>
        <v>133.13999999999999</v>
      </c>
      <c r="C599">
        <f>87.5473</f>
        <v>87.547300000000007</v>
      </c>
      <c r="D599">
        <f>59.88</f>
        <v>59.88</v>
      </c>
      <c r="E599">
        <f>2018.11</f>
        <v>2018.11</v>
      </c>
      <c r="F599">
        <f>130.46</f>
        <v>130.46</v>
      </c>
      <c r="G599">
        <f>224.8422</f>
        <v>224.84219999999999</v>
      </c>
      <c r="H599">
        <f>185.94</f>
        <v>185.94</v>
      </c>
      <c r="I599">
        <f>342.52</f>
        <v>342.52</v>
      </c>
      <c r="J599">
        <f>2868.44</f>
        <v>2868.44</v>
      </c>
    </row>
    <row r="600" spans="1:10" x14ac:dyDescent="0.25">
      <c r="A600" s="1">
        <v>43955</v>
      </c>
      <c r="B600">
        <f>130.41</f>
        <v>130.41</v>
      </c>
      <c r="C600">
        <f>87.1962</f>
        <v>87.196200000000005</v>
      </c>
      <c r="D600">
        <f>60.5</f>
        <v>60.5</v>
      </c>
      <c r="E600">
        <f>1997.75</f>
        <v>1997.75</v>
      </c>
      <c r="F600">
        <f>127.72</f>
        <v>127.72</v>
      </c>
      <c r="G600">
        <f>224.4675</f>
        <v>224.4675</v>
      </c>
      <c r="H600">
        <f>184.27</f>
        <v>184.27</v>
      </c>
      <c r="I600">
        <f>340.72</f>
        <v>340.72</v>
      </c>
      <c r="J600">
        <f>2842.74</f>
        <v>2842.74</v>
      </c>
    </row>
    <row r="601" spans="1:10" x14ac:dyDescent="0.25">
      <c r="A601" s="1">
        <v>43952</v>
      </c>
      <c r="B601">
        <f>129.86</f>
        <v>129.86000000000001</v>
      </c>
      <c r="C601">
        <f>88.6471</f>
        <v>88.647099999999995</v>
      </c>
      <c r="D601">
        <f>63.36</f>
        <v>63.36</v>
      </c>
      <c r="E601">
        <f>2004.79</f>
        <v>2004.79</v>
      </c>
      <c r="F601">
        <f>126.18</f>
        <v>126.18</v>
      </c>
      <c r="G601">
        <f>226.6585</f>
        <v>226.6585</v>
      </c>
      <c r="H601">
        <f>185.82</f>
        <v>185.82</v>
      </c>
      <c r="I601">
        <f>350.85</f>
        <v>350.85</v>
      </c>
      <c r="J601">
        <f>2830.71</f>
        <v>2830.71</v>
      </c>
    </row>
    <row r="602" spans="1:10" x14ac:dyDescent="0.25">
      <c r="A602" s="1">
        <v>43951</v>
      </c>
      <c r="B602">
        <f>135.56</f>
        <v>135.56</v>
      </c>
      <c r="C602">
        <f>91.174</f>
        <v>91.174000000000007</v>
      </c>
      <c r="D602">
        <f>65.88</f>
        <v>65.88</v>
      </c>
      <c r="E602">
        <f>2052.85</f>
        <v>2052.85</v>
      </c>
      <c r="F602">
        <f>132.74</f>
        <v>132.74</v>
      </c>
      <c r="G602">
        <f>228.8253</f>
        <v>228.8253</v>
      </c>
      <c r="H602">
        <f>191.06</f>
        <v>191.06</v>
      </c>
      <c r="I602">
        <f>360.41</f>
        <v>360.41</v>
      </c>
      <c r="J602">
        <f>2912.43</f>
        <v>2912.43</v>
      </c>
    </row>
    <row r="603" spans="1:10" x14ac:dyDescent="0.25">
      <c r="A603" s="1">
        <v>43950</v>
      </c>
      <c r="B603">
        <f>138.54</f>
        <v>138.54</v>
      </c>
      <c r="C603">
        <f>93.2753</f>
        <v>93.275300000000001</v>
      </c>
      <c r="D603">
        <f>66.62</f>
        <v>66.62</v>
      </c>
      <c r="E603">
        <f>2070.76</f>
        <v>2070.7600000000002</v>
      </c>
      <c r="F603">
        <f>136.39</f>
        <v>136.38999999999999</v>
      </c>
      <c r="G603">
        <f>230.2357</f>
        <v>230.23570000000001</v>
      </c>
      <c r="H603">
        <f>191.18</f>
        <v>191.18</v>
      </c>
      <c r="I603">
        <f>366.82</f>
        <v>366.82</v>
      </c>
      <c r="J603">
        <f>2939.51</f>
        <v>2939.51</v>
      </c>
    </row>
    <row r="604" spans="1:10" x14ac:dyDescent="0.25">
      <c r="A604" s="1">
        <v>43949</v>
      </c>
      <c r="B604">
        <f>131.1</f>
        <v>131.1</v>
      </c>
      <c r="C604">
        <f>90.2458</f>
        <v>90.245800000000003</v>
      </c>
      <c r="D604">
        <f>63.29</f>
        <v>63.29</v>
      </c>
      <c r="E604">
        <f>2023.35</f>
        <v>2023.35</v>
      </c>
      <c r="F604">
        <f>128.57</f>
        <v>128.57</v>
      </c>
      <c r="G604">
        <f>230.4949</f>
        <v>230.4949</v>
      </c>
      <c r="H604">
        <f>189.52</f>
        <v>189.52</v>
      </c>
      <c r="I604">
        <f>354.85</f>
        <v>354.85</v>
      </c>
      <c r="J604">
        <f>2863.39</f>
        <v>2863.39</v>
      </c>
    </row>
    <row r="605" spans="1:10" x14ac:dyDescent="0.25">
      <c r="A605" s="1">
        <v>43948</v>
      </c>
      <c r="B605">
        <f>128.31</f>
        <v>128.31</v>
      </c>
      <c r="C605">
        <f>88.711</f>
        <v>88.710999999999999</v>
      </c>
      <c r="D605">
        <f>61.1</f>
        <v>61.1</v>
      </c>
      <c r="E605">
        <f>2022.49</f>
        <v>2022.49</v>
      </c>
      <c r="F605">
        <f>125.58</f>
        <v>125.58</v>
      </c>
      <c r="G605">
        <f>229.3306</f>
        <v>229.3306</v>
      </c>
      <c r="H605">
        <f>189.09</f>
        <v>189.09</v>
      </c>
      <c r="I605">
        <f>348.32</f>
        <v>348.32</v>
      </c>
      <c r="J605">
        <f>2878.48</f>
        <v>2878.48</v>
      </c>
    </row>
    <row r="606" spans="1:10" x14ac:dyDescent="0.25">
      <c r="A606" s="1">
        <v>43945</v>
      </c>
      <c r="B606">
        <f>126.28</f>
        <v>126.28</v>
      </c>
      <c r="C606">
        <f>85.7803</f>
        <v>85.780299999999997</v>
      </c>
      <c r="D606">
        <f>60.15</f>
        <v>60.15</v>
      </c>
      <c r="E606">
        <f>1987.65</f>
        <v>1987.65</v>
      </c>
      <c r="F606">
        <f>123.29</f>
        <v>123.29</v>
      </c>
      <c r="G606">
        <f>228.3202</f>
        <v>228.3202</v>
      </c>
      <c r="H606">
        <f>183.52</f>
        <v>183.52</v>
      </c>
      <c r="I606">
        <f>344.06</f>
        <v>344.06</v>
      </c>
      <c r="J606">
        <f>2836.74</f>
        <v>2836.74</v>
      </c>
    </row>
    <row r="607" spans="1:10" x14ac:dyDescent="0.25">
      <c r="A607" s="1">
        <v>43944</v>
      </c>
      <c r="B607">
        <f>127.22</f>
        <v>127.22</v>
      </c>
      <c r="C607">
        <f>85.5882</f>
        <v>85.588200000000001</v>
      </c>
      <c r="D607">
        <f>61.32</f>
        <v>61.32</v>
      </c>
      <c r="E607">
        <f>1974.38</f>
        <v>1974.38</v>
      </c>
      <c r="F607">
        <f>123.94</f>
        <v>123.94</v>
      </c>
      <c r="G607">
        <f>227.1283</f>
        <v>227.1283</v>
      </c>
      <c r="H607">
        <f>183.66</f>
        <v>183.66</v>
      </c>
      <c r="I607">
        <f>348.33</f>
        <v>348.33</v>
      </c>
      <c r="J607">
        <f>2797.8</f>
        <v>2797.8</v>
      </c>
    </row>
    <row r="608" spans="1:10" x14ac:dyDescent="0.25">
      <c r="A608" s="1">
        <v>43943</v>
      </c>
      <c r="B608">
        <f>123.8</f>
        <v>123.8</v>
      </c>
      <c r="C608">
        <f>85.2837</f>
        <v>85.283699999999996</v>
      </c>
      <c r="D608">
        <f>60.83</f>
        <v>60.83</v>
      </c>
      <c r="E608">
        <f>1968.27</f>
        <v>1968.27</v>
      </c>
      <c r="F608">
        <f>120.51</f>
        <v>120.51</v>
      </c>
      <c r="G608">
        <f>228.526</f>
        <v>228.52600000000001</v>
      </c>
      <c r="H608">
        <f>184.55</f>
        <v>184.55</v>
      </c>
      <c r="I608">
        <f>347.57</f>
        <v>347.57</v>
      </c>
      <c r="J608">
        <f>2799.31</f>
        <v>2799.31</v>
      </c>
    </row>
    <row r="609" spans="1:10" x14ac:dyDescent="0.25">
      <c r="A609" s="1">
        <v>43942</v>
      </c>
      <c r="B609">
        <f>119.29</f>
        <v>119.29</v>
      </c>
      <c r="C609">
        <f>84.4533</f>
        <v>84.453299999999999</v>
      </c>
      <c r="D609">
        <f>62.02</f>
        <v>62.02</v>
      </c>
      <c r="E609">
        <f>1932.25</f>
        <v>1932.25</v>
      </c>
      <c r="F609">
        <f>116.11</f>
        <v>116.11</v>
      </c>
      <c r="G609">
        <f>226.4727</f>
        <v>226.4727</v>
      </c>
      <c r="H609">
        <f>182.34</f>
        <v>182.34</v>
      </c>
      <c r="I609">
        <f>344.34</f>
        <v>344.34</v>
      </c>
      <c r="J609">
        <f>2736.56</f>
        <v>2736.56</v>
      </c>
    </row>
    <row r="610" spans="1:10" x14ac:dyDescent="0.25">
      <c r="A610" s="1">
        <v>43941</v>
      </c>
      <c r="B610">
        <f>122.8</f>
        <v>122.8</v>
      </c>
      <c r="C610">
        <f>87.5004</f>
        <v>87.500399999999999</v>
      </c>
      <c r="D610">
        <f>63.51</f>
        <v>63.51</v>
      </c>
      <c r="E610">
        <f>1994.03</f>
        <v>1994.03</v>
      </c>
      <c r="F610">
        <f>119.49</f>
        <v>119.49</v>
      </c>
      <c r="G610">
        <f>232.4157</f>
        <v>232.41569999999999</v>
      </c>
      <c r="H610">
        <f>186.21</f>
        <v>186.21</v>
      </c>
      <c r="I610">
        <f>358.78</f>
        <v>358.78</v>
      </c>
      <c r="J610">
        <f>2823.16</f>
        <v>2823.16</v>
      </c>
    </row>
    <row r="611" spans="1:10" x14ac:dyDescent="0.25">
      <c r="A611" s="1">
        <v>43938</v>
      </c>
      <c r="B611">
        <f>125.04</f>
        <v>125.04</v>
      </c>
      <c r="C611">
        <f>88.5976</f>
        <v>88.5976</v>
      </c>
      <c r="D611">
        <f>64.38</f>
        <v>64.38</v>
      </c>
      <c r="E611">
        <f>2017.51</f>
        <v>2017.51</v>
      </c>
      <c r="F611">
        <f>122.24</f>
        <v>122.24</v>
      </c>
      <c r="G611">
        <f>234.106</f>
        <v>234.10599999999999</v>
      </c>
      <c r="H611">
        <f>191.78</f>
        <v>191.78</v>
      </c>
      <c r="I611">
        <f>370.67</f>
        <v>370.67</v>
      </c>
      <c r="J611">
        <f>2874.56</f>
        <v>2874.56</v>
      </c>
    </row>
    <row r="612" spans="1:10" x14ac:dyDescent="0.25">
      <c r="A612" s="1">
        <v>43937</v>
      </c>
      <c r="B612">
        <f>117.56</f>
        <v>117.56</v>
      </c>
      <c r="C612">
        <f>84.8684</f>
        <v>84.868399999999994</v>
      </c>
      <c r="D612">
        <f>61.88</f>
        <v>61.88</v>
      </c>
      <c r="E612">
        <f>1964.33</f>
        <v>1964.33</v>
      </c>
      <c r="F612">
        <f>113.74</f>
        <v>113.74</v>
      </c>
      <c r="G612">
        <f>230.7896</f>
        <v>230.78960000000001</v>
      </c>
      <c r="H612">
        <f>186.28</f>
        <v>186.28</v>
      </c>
      <c r="I612">
        <f>347.32</f>
        <v>347.32</v>
      </c>
      <c r="J612">
        <f>2799.55</f>
        <v>2799.55</v>
      </c>
    </row>
    <row r="613" spans="1:10" x14ac:dyDescent="0.25">
      <c r="A613" s="1">
        <v>43936</v>
      </c>
      <c r="B613">
        <f>120.92</f>
        <v>120.92</v>
      </c>
      <c r="C613">
        <f>86.3332</f>
        <v>86.333200000000005</v>
      </c>
      <c r="D613">
        <f>64.53</f>
        <v>64.53</v>
      </c>
      <c r="E613">
        <f>1960.2</f>
        <v>1960.2</v>
      </c>
      <c r="F613">
        <f>117.65</f>
        <v>117.65</v>
      </c>
      <c r="G613">
        <f>229.7654</f>
        <v>229.7654</v>
      </c>
      <c r="H613">
        <f>187.96</f>
        <v>187.96</v>
      </c>
      <c r="I613">
        <f>351.79</f>
        <v>351.79</v>
      </c>
      <c r="J613">
        <f>2783.36</f>
        <v>2783.36</v>
      </c>
    </row>
    <row r="614" spans="1:10" x14ac:dyDescent="0.25">
      <c r="A614" s="1">
        <v>43935</v>
      </c>
      <c r="B614">
        <f>127.53</f>
        <v>127.53</v>
      </c>
      <c r="C614">
        <f>90.2799</f>
        <v>90.279899999999998</v>
      </c>
      <c r="D614">
        <f>65.88</f>
        <v>65.88</v>
      </c>
      <c r="E614">
        <f>2006.81</f>
        <v>2006.81</v>
      </c>
      <c r="F614">
        <f>124.27</f>
        <v>124.27</v>
      </c>
      <c r="G614">
        <f>232.696</f>
        <v>232.696</v>
      </c>
      <c r="H614">
        <f>194.08</f>
        <v>194.08</v>
      </c>
      <c r="I614">
        <f>361.17</f>
        <v>361.17</v>
      </c>
      <c r="J614">
        <f>2846.06</f>
        <v>2846.06</v>
      </c>
    </row>
    <row r="615" spans="1:10" x14ac:dyDescent="0.25">
      <c r="A615" s="1">
        <v>43934</v>
      </c>
      <c r="B615">
        <f>128.38</f>
        <v>128.38</v>
      </c>
      <c r="C615">
        <f>89.8725</f>
        <v>89.872500000000002</v>
      </c>
      <c r="D615">
        <f>64.63</f>
        <v>64.63</v>
      </c>
      <c r="E615">
        <f>1956.75</f>
        <v>1956.75</v>
      </c>
      <c r="F615">
        <f>125.19</f>
        <v>125.19</v>
      </c>
      <c r="G615">
        <f>225.5163</f>
        <v>225.5163</v>
      </c>
      <c r="H615">
        <f>189.75</f>
        <v>189.75</v>
      </c>
      <c r="I615">
        <f>356.54</f>
        <v>356.54</v>
      </c>
      <c r="J615">
        <f>2761.63</f>
        <v>2761.63</v>
      </c>
    </row>
    <row r="616" spans="1:10" x14ac:dyDescent="0.25">
      <c r="A616" s="1">
        <v>43931</v>
      </c>
      <c r="B616">
        <f>129.04</f>
        <v>129.04</v>
      </c>
      <c r="C616">
        <f>91.9425</f>
        <v>91.942499999999995</v>
      </c>
      <c r="D616">
        <f>66.22</f>
        <v>66.22</v>
      </c>
      <c r="E616">
        <f>1971.96</f>
        <v>1971.96</v>
      </c>
      <c r="F616">
        <f>125.52</f>
        <v>125.52</v>
      </c>
      <c r="G616">
        <f>226.6702</f>
        <v>226.67019999999999</v>
      </c>
      <c r="H616">
        <f>195.81</f>
        <v>195.81</v>
      </c>
      <c r="I616">
        <f>363.72</f>
        <v>363.72</v>
      </c>
      <c r="J616" t="e">
        <f>NA()</f>
        <v>#N/A</v>
      </c>
    </row>
    <row r="617" spans="1:10" x14ac:dyDescent="0.25">
      <c r="A617" s="1">
        <v>43930</v>
      </c>
      <c r="B617">
        <f>129.13</f>
        <v>129.13</v>
      </c>
      <c r="C617">
        <f>91.8206</f>
        <v>91.820599999999999</v>
      </c>
      <c r="D617">
        <f>66.42</f>
        <v>66.42</v>
      </c>
      <c r="E617">
        <f>1970.67</f>
        <v>1970.67</v>
      </c>
      <c r="F617">
        <f>125.54</f>
        <v>125.54</v>
      </c>
      <c r="G617">
        <f>226.7122</f>
        <v>226.7122</v>
      </c>
      <c r="H617">
        <f>195.65</f>
        <v>195.65</v>
      </c>
      <c r="I617">
        <f>363.72</f>
        <v>363.72</v>
      </c>
      <c r="J617">
        <f>2789.82</f>
        <v>2789.82</v>
      </c>
    </row>
    <row r="618" spans="1:10" x14ac:dyDescent="0.25">
      <c r="A618" s="1">
        <v>43929</v>
      </c>
      <c r="B618">
        <f>128.41</f>
        <v>128.41</v>
      </c>
      <c r="C618">
        <f>88.3214</f>
        <v>88.321399999999997</v>
      </c>
      <c r="D618">
        <f>63.27</f>
        <v>63.27</v>
      </c>
      <c r="E618">
        <f>1940.08</f>
        <v>1940.08</v>
      </c>
      <c r="F618">
        <f>125.13</f>
        <v>125.13</v>
      </c>
      <c r="G618">
        <f>224.8967</f>
        <v>224.89670000000001</v>
      </c>
      <c r="H618">
        <f>187.64</f>
        <v>187.64</v>
      </c>
      <c r="I618">
        <f>352.96</f>
        <v>352.96</v>
      </c>
      <c r="J618">
        <f>2749.98</f>
        <v>2749.98</v>
      </c>
    </row>
    <row r="619" spans="1:10" x14ac:dyDescent="0.25">
      <c r="A619" s="1">
        <v>43928</v>
      </c>
      <c r="B619">
        <f>125.33</f>
        <v>125.33</v>
      </c>
      <c r="C619">
        <f>86.3853</f>
        <v>86.385300000000001</v>
      </c>
      <c r="D619">
        <f>60.6</f>
        <v>60.6</v>
      </c>
      <c r="E619">
        <f>1895.04</f>
        <v>1895.04</v>
      </c>
      <c r="F619">
        <f>121.51</f>
        <v>121.51</v>
      </c>
      <c r="G619">
        <f>223.1286</f>
        <v>223.12860000000001</v>
      </c>
      <c r="H619">
        <f>178.56</f>
        <v>178.56</v>
      </c>
      <c r="I619">
        <f>340.01</f>
        <v>340.01</v>
      </c>
      <c r="J619">
        <f>2659.41</f>
        <v>2659.41</v>
      </c>
    </row>
    <row r="620" spans="1:10" x14ac:dyDescent="0.25">
      <c r="A620" s="1">
        <v>43927</v>
      </c>
      <c r="B620">
        <f>122.63</f>
        <v>122.63</v>
      </c>
      <c r="C620">
        <f>84.7488</f>
        <v>84.748800000000003</v>
      </c>
      <c r="D620">
        <f>58.15</f>
        <v>58.15</v>
      </c>
      <c r="E620">
        <f>1881.48</f>
        <v>1881.48</v>
      </c>
      <c r="F620">
        <f>119.26</f>
        <v>119.26</v>
      </c>
      <c r="G620">
        <f>223.3798</f>
        <v>223.37979999999999</v>
      </c>
      <c r="H620">
        <f>175.48</f>
        <v>175.48</v>
      </c>
      <c r="I620">
        <f>340.87</f>
        <v>340.87</v>
      </c>
      <c r="J620">
        <f>2663.68</f>
        <v>2663.68</v>
      </c>
    </row>
    <row r="621" spans="1:10" x14ac:dyDescent="0.25">
      <c r="A621" s="1">
        <v>43924</v>
      </c>
      <c r="B621">
        <f>118.91</f>
        <v>118.91</v>
      </c>
      <c r="C621">
        <f>79.7931</f>
        <v>79.793099999999995</v>
      </c>
      <c r="D621">
        <f>56.72</f>
        <v>56.72</v>
      </c>
      <c r="E621">
        <f>1776.86</f>
        <v>1776.86</v>
      </c>
      <c r="F621">
        <f>115.57</f>
        <v>115.57</v>
      </c>
      <c r="G621">
        <f>216.6931</f>
        <v>216.69309999999999</v>
      </c>
      <c r="H621">
        <f>165.6</f>
        <v>165.6</v>
      </c>
      <c r="I621">
        <f>312.89</f>
        <v>312.89</v>
      </c>
      <c r="J621">
        <f>2488.65</f>
        <v>2488.65</v>
      </c>
    </row>
    <row r="622" spans="1:10" x14ac:dyDescent="0.25">
      <c r="A622" s="1">
        <v>43923</v>
      </c>
      <c r="B622">
        <f>121.32</f>
        <v>121.32</v>
      </c>
      <c r="C622">
        <f>81.6147</f>
        <v>81.614699999999999</v>
      </c>
      <c r="D622">
        <f>58.1</f>
        <v>58.1</v>
      </c>
      <c r="E622">
        <f>1803.07</f>
        <v>1803.07</v>
      </c>
      <c r="F622">
        <f>118.79</f>
        <v>118.79</v>
      </c>
      <c r="G622">
        <f>216.4875</f>
        <v>216.48750000000001</v>
      </c>
      <c r="H622">
        <f>168.02</f>
        <v>168.02</v>
      </c>
      <c r="I622">
        <f>315.28</f>
        <v>315.27999999999997</v>
      </c>
      <c r="J622">
        <f>2526.9</f>
        <v>2526.9</v>
      </c>
    </row>
    <row r="623" spans="1:10" x14ac:dyDescent="0.25">
      <c r="A623" s="1">
        <v>43922</v>
      </c>
      <c r="B623">
        <f>113.74</f>
        <v>113.74</v>
      </c>
      <c r="C623">
        <f>80.9471</f>
        <v>80.947100000000006</v>
      </c>
      <c r="D623">
        <f>59.64</f>
        <v>59.64</v>
      </c>
      <c r="E623">
        <f>1781.27</f>
        <v>1781.27</v>
      </c>
      <c r="F623">
        <f>111.23</f>
        <v>111.23</v>
      </c>
      <c r="G623">
        <f>213.1739</f>
        <v>213.1739</v>
      </c>
      <c r="H623">
        <f>167.91</f>
        <v>167.91</v>
      </c>
      <c r="I623">
        <f>317.43</f>
        <v>317.43</v>
      </c>
      <c r="J623">
        <f>2470.5</f>
        <v>2470.5</v>
      </c>
    </row>
    <row r="624" spans="1:10" x14ac:dyDescent="0.25">
      <c r="A624" s="1">
        <v>43921</v>
      </c>
      <c r="B624">
        <f>117.17</f>
        <v>117.17</v>
      </c>
      <c r="C624">
        <f>85.1712</f>
        <v>85.171199999999999</v>
      </c>
      <c r="D624">
        <f>64.56</f>
        <v>64.56</v>
      </c>
      <c r="E624">
        <f>1852.73</f>
        <v>1852.73</v>
      </c>
      <c r="F624">
        <f>114.83</f>
        <v>114.83</v>
      </c>
      <c r="G624">
        <f>216.6184</f>
        <v>216.61840000000001</v>
      </c>
      <c r="H624">
        <f>176.17</f>
        <v>176.17</v>
      </c>
      <c r="I624">
        <f>337.4</f>
        <v>337.4</v>
      </c>
      <c r="J624">
        <f>2584.59</f>
        <v>2584.59</v>
      </c>
    </row>
    <row r="625" spans="1:10" x14ac:dyDescent="0.25">
      <c r="A625" s="1">
        <v>43920</v>
      </c>
      <c r="B625">
        <f>112.29</f>
        <v>112.29</v>
      </c>
      <c r="C625">
        <f>86.523</f>
        <v>86.522999999999996</v>
      </c>
      <c r="D625">
        <f>64.61</f>
        <v>64.61</v>
      </c>
      <c r="E625">
        <f>1870.48</f>
        <v>1870.48</v>
      </c>
      <c r="F625">
        <f>110.24</f>
        <v>110.24</v>
      </c>
      <c r="G625">
        <f>219.0216</f>
        <v>219.02160000000001</v>
      </c>
      <c r="H625">
        <f>179.11</f>
        <v>179.11</v>
      </c>
      <c r="I625">
        <f>346.64</f>
        <v>346.64</v>
      </c>
      <c r="J625">
        <f>2626.65</f>
        <v>2626.65</v>
      </c>
    </row>
    <row r="626" spans="1:10" x14ac:dyDescent="0.25">
      <c r="A626" s="1">
        <v>43917</v>
      </c>
      <c r="B626">
        <f>110.57</f>
        <v>110.57</v>
      </c>
      <c r="C626">
        <f>85.7849</f>
        <v>85.784899999999993</v>
      </c>
      <c r="D626">
        <f>67.43</f>
        <v>67.430000000000007</v>
      </c>
      <c r="E626">
        <f>1827.17</f>
        <v>1827.17</v>
      </c>
      <c r="F626">
        <f>107.59</f>
        <v>107.59</v>
      </c>
      <c r="G626">
        <f>212.6766</f>
        <v>212.67660000000001</v>
      </c>
      <c r="H626">
        <f>176.71</f>
        <v>176.71</v>
      </c>
      <c r="I626">
        <f>354.1</f>
        <v>354.1</v>
      </c>
      <c r="J626">
        <f>2541.47</f>
        <v>2541.4699999999998</v>
      </c>
    </row>
    <row r="627" spans="1:10" x14ac:dyDescent="0.25">
      <c r="A627" s="1">
        <v>43916</v>
      </c>
      <c r="B627">
        <f>117.45</f>
        <v>117.45</v>
      </c>
      <c r="C627">
        <f>88.4854</f>
        <v>88.485399999999998</v>
      </c>
      <c r="D627">
        <f>70.88</f>
        <v>70.88</v>
      </c>
      <c r="E627">
        <f>1875.56</f>
        <v>1875.56</v>
      </c>
      <c r="F627">
        <f>115.02</f>
        <v>115.02</v>
      </c>
      <c r="G627">
        <f>214.3127</f>
        <v>214.31270000000001</v>
      </c>
      <c r="H627">
        <f>176.79</f>
        <v>176.79</v>
      </c>
      <c r="I627">
        <f>374.45</f>
        <v>374.45</v>
      </c>
      <c r="J627">
        <f>2630.07</f>
        <v>2630.07</v>
      </c>
    </row>
    <row r="628" spans="1:10" x14ac:dyDescent="0.25">
      <c r="A628" s="1">
        <v>43915</v>
      </c>
      <c r="B628">
        <f>113.23</f>
        <v>113.23</v>
      </c>
      <c r="C628">
        <f>84.36</f>
        <v>84.36</v>
      </c>
      <c r="D628">
        <f>69.51</f>
        <v>69.510000000000005</v>
      </c>
      <c r="E628">
        <f>1785.99</f>
        <v>1785.99</v>
      </c>
      <c r="F628">
        <f>110.39</f>
        <v>110.39</v>
      </c>
      <c r="G628">
        <f>204.2558</f>
        <v>204.25579999999999</v>
      </c>
      <c r="H628">
        <f>168.22</f>
        <v>168.22</v>
      </c>
      <c r="I628">
        <f>337.62</f>
        <v>337.62</v>
      </c>
      <c r="J628">
        <f>2475.56</f>
        <v>2475.56</v>
      </c>
    </row>
    <row r="629" spans="1:10" x14ac:dyDescent="0.25">
      <c r="A629" s="1">
        <v>43914</v>
      </c>
      <c r="B629">
        <f>106.98</f>
        <v>106.98</v>
      </c>
      <c r="C629">
        <f>80.8078</f>
        <v>80.8078</v>
      </c>
      <c r="D629">
        <f>63.76</f>
        <v>63.76</v>
      </c>
      <c r="E629">
        <f>1742.61</f>
        <v>1742.61</v>
      </c>
      <c r="F629">
        <f>104.14</f>
        <v>104.14</v>
      </c>
      <c r="G629">
        <f>201.495</f>
        <v>201.495</v>
      </c>
      <c r="H629">
        <f>159.98</f>
        <v>159.97999999999999</v>
      </c>
      <c r="I629">
        <f>304.67</f>
        <v>304.67</v>
      </c>
      <c r="J629">
        <f>2447.33</f>
        <v>2447.33</v>
      </c>
    </row>
    <row r="630" spans="1:10" x14ac:dyDescent="0.25">
      <c r="A630" s="1">
        <v>43913</v>
      </c>
      <c r="B630">
        <f>93.05</f>
        <v>93.05</v>
      </c>
      <c r="C630">
        <f>72.3497</f>
        <v>72.349699999999999</v>
      </c>
      <c r="D630">
        <f>57.04</f>
        <v>57.04</v>
      </c>
      <c r="E630">
        <f>1602.11</f>
        <v>1602.11</v>
      </c>
      <c r="F630">
        <f>89</f>
        <v>89</v>
      </c>
      <c r="G630">
        <f>193.143</f>
        <v>193.143</v>
      </c>
      <c r="H630">
        <f>147.72</f>
        <v>147.72</v>
      </c>
      <c r="I630">
        <f>275.12</f>
        <v>275.12</v>
      </c>
      <c r="J630">
        <f>2237.4</f>
        <v>2237.4</v>
      </c>
    </row>
    <row r="631" spans="1:10" x14ac:dyDescent="0.25">
      <c r="A631" s="1">
        <v>43910</v>
      </c>
      <c r="B631">
        <f>97.65</f>
        <v>97.65</v>
      </c>
      <c r="C631">
        <f>76.6274</f>
        <v>76.627399999999994</v>
      </c>
      <c r="D631">
        <f>58.44</f>
        <v>58.44</v>
      </c>
      <c r="E631">
        <f>1650.94</f>
        <v>1650.94</v>
      </c>
      <c r="F631">
        <f>92.68</f>
        <v>92.68</v>
      </c>
      <c r="G631">
        <f>200.849</f>
        <v>200.84899999999999</v>
      </c>
      <c r="H631">
        <f>155.38</f>
        <v>155.38</v>
      </c>
      <c r="I631">
        <f>289.79</f>
        <v>289.79000000000002</v>
      </c>
      <c r="J631">
        <f>2304.92</f>
        <v>2304.92</v>
      </c>
    </row>
    <row r="632" spans="1:10" x14ac:dyDescent="0.25">
      <c r="A632" s="1">
        <v>43909</v>
      </c>
      <c r="B632">
        <f>94.19</f>
        <v>94.19</v>
      </c>
      <c r="C632">
        <f>77.6232</f>
        <v>77.623199999999997</v>
      </c>
      <c r="D632">
        <f>56.88</f>
        <v>56.88</v>
      </c>
      <c r="E632">
        <f>1694.45</f>
        <v>1694.45</v>
      </c>
      <c r="F632">
        <f>89.93</f>
        <v>89.93</v>
      </c>
      <c r="G632">
        <f>209.1468</f>
        <v>209.14680000000001</v>
      </c>
      <c r="H632">
        <f>159.02</f>
        <v>159.02000000000001</v>
      </c>
      <c r="I632">
        <f>291.5</f>
        <v>291.5</v>
      </c>
      <c r="J632">
        <f>2409.39</f>
        <v>2409.39</v>
      </c>
    </row>
    <row r="633" spans="1:10" x14ac:dyDescent="0.25">
      <c r="A633" s="1">
        <v>43908</v>
      </c>
      <c r="B633">
        <f>90.26</f>
        <v>90.26</v>
      </c>
      <c r="C633">
        <f>76.6073</f>
        <v>76.607299999999995</v>
      </c>
      <c r="D633">
        <f>60.01</f>
        <v>60.01</v>
      </c>
      <c r="E633">
        <f>1682.25</f>
        <v>1682.25</v>
      </c>
      <c r="F633">
        <f>85.64</f>
        <v>85.64</v>
      </c>
      <c r="G633">
        <f>210.2958</f>
        <v>210.29580000000001</v>
      </c>
      <c r="H633">
        <f>163.2</f>
        <v>163.19999999999999</v>
      </c>
      <c r="I633">
        <f>290.64</f>
        <v>290.64</v>
      </c>
      <c r="J633">
        <f>2398.1</f>
        <v>2398.1</v>
      </c>
    </row>
    <row r="634" spans="1:10" x14ac:dyDescent="0.25">
      <c r="A634" s="1">
        <v>43907</v>
      </c>
      <c r="B634">
        <f>102.73</f>
        <v>102.73</v>
      </c>
      <c r="C634">
        <f>82.9664</f>
        <v>82.966399999999993</v>
      </c>
      <c r="D634">
        <f>68.22</f>
        <v>68.22</v>
      </c>
      <c r="E634">
        <f>1772.94</f>
        <v>1772.94</v>
      </c>
      <c r="F634">
        <f>98.73</f>
        <v>98.73</v>
      </c>
      <c r="G634">
        <f>215.0277</f>
        <v>215.02770000000001</v>
      </c>
      <c r="H634">
        <f>176.87</f>
        <v>176.87</v>
      </c>
      <c r="I634">
        <f>322.26</f>
        <v>322.26</v>
      </c>
      <c r="J634">
        <f>2529.19</f>
        <v>2529.19</v>
      </c>
    </row>
    <row r="635" spans="1:10" x14ac:dyDescent="0.25">
      <c r="A635" s="1">
        <v>43906</v>
      </c>
      <c r="B635">
        <f>103.43</f>
        <v>103.43</v>
      </c>
      <c r="C635">
        <f>80.231</f>
        <v>80.230999999999995</v>
      </c>
      <c r="D635">
        <f>71.57</f>
        <v>71.569999999999993</v>
      </c>
      <c r="E635">
        <f>1702.79</f>
        <v>1702.79</v>
      </c>
      <c r="F635">
        <f>99.21</f>
        <v>99.21</v>
      </c>
      <c r="G635">
        <f>203.8021</f>
        <v>203.8021</v>
      </c>
      <c r="H635">
        <f>170.83</f>
        <v>170.83</v>
      </c>
      <c r="I635">
        <f>319.63</f>
        <v>319.63</v>
      </c>
      <c r="J635">
        <f>2386.13</f>
        <v>2386.13</v>
      </c>
    </row>
    <row r="636" spans="1:10" x14ac:dyDescent="0.25">
      <c r="A636" s="1">
        <v>43903</v>
      </c>
      <c r="B636">
        <f>115.58</f>
        <v>115.58</v>
      </c>
      <c r="C636">
        <f>90.2012</f>
        <v>90.2012</v>
      </c>
      <c r="D636">
        <f>77.17</f>
        <v>77.17</v>
      </c>
      <c r="E636">
        <f>1881.64</f>
        <v>1881.64</v>
      </c>
      <c r="F636">
        <f>112.11</f>
        <v>112.11</v>
      </c>
      <c r="G636">
        <f>214.3769</f>
        <v>214.37690000000001</v>
      </c>
      <c r="H636">
        <f>197.16</f>
        <v>197.16</v>
      </c>
      <c r="I636">
        <f>369.32</f>
        <v>369.32</v>
      </c>
      <c r="J636">
        <f>2711.02</f>
        <v>2711.02</v>
      </c>
    </row>
    <row r="637" spans="1:10" x14ac:dyDescent="0.25">
      <c r="A637" s="1">
        <v>43902</v>
      </c>
      <c r="B637">
        <f>109.15</f>
        <v>109.15</v>
      </c>
      <c r="C637">
        <f>83.5412</f>
        <v>83.541200000000003</v>
      </c>
      <c r="D637">
        <f>75.28</f>
        <v>75.28</v>
      </c>
      <c r="E637">
        <f>1776.52</f>
        <v>1776.52</v>
      </c>
      <c r="F637">
        <f>105.53</f>
        <v>105.53</v>
      </c>
      <c r="G637">
        <f>204.9435</f>
        <v>204.9435</v>
      </c>
      <c r="H637">
        <f>189.9</f>
        <v>189.9</v>
      </c>
      <c r="I637">
        <f>351.91</f>
        <v>351.91</v>
      </c>
      <c r="J637">
        <f>2480.64</f>
        <v>2480.64</v>
      </c>
    </row>
    <row r="638" spans="1:10" x14ac:dyDescent="0.25">
      <c r="A638" s="1">
        <v>43901</v>
      </c>
      <c r="B638">
        <f>126.35</f>
        <v>126.35</v>
      </c>
      <c r="C638">
        <f>94.6664</f>
        <v>94.666399999999996</v>
      </c>
      <c r="D638">
        <f>86.54</f>
        <v>86.54</v>
      </c>
      <c r="E638">
        <f>1972.05</f>
        <v>1972.05</v>
      </c>
      <c r="F638">
        <f>123.15</f>
        <v>123.15</v>
      </c>
      <c r="G638">
        <f>225.2197</f>
        <v>225.21969999999999</v>
      </c>
      <c r="H638">
        <f>207.68</f>
        <v>207.68</v>
      </c>
      <c r="I638">
        <f>401.49</f>
        <v>401.49</v>
      </c>
      <c r="J638">
        <f>2741.38</f>
        <v>2741.38</v>
      </c>
    </row>
    <row r="639" spans="1:10" x14ac:dyDescent="0.25">
      <c r="A639" s="1">
        <v>43900</v>
      </c>
      <c r="B639">
        <f>131.16</f>
        <v>131.16</v>
      </c>
      <c r="C639">
        <f>98.35</f>
        <v>98.35</v>
      </c>
      <c r="D639">
        <f>90.82</f>
        <v>90.82</v>
      </c>
      <c r="E639">
        <f>2051.96</f>
        <v>2051.96</v>
      </c>
      <c r="F639">
        <f>128.44</f>
        <v>128.44</v>
      </c>
      <c r="G639">
        <f>232.828</f>
        <v>232.828</v>
      </c>
      <c r="H639">
        <f>216.64</f>
        <v>216.64</v>
      </c>
      <c r="I639">
        <f>434.51</f>
        <v>434.51</v>
      </c>
      <c r="J639">
        <f>2882.23</f>
        <v>2882.23</v>
      </c>
    </row>
    <row r="640" spans="1:10" x14ac:dyDescent="0.25">
      <c r="A640" s="1">
        <v>43899</v>
      </c>
      <c r="B640">
        <f>128.36</f>
        <v>128.36000000000001</v>
      </c>
      <c r="C640">
        <f>95.3148</f>
        <v>95.314800000000005</v>
      </c>
      <c r="D640">
        <f>87.88</f>
        <v>87.88</v>
      </c>
      <c r="E640">
        <f>1995.22</f>
        <v>1995.22</v>
      </c>
      <c r="F640">
        <f>125</f>
        <v>125</v>
      </c>
      <c r="G640">
        <f>231.2732</f>
        <v>231.2732</v>
      </c>
      <c r="H640">
        <f>210.87</f>
        <v>210.87</v>
      </c>
      <c r="I640">
        <f>423.39</f>
        <v>423.39</v>
      </c>
      <c r="J640">
        <f>2746.56</f>
        <v>2746.56</v>
      </c>
    </row>
    <row r="641" spans="1:10" x14ac:dyDescent="0.25">
      <c r="A641" s="1">
        <v>43896</v>
      </c>
      <c r="B641">
        <f>156.7</f>
        <v>156.69999999999999</v>
      </c>
      <c r="C641">
        <f>105.7373</f>
        <v>105.7373</v>
      </c>
      <c r="D641">
        <f>92.5</f>
        <v>92.5</v>
      </c>
      <c r="E641">
        <f>2149.29</f>
        <v>2149.29</v>
      </c>
      <c r="F641">
        <f>153.8</f>
        <v>153.80000000000001</v>
      </c>
      <c r="G641">
        <f>240.711</f>
        <v>240.71100000000001</v>
      </c>
      <c r="H641">
        <f>224.69</f>
        <v>224.69</v>
      </c>
      <c r="I641">
        <f>463.49</f>
        <v>463.49</v>
      </c>
      <c r="J641">
        <f>2972.37</f>
        <v>2972.37</v>
      </c>
    </row>
    <row r="642" spans="1:10" x14ac:dyDescent="0.25">
      <c r="A642" s="1">
        <v>43895</v>
      </c>
      <c r="B642">
        <f>164.67</f>
        <v>164.67</v>
      </c>
      <c r="C642">
        <f>109.004</f>
        <v>109.004</v>
      </c>
      <c r="D642">
        <f>93.35</f>
        <v>93.35</v>
      </c>
      <c r="E642">
        <f>2192.35</f>
        <v>2192.35</v>
      </c>
      <c r="F642">
        <f>161.34</f>
        <v>161.34</v>
      </c>
      <c r="G642">
        <f>243.4523</f>
        <v>243.45230000000001</v>
      </c>
      <c r="H642">
        <f>228.87</f>
        <v>228.87</v>
      </c>
      <c r="I642">
        <f>470.25</f>
        <v>470.25</v>
      </c>
      <c r="J642">
        <f>3023.94</f>
        <v>3023.94</v>
      </c>
    </row>
    <row r="643" spans="1:10" x14ac:dyDescent="0.25">
      <c r="A643" s="1">
        <v>43894</v>
      </c>
      <c r="B643">
        <f>168.84</f>
        <v>168.84</v>
      </c>
      <c r="C643">
        <f>112.3982</f>
        <v>112.3982</v>
      </c>
      <c r="D643">
        <f>96.94</f>
        <v>96.94</v>
      </c>
      <c r="E643">
        <f>2243.09</f>
        <v>2243.09</v>
      </c>
      <c r="F643">
        <f>165.41</f>
        <v>165.41</v>
      </c>
      <c r="G643">
        <f>245.2842</f>
        <v>245.2842</v>
      </c>
      <c r="H643">
        <f>231.35</f>
        <v>231.35</v>
      </c>
      <c r="I643">
        <f>497.85</f>
        <v>497.85</v>
      </c>
      <c r="J643">
        <f>3130.12</f>
        <v>3130.12</v>
      </c>
    </row>
    <row r="644" spans="1:10" x14ac:dyDescent="0.25">
      <c r="A644" s="1">
        <v>43893</v>
      </c>
      <c r="B644">
        <f>166.84</f>
        <v>166.84</v>
      </c>
      <c r="C644">
        <f>110.6869</f>
        <v>110.68689999999999</v>
      </c>
      <c r="D644">
        <f>95.36</f>
        <v>95.36</v>
      </c>
      <c r="E644">
        <f>2179.48</f>
        <v>2179.48</v>
      </c>
      <c r="F644">
        <f>162.85</f>
        <v>162.85</v>
      </c>
      <c r="G644">
        <f>237.2406</f>
        <v>237.2406</v>
      </c>
      <c r="H644">
        <f>224.58</f>
        <v>224.58</v>
      </c>
      <c r="I644">
        <f>484.24</f>
        <v>484.24</v>
      </c>
      <c r="J644">
        <f>3003.37</f>
        <v>3003.37</v>
      </c>
    </row>
    <row r="645" spans="1:10" x14ac:dyDescent="0.25">
      <c r="A645" s="1">
        <v>43892</v>
      </c>
      <c r="B645">
        <f>168.24</f>
        <v>168.24</v>
      </c>
      <c r="C645">
        <f>112.8735</f>
        <v>112.87350000000001</v>
      </c>
      <c r="D645">
        <f>95.92</f>
        <v>95.92</v>
      </c>
      <c r="E645">
        <f>2212.38</f>
        <v>2212.38</v>
      </c>
      <c r="F645">
        <f>164.99</f>
        <v>164.99</v>
      </c>
      <c r="G645">
        <f>237.1017</f>
        <v>237.10169999999999</v>
      </c>
      <c r="H645">
        <f>223.67</f>
        <v>223.67</v>
      </c>
      <c r="I645">
        <f>486.92</f>
        <v>486.92</v>
      </c>
      <c r="J645">
        <f>3090.23</f>
        <v>3090.23</v>
      </c>
    </row>
    <row r="646" spans="1:10" x14ac:dyDescent="0.25">
      <c r="A646" s="1">
        <v>43889</v>
      </c>
      <c r="B646">
        <f>164.54</f>
        <v>164.54</v>
      </c>
      <c r="C646">
        <f>109.9933</f>
        <v>109.9933</v>
      </c>
      <c r="D646">
        <f>95.8</f>
        <v>95.8</v>
      </c>
      <c r="E646">
        <f>2141.12</f>
        <v>2141.12</v>
      </c>
      <c r="F646">
        <f>160.91</f>
        <v>160.91</v>
      </c>
      <c r="G646">
        <f>228.4935</f>
        <v>228.49350000000001</v>
      </c>
      <c r="H646">
        <f>216.48</f>
        <v>216.48</v>
      </c>
      <c r="I646">
        <f>474.84</f>
        <v>474.84</v>
      </c>
      <c r="J646">
        <f>2954.22</f>
        <v>2954.22</v>
      </c>
    </row>
    <row r="647" spans="1:10" x14ac:dyDescent="0.25">
      <c r="A647" s="1">
        <v>43888</v>
      </c>
      <c r="B647">
        <f>167.25</f>
        <v>167.25</v>
      </c>
      <c r="C647">
        <f>113.3212</f>
        <v>113.3212</v>
      </c>
      <c r="D647">
        <f>98.93</f>
        <v>98.93</v>
      </c>
      <c r="E647">
        <f>2177.25</f>
        <v>2177.25</v>
      </c>
      <c r="F647">
        <f>162.62</f>
        <v>162.62</v>
      </c>
      <c r="G647">
        <f>234.3919</f>
        <v>234.39189999999999</v>
      </c>
      <c r="H647">
        <f>222.93</f>
        <v>222.93</v>
      </c>
      <c r="I647">
        <f>489.85</f>
        <v>489.85</v>
      </c>
      <c r="J647">
        <f>2978.76</f>
        <v>2978.76</v>
      </c>
    </row>
    <row r="648" spans="1:10" x14ac:dyDescent="0.25">
      <c r="A648" s="1">
        <v>43887</v>
      </c>
      <c r="B648">
        <f>174.15</f>
        <v>174.15</v>
      </c>
      <c r="C648">
        <f>117.4663</f>
        <v>117.4663</v>
      </c>
      <c r="D648">
        <f>102.03</f>
        <v>102.03</v>
      </c>
      <c r="E648">
        <f>2258.62</f>
        <v>2258.62</v>
      </c>
      <c r="F648">
        <f>169.67</f>
        <v>169.67</v>
      </c>
      <c r="G648">
        <f>242.2319</f>
        <v>242.2319</v>
      </c>
      <c r="H648">
        <f>232.08</f>
        <v>232.08</v>
      </c>
      <c r="I648">
        <f>508.03</f>
        <v>508.03</v>
      </c>
      <c r="J648">
        <f>3116.39</f>
        <v>3116.39</v>
      </c>
    </row>
    <row r="649" spans="1:10" x14ac:dyDescent="0.25">
      <c r="A649" s="1">
        <v>43886</v>
      </c>
      <c r="B649">
        <f>177.78</f>
        <v>177.78</v>
      </c>
      <c r="C649">
        <f>118.2396</f>
        <v>118.2396</v>
      </c>
      <c r="D649">
        <f>104.74</f>
        <v>104.74</v>
      </c>
      <c r="E649">
        <f>2269.42</f>
        <v>2269.42</v>
      </c>
      <c r="F649">
        <f>173.12</f>
        <v>173.12</v>
      </c>
      <c r="G649">
        <f>243.5724</f>
        <v>243.57239999999999</v>
      </c>
      <c r="H649">
        <f>234.67</f>
        <v>234.67</v>
      </c>
      <c r="I649">
        <f>511.16</f>
        <v>511.16</v>
      </c>
      <c r="J649">
        <f>3128.21</f>
        <v>3128.21</v>
      </c>
    </row>
    <row r="650" spans="1:10" x14ac:dyDescent="0.25">
      <c r="A650" s="1">
        <v>43885</v>
      </c>
      <c r="B650">
        <f>183.17</f>
        <v>183.17</v>
      </c>
      <c r="C650">
        <f>121.578</f>
        <v>121.578</v>
      </c>
      <c r="D650">
        <f>109.58</f>
        <v>109.58</v>
      </c>
      <c r="E650">
        <f>2330.75</f>
        <v>2330.75</v>
      </c>
      <c r="F650">
        <f>178.7</f>
        <v>178.7</v>
      </c>
      <c r="G650">
        <f>247.5308</f>
        <v>247.5308</v>
      </c>
      <c r="H650">
        <f>239.72</f>
        <v>239.72</v>
      </c>
      <c r="I650">
        <f>533.05</f>
        <v>533.04999999999995</v>
      </c>
      <c r="J650">
        <f>3225.89</f>
        <v>3225.89</v>
      </c>
    </row>
    <row r="651" spans="1:10" x14ac:dyDescent="0.25">
      <c r="A651" s="1">
        <v>43882</v>
      </c>
      <c r="B651">
        <f>190.56</f>
        <v>190.56</v>
      </c>
      <c r="C651">
        <f>125.2991</f>
        <v>125.2991</v>
      </c>
      <c r="D651">
        <f>115.44</f>
        <v>115.44</v>
      </c>
      <c r="E651">
        <f>2402.8</f>
        <v>2402.8000000000002</v>
      </c>
      <c r="F651">
        <f>186.21</f>
        <v>186.21</v>
      </c>
      <c r="G651">
        <f>253.6539</f>
        <v>253.65389999999999</v>
      </c>
      <c r="H651">
        <f>242.41</f>
        <v>242.41</v>
      </c>
      <c r="I651">
        <f>550.2</f>
        <v>550.20000000000005</v>
      </c>
      <c r="J651">
        <f>3337.75</f>
        <v>3337.75</v>
      </c>
    </row>
    <row r="652" spans="1:10" x14ac:dyDescent="0.25">
      <c r="A652" s="1">
        <v>43881</v>
      </c>
      <c r="B652">
        <f>192.73</f>
        <v>192.73</v>
      </c>
      <c r="C652">
        <f>126.0546</f>
        <v>126.05459999999999</v>
      </c>
      <c r="D652">
        <f>116.95</f>
        <v>116.95</v>
      </c>
      <c r="E652">
        <f>2420.21</f>
        <v>2420.21</v>
      </c>
      <c r="F652">
        <f>188.31</f>
        <v>188.31</v>
      </c>
      <c r="G652">
        <f>253.2686</f>
        <v>253.26859999999999</v>
      </c>
      <c r="H652">
        <f>242.13</f>
        <v>242.13</v>
      </c>
      <c r="I652">
        <f>551.21</f>
        <v>551.21</v>
      </c>
      <c r="J652">
        <f>3373.23</f>
        <v>3373.23</v>
      </c>
    </row>
    <row r="653" spans="1:10" x14ac:dyDescent="0.25">
      <c r="A653" s="1">
        <v>43880</v>
      </c>
      <c r="B653">
        <f>193.26</f>
        <v>193.26</v>
      </c>
      <c r="C653">
        <f>126.4755</f>
        <v>126.4755</v>
      </c>
      <c r="D653">
        <f>117.37</f>
        <v>117.37</v>
      </c>
      <c r="E653">
        <f>2431.23</f>
        <v>2431.23</v>
      </c>
      <c r="F653">
        <f>188.57</f>
        <v>188.57</v>
      </c>
      <c r="G653">
        <f>254.2885</f>
        <v>254.2885</v>
      </c>
      <c r="H653">
        <f>240.8</f>
        <v>240.8</v>
      </c>
      <c r="I653">
        <f>554.98</f>
        <v>554.98</v>
      </c>
      <c r="J653">
        <f>3386.15</f>
        <v>3386.15</v>
      </c>
    </row>
    <row r="654" spans="1:10" x14ac:dyDescent="0.25">
      <c r="A654" s="1">
        <v>43879</v>
      </c>
      <c r="B654">
        <f>191.17</f>
        <v>191.17</v>
      </c>
      <c r="C654">
        <f>126.1466</f>
        <v>126.14660000000001</v>
      </c>
      <c r="D654">
        <f>117.53</f>
        <v>117.53</v>
      </c>
      <c r="E654">
        <f>2421.47</f>
        <v>2421.4699999999998</v>
      </c>
      <c r="F654">
        <f>186.73</f>
        <v>186.73</v>
      </c>
      <c r="G654">
        <f>253.9235</f>
        <v>253.92349999999999</v>
      </c>
      <c r="H654">
        <f>243.3</f>
        <v>243.3</v>
      </c>
      <c r="I654">
        <f>556.32</f>
        <v>556.32000000000005</v>
      </c>
      <c r="J654">
        <f>3370.29</f>
        <v>3370.29</v>
      </c>
    </row>
    <row r="655" spans="1:10" x14ac:dyDescent="0.25">
      <c r="A655" s="1">
        <v>43878</v>
      </c>
      <c r="B655">
        <f>192.84</f>
        <v>192.84</v>
      </c>
      <c r="C655">
        <f>127.2503</f>
        <v>127.2503</v>
      </c>
      <c r="D655">
        <f>118.58</f>
        <v>118.58</v>
      </c>
      <c r="E655">
        <f>2430.69</f>
        <v>2430.69</v>
      </c>
      <c r="F655">
        <f>188.1</f>
        <v>188.1</v>
      </c>
      <c r="G655">
        <f>254.5123</f>
        <v>254.51230000000001</v>
      </c>
      <c r="H655">
        <f>243.74</f>
        <v>243.74</v>
      </c>
      <c r="I655">
        <f>559.95</f>
        <v>559.95000000000005</v>
      </c>
      <c r="J655" t="e">
        <f>NA()</f>
        <v>#N/A</v>
      </c>
    </row>
    <row r="656" spans="1:10" x14ac:dyDescent="0.25">
      <c r="A656" s="1">
        <v>43875</v>
      </c>
      <c r="B656">
        <f>192.59</f>
        <v>192.59</v>
      </c>
      <c r="C656">
        <f>127.1726</f>
        <v>127.1726</v>
      </c>
      <c r="D656">
        <f>118.64</f>
        <v>118.64</v>
      </c>
      <c r="E656">
        <f>2431.36</f>
        <v>2431.36</v>
      </c>
      <c r="F656">
        <f>187.83</f>
        <v>187.83</v>
      </c>
      <c r="G656">
        <f>254.6952</f>
        <v>254.6952</v>
      </c>
      <c r="H656">
        <f>243.93</f>
        <v>243.93</v>
      </c>
      <c r="I656">
        <f>559.9</f>
        <v>559.9</v>
      </c>
      <c r="J656">
        <f>3380.16</f>
        <v>3380.16</v>
      </c>
    </row>
    <row r="657" spans="1:10" x14ac:dyDescent="0.25">
      <c r="A657" s="1">
        <v>43874</v>
      </c>
      <c r="B657">
        <f>193.65</f>
        <v>193.65</v>
      </c>
      <c r="C657">
        <f>127.099</f>
        <v>127.099</v>
      </c>
      <c r="D657">
        <f>119.74</f>
        <v>119.74</v>
      </c>
      <c r="E657">
        <f>2429.89</f>
        <v>2429.89</v>
      </c>
      <c r="F657">
        <f>189.01</f>
        <v>189.01</v>
      </c>
      <c r="G657">
        <f>253.8004</f>
        <v>253.8004</v>
      </c>
      <c r="H657">
        <f>241.86</f>
        <v>241.86</v>
      </c>
      <c r="I657">
        <f>561.29</f>
        <v>561.29</v>
      </c>
      <c r="J657">
        <f>3373.94</f>
        <v>3373.94</v>
      </c>
    </row>
    <row r="658" spans="1:10" x14ac:dyDescent="0.25">
      <c r="A658" s="1">
        <v>43873</v>
      </c>
      <c r="B658">
        <f>195.38</f>
        <v>195.38</v>
      </c>
      <c r="C658">
        <f>127.1588</f>
        <v>127.1588</v>
      </c>
      <c r="D658">
        <f>120.13</f>
        <v>120.13</v>
      </c>
      <c r="E658">
        <f>2434.95</f>
        <v>2434.9499999999998</v>
      </c>
      <c r="F658">
        <f>190.71</f>
        <v>190.71</v>
      </c>
      <c r="G658">
        <f>253.7482</f>
        <v>253.7482</v>
      </c>
      <c r="H658">
        <f>240.85</f>
        <v>240.85</v>
      </c>
      <c r="I658">
        <f>567.41</f>
        <v>567.41</v>
      </c>
      <c r="J658">
        <f>3379.45</f>
        <v>3379.45</v>
      </c>
    </row>
    <row r="659" spans="1:10" x14ac:dyDescent="0.25">
      <c r="A659" s="1">
        <v>43872</v>
      </c>
      <c r="B659">
        <f>193.16</f>
        <v>193.16</v>
      </c>
      <c r="C659">
        <f>126.7197</f>
        <v>126.7197</v>
      </c>
      <c r="D659">
        <f>118.92</f>
        <v>118.92</v>
      </c>
      <c r="E659">
        <f>2421.26</f>
        <v>2421.2600000000002</v>
      </c>
      <c r="F659">
        <f>188.58</f>
        <v>188.58</v>
      </c>
      <c r="G659">
        <f>254.2521</f>
        <v>254.25210000000001</v>
      </c>
      <c r="H659">
        <f>239.76</f>
        <v>239.76</v>
      </c>
      <c r="I659">
        <f>567.02</f>
        <v>567.02</v>
      </c>
      <c r="J659">
        <f>3357.75</f>
        <v>3357.75</v>
      </c>
    </row>
    <row r="660" spans="1:10" x14ac:dyDescent="0.25">
      <c r="A660" s="1">
        <v>43871</v>
      </c>
      <c r="B660">
        <f>191.11</f>
        <v>191.11</v>
      </c>
      <c r="C660">
        <f>125.9605</f>
        <v>125.9605</v>
      </c>
      <c r="D660">
        <f>117.04</f>
        <v>117.04</v>
      </c>
      <c r="E660">
        <f>2413.1</f>
        <v>2413.1</v>
      </c>
      <c r="F660">
        <f>186.73</f>
        <v>186.73</v>
      </c>
      <c r="G660">
        <f>254.8137</f>
        <v>254.81370000000001</v>
      </c>
      <c r="H660">
        <f>237.99</f>
        <v>237.99</v>
      </c>
      <c r="I660">
        <f>566.55</f>
        <v>566.54999999999995</v>
      </c>
      <c r="J660">
        <f>3352.09</f>
        <v>3352.09</v>
      </c>
    </row>
    <row r="661" spans="1:10" x14ac:dyDescent="0.25">
      <c r="A661" s="1">
        <v>43868</v>
      </c>
      <c r="B661">
        <f>192.7</f>
        <v>192.7</v>
      </c>
      <c r="C661">
        <f>126.0053</f>
        <v>126.00530000000001</v>
      </c>
      <c r="D661">
        <f>118.04</f>
        <v>118.04</v>
      </c>
      <c r="E661">
        <f>2404.75</f>
        <v>2404.75</v>
      </c>
      <c r="F661">
        <f>188.33</f>
        <v>188.33</v>
      </c>
      <c r="G661">
        <f>254.4522</f>
        <v>254.4522</v>
      </c>
      <c r="H661">
        <f>236.4</f>
        <v>236.4</v>
      </c>
      <c r="I661">
        <f>564.76</f>
        <v>564.76</v>
      </c>
      <c r="J661">
        <f>3327.71</f>
        <v>3327.71</v>
      </c>
    </row>
    <row r="662" spans="1:10" x14ac:dyDescent="0.25">
      <c r="A662" s="1">
        <v>43867</v>
      </c>
      <c r="B662">
        <f>194.5</f>
        <v>194.5</v>
      </c>
      <c r="C662">
        <f>126.2665</f>
        <v>126.26649999999999</v>
      </c>
      <c r="D662">
        <f>119.36</f>
        <v>119.36</v>
      </c>
      <c r="E662">
        <f>2416.48</f>
        <v>2416.48</v>
      </c>
      <c r="F662">
        <f>189.84</f>
        <v>189.84</v>
      </c>
      <c r="G662">
        <f>254.6508</f>
        <v>254.6508</v>
      </c>
      <c r="H662">
        <f>236.25</f>
        <v>236.25</v>
      </c>
      <c r="I662">
        <f>564.37</f>
        <v>564.37</v>
      </c>
      <c r="J662">
        <f>3345.78</f>
        <v>3345.78</v>
      </c>
    </row>
    <row r="663" spans="1:10" x14ac:dyDescent="0.25">
      <c r="A663" s="1">
        <v>43866</v>
      </c>
      <c r="B663">
        <f>195.65</f>
        <v>195.65</v>
      </c>
      <c r="C663">
        <f>125.678</f>
        <v>125.678</v>
      </c>
      <c r="D663">
        <f>118.66</f>
        <v>118.66</v>
      </c>
      <c r="E663">
        <f>2404.96</f>
        <v>2404.96</v>
      </c>
      <c r="F663">
        <f>191.41</f>
        <v>191.41</v>
      </c>
      <c r="G663">
        <f>253.5395</f>
        <v>253.5395</v>
      </c>
      <c r="H663">
        <f>235.17</f>
        <v>235.17</v>
      </c>
      <c r="I663">
        <f>558.88</f>
        <v>558.88</v>
      </c>
      <c r="J663">
        <f>3334.69</f>
        <v>3334.69</v>
      </c>
    </row>
    <row r="664" spans="1:10" x14ac:dyDescent="0.25">
      <c r="A664" s="1">
        <v>43865</v>
      </c>
      <c r="B664">
        <f>191.28</f>
        <v>191.28</v>
      </c>
      <c r="C664">
        <f>123.8915</f>
        <v>123.89149999999999</v>
      </c>
      <c r="D664">
        <f>116.6</f>
        <v>116.6</v>
      </c>
      <c r="E664">
        <f>2383.3</f>
        <v>2383.3000000000002</v>
      </c>
      <c r="F664">
        <f>186.57</f>
        <v>186.57</v>
      </c>
      <c r="G664">
        <f>252.4368</f>
        <v>252.43680000000001</v>
      </c>
      <c r="H664">
        <f>235.09</f>
        <v>235.09</v>
      </c>
      <c r="I664">
        <f>553.24</f>
        <v>553.24</v>
      </c>
      <c r="J664">
        <f>3297.59</f>
        <v>3297.59</v>
      </c>
    </row>
    <row r="665" spans="1:10" x14ac:dyDescent="0.25">
      <c r="A665" s="1">
        <v>43864</v>
      </c>
      <c r="B665">
        <f>189.44</f>
        <v>189.44</v>
      </c>
      <c r="C665">
        <f>122.5253</f>
        <v>122.5253</v>
      </c>
      <c r="D665">
        <f>113.82</f>
        <v>113.82</v>
      </c>
      <c r="E665">
        <f>2351.45</f>
        <v>2351.4499999999998</v>
      </c>
      <c r="F665">
        <f>185.15</f>
        <v>185.15</v>
      </c>
      <c r="G665">
        <f>250.6447</f>
        <v>250.6447</v>
      </c>
      <c r="H665">
        <f>233.07</f>
        <v>233.07</v>
      </c>
      <c r="I665">
        <f>545.56</f>
        <v>545.55999999999995</v>
      </c>
      <c r="J665">
        <f>3248.92</f>
        <v>3248.92</v>
      </c>
    </row>
    <row r="666" spans="1:10" x14ac:dyDescent="0.25">
      <c r="A666" s="1">
        <v>43861</v>
      </c>
      <c r="B666">
        <f>191.98</f>
        <v>191.98</v>
      </c>
      <c r="C666">
        <f>122.2961</f>
        <v>122.2961</v>
      </c>
      <c r="D666">
        <f>114.06</f>
        <v>114.06</v>
      </c>
      <c r="E666">
        <f>2342.41</f>
        <v>2342.41</v>
      </c>
      <c r="F666">
        <f>187.87</f>
        <v>187.87</v>
      </c>
      <c r="G666">
        <f>250.7803</f>
        <v>250.78030000000001</v>
      </c>
      <c r="H666">
        <f>233.43</f>
        <v>233.43</v>
      </c>
      <c r="I666">
        <f>547.71</f>
        <v>547.71</v>
      </c>
      <c r="J666">
        <f>3225.52</f>
        <v>3225.52</v>
      </c>
    </row>
    <row r="667" spans="1:10" x14ac:dyDescent="0.25">
      <c r="A667" s="1">
        <v>43860</v>
      </c>
      <c r="B667">
        <f>196.29</f>
        <v>196.29</v>
      </c>
      <c r="C667">
        <f>123.9638</f>
        <v>123.96380000000001</v>
      </c>
      <c r="D667">
        <f>115.54</f>
        <v>115.54</v>
      </c>
      <c r="E667">
        <f>2372.01</f>
        <v>2372.0100000000002</v>
      </c>
      <c r="F667">
        <f>192.45</f>
        <v>192.45</v>
      </c>
      <c r="G667">
        <f>252.2436</f>
        <v>252.24359999999999</v>
      </c>
      <c r="H667">
        <f>235.15</f>
        <v>235.15</v>
      </c>
      <c r="I667">
        <f>556.48</f>
        <v>556.48</v>
      </c>
      <c r="J667">
        <f>3283.66</f>
        <v>3283.66</v>
      </c>
    </row>
    <row r="668" spans="1:10" x14ac:dyDescent="0.25">
      <c r="A668" s="1">
        <v>43859</v>
      </c>
      <c r="B668">
        <f>197.42</f>
        <v>197.42</v>
      </c>
      <c r="C668">
        <f>123.4337</f>
        <v>123.4337</v>
      </c>
      <c r="D668">
        <f>116.32</f>
        <v>116.32</v>
      </c>
      <c r="E668">
        <f>2373.52</f>
        <v>2373.52</v>
      </c>
      <c r="F668">
        <f>193.13</f>
        <v>193.13</v>
      </c>
      <c r="G668">
        <f>251.1533</f>
        <v>251.1533</v>
      </c>
      <c r="H668">
        <f>235.36</f>
        <v>235.36</v>
      </c>
      <c r="I668">
        <f>556.94</f>
        <v>556.94000000000005</v>
      </c>
      <c r="J668">
        <f>3273.4</f>
        <v>3273.4</v>
      </c>
    </row>
    <row r="669" spans="1:10" x14ac:dyDescent="0.25">
      <c r="A669" s="1">
        <v>43858</v>
      </c>
      <c r="B669">
        <f>198.88</f>
        <v>198.88</v>
      </c>
      <c r="C669">
        <f>123.429</f>
        <v>123.429</v>
      </c>
      <c r="D669">
        <f>116.87</f>
        <v>116.87</v>
      </c>
      <c r="E669">
        <f>2372.52</f>
        <v>2372.52</v>
      </c>
      <c r="F669">
        <f>194.53</f>
        <v>194.53</v>
      </c>
      <c r="G669">
        <f>252.0015</f>
        <v>252.00149999999999</v>
      </c>
      <c r="H669">
        <f>236.34</f>
        <v>236.34</v>
      </c>
      <c r="I669">
        <f>553.39</f>
        <v>553.39</v>
      </c>
      <c r="J669">
        <f>3276.24</f>
        <v>3276.24</v>
      </c>
    </row>
    <row r="670" spans="1:10" x14ac:dyDescent="0.25">
      <c r="A670" s="1">
        <v>43857</v>
      </c>
      <c r="B670">
        <f>198.29</f>
        <v>198.29</v>
      </c>
      <c r="C670">
        <f>122.4579</f>
        <v>122.4579</v>
      </c>
      <c r="D670">
        <f>116.91</f>
        <v>116.91</v>
      </c>
      <c r="E670">
        <f>2356.09</f>
        <v>2356.09</v>
      </c>
      <c r="F670">
        <f>194.03</f>
        <v>194.03</v>
      </c>
      <c r="G670">
        <f>251.8105</f>
        <v>251.81049999999999</v>
      </c>
      <c r="H670">
        <f>236.4</f>
        <v>236.4</v>
      </c>
      <c r="I670">
        <f>550</f>
        <v>550</v>
      </c>
      <c r="J670">
        <f>3243.63</f>
        <v>3243.63</v>
      </c>
    </row>
    <row r="671" spans="1:10" x14ac:dyDescent="0.25">
      <c r="A671" s="1">
        <v>43854</v>
      </c>
      <c r="B671">
        <f>203.24</f>
        <v>203.24</v>
      </c>
      <c r="C671">
        <f>124.3981</f>
        <v>124.3981</v>
      </c>
      <c r="D671">
        <f>120.21</f>
        <v>120.21</v>
      </c>
      <c r="E671">
        <f>2395.31</f>
        <v>2395.31</v>
      </c>
      <c r="F671">
        <f>198.52</f>
        <v>198.52</v>
      </c>
      <c r="G671">
        <f>253.8359</f>
        <v>253.83590000000001</v>
      </c>
      <c r="H671">
        <f>237.17</f>
        <v>237.17</v>
      </c>
      <c r="I671">
        <f>558.1</f>
        <v>558.1</v>
      </c>
      <c r="J671">
        <f>3295.47</f>
        <v>3295.47</v>
      </c>
    </row>
    <row r="672" spans="1:10" x14ac:dyDescent="0.25">
      <c r="A672" s="1">
        <v>43853</v>
      </c>
      <c r="B672">
        <f>204.46</f>
        <v>204.46</v>
      </c>
      <c r="C672">
        <f>125.2212</f>
        <v>125.2212</v>
      </c>
      <c r="D672">
        <f>120.85</f>
        <v>120.85</v>
      </c>
      <c r="E672">
        <f>2406.14</f>
        <v>2406.14</v>
      </c>
      <c r="F672">
        <f>199.73</f>
        <v>199.73</v>
      </c>
      <c r="G672">
        <f>254.1795</f>
        <v>254.17949999999999</v>
      </c>
      <c r="H672">
        <f>237.06</f>
        <v>237.06</v>
      </c>
      <c r="I672">
        <f>553.71</f>
        <v>553.71</v>
      </c>
      <c r="J672">
        <f>3325.54</f>
        <v>3325.54</v>
      </c>
    </row>
    <row r="673" spans="1:10" x14ac:dyDescent="0.25">
      <c r="A673" s="1">
        <v>43852</v>
      </c>
      <c r="B673">
        <f>205.72</f>
        <v>205.72</v>
      </c>
      <c r="C673">
        <f>125.7345</f>
        <v>125.7345</v>
      </c>
      <c r="D673">
        <f>121.07</f>
        <v>121.07</v>
      </c>
      <c r="E673">
        <f>2410.23</f>
        <v>2410.23</v>
      </c>
      <c r="F673">
        <f>200.74</f>
        <v>200.74</v>
      </c>
      <c r="G673">
        <f>254.9977</f>
        <v>254.99770000000001</v>
      </c>
      <c r="H673">
        <f>236.07</f>
        <v>236.07</v>
      </c>
      <c r="I673">
        <f>549.5</f>
        <v>549.5</v>
      </c>
      <c r="J673">
        <f>3321.75</f>
        <v>3321.75</v>
      </c>
    </row>
    <row r="674" spans="1:10" x14ac:dyDescent="0.25">
      <c r="A674" s="1">
        <v>43851</v>
      </c>
      <c r="B674">
        <f>207.26</f>
        <v>207.26</v>
      </c>
      <c r="C674">
        <f>125.4554</f>
        <v>125.4554</v>
      </c>
      <c r="D674">
        <f>121.4</f>
        <v>121.4</v>
      </c>
      <c r="E674">
        <f>2409.29</f>
        <v>2409.29</v>
      </c>
      <c r="F674">
        <f>202.28</f>
        <v>202.28</v>
      </c>
      <c r="G674">
        <f>254.8562</f>
        <v>254.8562</v>
      </c>
      <c r="H674">
        <f>236.96</f>
        <v>236.96</v>
      </c>
      <c r="I674">
        <f>552.42</f>
        <v>552.41999999999996</v>
      </c>
      <c r="J674">
        <f>3320.79</f>
        <v>3320.79</v>
      </c>
    </row>
    <row r="675" spans="1:10" x14ac:dyDescent="0.25">
      <c r="A675" s="1">
        <v>43850</v>
      </c>
      <c r="B675">
        <f>209.99</f>
        <v>209.99</v>
      </c>
      <c r="C675">
        <f>126.2697</f>
        <v>126.2697</v>
      </c>
      <c r="D675">
        <f>124.85</f>
        <v>124.85</v>
      </c>
      <c r="E675">
        <f>2415.04</f>
        <v>2415.04</v>
      </c>
      <c r="F675">
        <f>204.87</f>
        <v>204.87</v>
      </c>
      <c r="G675">
        <f>254.3688</f>
        <v>254.36879999999999</v>
      </c>
      <c r="H675">
        <f>235.95</f>
        <v>235.95</v>
      </c>
      <c r="I675">
        <f>556.18</f>
        <v>556.17999999999995</v>
      </c>
      <c r="J675" t="e">
        <f>NA()</f>
        <v>#N/A</v>
      </c>
    </row>
    <row r="676" spans="1:10" x14ac:dyDescent="0.25">
      <c r="A676" s="1">
        <v>43847</v>
      </c>
      <c r="B676">
        <f>210.43</f>
        <v>210.43</v>
      </c>
      <c r="C676">
        <f>126.3623</f>
        <v>126.3623</v>
      </c>
      <c r="D676">
        <f>125.82</f>
        <v>125.82</v>
      </c>
      <c r="E676">
        <f>2415.51</f>
        <v>2415.5100000000002</v>
      </c>
      <c r="F676">
        <f>205.11</f>
        <v>205.11</v>
      </c>
      <c r="G676">
        <f>254.8305</f>
        <v>254.8305</v>
      </c>
      <c r="H676">
        <f>236.07</f>
        <v>236.07</v>
      </c>
      <c r="I676">
        <f>555.54</f>
        <v>555.54</v>
      </c>
      <c r="J676">
        <f>3329.62</f>
        <v>3329.62</v>
      </c>
    </row>
    <row r="677" spans="1:10" x14ac:dyDescent="0.25">
      <c r="A677" s="1">
        <v>43846</v>
      </c>
      <c r="B677">
        <f>211.13</f>
        <v>211.13</v>
      </c>
      <c r="C677">
        <f>125.9323</f>
        <v>125.9323</v>
      </c>
      <c r="D677">
        <f>126.1</f>
        <v>126.1</v>
      </c>
      <c r="E677">
        <f>2406.17</f>
        <v>2406.17</v>
      </c>
      <c r="F677">
        <f>206.35</f>
        <v>206.35</v>
      </c>
      <c r="G677">
        <f>253.8968</f>
        <v>253.89680000000001</v>
      </c>
      <c r="H677">
        <f>235.49</f>
        <v>235.49</v>
      </c>
      <c r="I677">
        <f>556.03</f>
        <v>556.03</v>
      </c>
      <c r="J677">
        <f>3316.81</f>
        <v>3316.81</v>
      </c>
    </row>
    <row r="678" spans="1:10" x14ac:dyDescent="0.25">
      <c r="A678" s="1">
        <v>43845</v>
      </c>
      <c r="B678">
        <f>210.69</f>
        <v>210.69</v>
      </c>
      <c r="C678">
        <f>125.1494</f>
        <v>125.1494</v>
      </c>
      <c r="D678">
        <f>125.67</f>
        <v>125.67</v>
      </c>
      <c r="E678">
        <f>2392.06</f>
        <v>2392.06</v>
      </c>
      <c r="F678">
        <f>206.05</f>
        <v>206.05</v>
      </c>
      <c r="G678">
        <f>253.1938</f>
        <v>253.19380000000001</v>
      </c>
      <c r="H678">
        <f>233.78</f>
        <v>233.78</v>
      </c>
      <c r="I678">
        <f>552.34</f>
        <v>552.34</v>
      </c>
      <c r="J678">
        <f>3289.29</f>
        <v>3289.29</v>
      </c>
    </row>
    <row r="679" spans="1:10" x14ac:dyDescent="0.25">
      <c r="A679" s="1">
        <v>43844</v>
      </c>
      <c r="B679">
        <f>211.62</f>
        <v>211.62</v>
      </c>
      <c r="C679">
        <f>125.7808</f>
        <v>125.7808</v>
      </c>
      <c r="D679">
        <f>125.78</f>
        <v>125.78</v>
      </c>
      <c r="E679">
        <f>2388.5</f>
        <v>2388.5</v>
      </c>
      <c r="F679">
        <f>206.56</f>
        <v>206.56</v>
      </c>
      <c r="G679">
        <f>251.5254</f>
        <v>251.52539999999999</v>
      </c>
      <c r="H679">
        <f>232.45</f>
        <v>232.45</v>
      </c>
      <c r="I679">
        <f>550.53</f>
        <v>550.53</v>
      </c>
      <c r="J679">
        <f>3283.15</f>
        <v>3283.15</v>
      </c>
    </row>
    <row r="680" spans="1:10" x14ac:dyDescent="0.25">
      <c r="A680" s="1">
        <v>43843</v>
      </c>
      <c r="B680">
        <f>211.97</f>
        <v>211.97</v>
      </c>
      <c r="C680">
        <f>125.9104</f>
        <v>125.9104</v>
      </c>
      <c r="D680">
        <f>124.9</f>
        <v>124.9</v>
      </c>
      <c r="E680">
        <f>2388.25</f>
        <v>2388.25</v>
      </c>
      <c r="F680">
        <f>206.64</f>
        <v>206.64</v>
      </c>
      <c r="G680">
        <f>251.0692</f>
        <v>251.0692</v>
      </c>
      <c r="H680">
        <f>232.88</f>
        <v>232.88</v>
      </c>
      <c r="I680">
        <f>550.74</f>
        <v>550.74</v>
      </c>
      <c r="J680">
        <f>3288.13</f>
        <v>3288.13</v>
      </c>
    </row>
    <row r="681" spans="1:10" x14ac:dyDescent="0.25">
      <c r="A681" s="1">
        <v>43840</v>
      </c>
      <c r="B681">
        <f>212.09</f>
        <v>212.09</v>
      </c>
      <c r="C681">
        <f>125.5261</f>
        <v>125.5261</v>
      </c>
      <c r="D681">
        <f>124.67</f>
        <v>124.67</v>
      </c>
      <c r="E681">
        <f>2377.62</f>
        <v>2377.62</v>
      </c>
      <c r="F681">
        <f>206.59</f>
        <v>206.59</v>
      </c>
      <c r="G681">
        <f>250.1685</f>
        <v>250.16849999999999</v>
      </c>
      <c r="H681">
        <f>230.8</f>
        <v>230.8</v>
      </c>
      <c r="I681">
        <f>547.62</f>
        <v>547.62</v>
      </c>
      <c r="J681">
        <f>3265.35</f>
        <v>3265.35</v>
      </c>
    </row>
    <row r="682" spans="1:10" x14ac:dyDescent="0.25">
      <c r="A682" s="1">
        <v>43839</v>
      </c>
      <c r="B682">
        <f>212.43</f>
        <v>212.43</v>
      </c>
      <c r="C682">
        <f>126.0434</f>
        <v>126.04340000000001</v>
      </c>
      <c r="D682">
        <f>124.39</f>
        <v>124.39</v>
      </c>
      <c r="E682">
        <f>2379.85</f>
        <v>2379.85</v>
      </c>
      <c r="F682">
        <f>206.98</f>
        <v>206.98</v>
      </c>
      <c r="G682">
        <f>249.9652</f>
        <v>249.96520000000001</v>
      </c>
      <c r="H682">
        <f>229.19</f>
        <v>229.19</v>
      </c>
      <c r="I682">
        <f>552.25</f>
        <v>552.25</v>
      </c>
      <c r="J682">
        <f>3274.7</f>
        <v>3274.7</v>
      </c>
    </row>
    <row r="683" spans="1:10" x14ac:dyDescent="0.25">
      <c r="A683" s="1">
        <v>43838</v>
      </c>
      <c r="B683">
        <f>211.92</f>
        <v>211.92</v>
      </c>
      <c r="C683">
        <f>125.3778</f>
        <v>125.37779999999999</v>
      </c>
      <c r="D683">
        <f>122.75</f>
        <v>122.75</v>
      </c>
      <c r="E683">
        <f>2366.93</f>
        <v>2366.9299999999998</v>
      </c>
      <c r="F683">
        <f>206.85</f>
        <v>206.85</v>
      </c>
      <c r="G683">
        <f>248.8548</f>
        <v>248.85480000000001</v>
      </c>
      <c r="H683">
        <f>228.91</f>
        <v>228.91</v>
      </c>
      <c r="I683">
        <f>548.05</f>
        <v>548.04999999999995</v>
      </c>
      <c r="J683">
        <f>3253.05</f>
        <v>3253.05</v>
      </c>
    </row>
    <row r="684" spans="1:10" x14ac:dyDescent="0.25">
      <c r="A684" s="1">
        <v>43837</v>
      </c>
      <c r="B684">
        <f>214.04</f>
        <v>214.04</v>
      </c>
      <c r="C684">
        <f>125.1021</f>
        <v>125.10209999999999</v>
      </c>
      <c r="D684">
        <f>122.29</f>
        <v>122.29</v>
      </c>
      <c r="E684">
        <f>2362.43</f>
        <v>2362.4299999999998</v>
      </c>
      <c r="F684">
        <f>209.12</f>
        <v>209.12</v>
      </c>
      <c r="G684">
        <f>249.0005</f>
        <v>249.00049999999999</v>
      </c>
      <c r="H684">
        <f>229.16</f>
        <v>229.16</v>
      </c>
      <c r="I684">
        <f>550.09</f>
        <v>550.09</v>
      </c>
      <c r="J684">
        <f>3237.18</f>
        <v>3237.18</v>
      </c>
    </row>
    <row r="685" spans="1:10" x14ac:dyDescent="0.25">
      <c r="A685" s="1">
        <v>43836</v>
      </c>
      <c r="B685">
        <f>214.98</f>
        <v>214.98</v>
      </c>
      <c r="C685">
        <f>125.4177</f>
        <v>125.4177</v>
      </c>
      <c r="D685">
        <f>121.86</f>
        <v>121.86</v>
      </c>
      <c r="E685">
        <f>2364.49</f>
        <v>2364.4899999999998</v>
      </c>
      <c r="F685">
        <f>210.01</f>
        <v>210.01</v>
      </c>
      <c r="G685">
        <f>250.218</f>
        <v>250.21799999999999</v>
      </c>
      <c r="H685">
        <f>230.57</f>
        <v>230.57</v>
      </c>
      <c r="I685">
        <f>549.83</f>
        <v>549.83000000000004</v>
      </c>
      <c r="J685">
        <f>3246.28</f>
        <v>3246.28</v>
      </c>
    </row>
    <row r="686" spans="1:10" x14ac:dyDescent="0.25">
      <c r="A686" s="1">
        <v>43833</v>
      </c>
      <c r="B686">
        <f>213.04</f>
        <v>213.04</v>
      </c>
      <c r="C686">
        <f>125.851</f>
        <v>125.851</v>
      </c>
      <c r="D686">
        <f>124.16</f>
        <v>124.16</v>
      </c>
      <c r="E686">
        <f>2363.12</f>
        <v>2363.12</v>
      </c>
      <c r="F686">
        <f>207.81</f>
        <v>207.81</v>
      </c>
      <c r="G686">
        <f>250.1677</f>
        <v>250.1677</v>
      </c>
      <c r="H686">
        <f>230.84</f>
        <v>230.84</v>
      </c>
      <c r="I686">
        <f>548.49</f>
        <v>548.49</v>
      </c>
      <c r="J686">
        <f>3234.85</f>
        <v>3234.85</v>
      </c>
    </row>
    <row r="687" spans="1:10" x14ac:dyDescent="0.25">
      <c r="A687" s="1">
        <v>43832</v>
      </c>
      <c r="B687">
        <f>212.55</f>
        <v>212.55</v>
      </c>
      <c r="C687">
        <f>126.894</f>
        <v>126.89400000000001</v>
      </c>
      <c r="D687">
        <f>126.56</f>
        <v>126.56</v>
      </c>
      <c r="E687">
        <f>2375.94</f>
        <v>2375.94</v>
      </c>
      <c r="F687">
        <f>207.46</f>
        <v>207.46</v>
      </c>
      <c r="G687">
        <f>250.2014</f>
        <v>250.20140000000001</v>
      </c>
      <c r="H687">
        <f>229.54</f>
        <v>229.54</v>
      </c>
      <c r="I687">
        <f>542.63</f>
        <v>542.63</v>
      </c>
      <c r="J687">
        <f>3257.85</f>
        <v>3257.85</v>
      </c>
    </row>
    <row r="688" spans="1:10" x14ac:dyDescent="0.25">
      <c r="A688" s="1">
        <v>43831</v>
      </c>
      <c r="B688">
        <f>211.09</f>
        <v>211.09</v>
      </c>
      <c r="C688">
        <f>125.73</f>
        <v>125.73</v>
      </c>
      <c r="D688">
        <f>124.96</f>
        <v>124.96</v>
      </c>
      <c r="E688">
        <f>2358.48</f>
        <v>2358.48</v>
      </c>
      <c r="F688">
        <f>206.1</f>
        <v>206.1</v>
      </c>
      <c r="G688">
        <f>251.0607</f>
        <v>251.0607</v>
      </c>
      <c r="H688">
        <f>231.35</f>
        <v>231.35</v>
      </c>
      <c r="I688">
        <f>531.91</f>
        <v>531.91</v>
      </c>
      <c r="J688" t="e">
        <f>NA()</f>
        <v>#N/A</v>
      </c>
    </row>
    <row r="689" spans="1:10" x14ac:dyDescent="0.25">
      <c r="A689" s="1">
        <v>43830</v>
      </c>
      <c r="B689">
        <f>211.11</f>
        <v>211.11</v>
      </c>
      <c r="C689">
        <f>125.7304</f>
        <v>125.7304</v>
      </c>
      <c r="D689">
        <f>124.96</f>
        <v>124.96</v>
      </c>
      <c r="E689">
        <f>2358.47</f>
        <v>2358.4699999999998</v>
      </c>
      <c r="F689">
        <f>206.1</f>
        <v>206.1</v>
      </c>
      <c r="G689">
        <f>251.0607</f>
        <v>251.0607</v>
      </c>
      <c r="H689">
        <f>231.35</f>
        <v>231.35</v>
      </c>
      <c r="I689">
        <f>531.9</f>
        <v>531.9</v>
      </c>
      <c r="J689">
        <f>3230.78</f>
        <v>3230.78</v>
      </c>
    </row>
    <row r="690" spans="1:10" x14ac:dyDescent="0.25">
      <c r="A690" s="1">
        <v>43829</v>
      </c>
      <c r="B690">
        <f>210.4</f>
        <v>210.4</v>
      </c>
      <c r="C690">
        <f>125.4964</f>
        <v>125.49639999999999</v>
      </c>
      <c r="D690">
        <f>125.13</f>
        <v>125.13</v>
      </c>
      <c r="E690">
        <f>2353.25</f>
        <v>2353.25</v>
      </c>
      <c r="F690">
        <f>205.02</f>
        <v>205.02</v>
      </c>
      <c r="G690">
        <f>251.0191</f>
        <v>251.01910000000001</v>
      </c>
      <c r="H690">
        <f>230.3</f>
        <v>230.3</v>
      </c>
      <c r="I690">
        <f>532.75</f>
        <v>532.75</v>
      </c>
      <c r="J690">
        <f>3221.29</f>
        <v>3221.29</v>
      </c>
    </row>
    <row r="691" spans="1:10" x14ac:dyDescent="0.25">
      <c r="A691" s="1">
        <v>43826</v>
      </c>
      <c r="B691">
        <f>211.06</f>
        <v>211.06</v>
      </c>
      <c r="C691">
        <f>125.7704</f>
        <v>125.7704</v>
      </c>
      <c r="D691">
        <f>124.63</f>
        <v>124.63</v>
      </c>
      <c r="E691">
        <f>2364.9</f>
        <v>2364.9</v>
      </c>
      <c r="F691">
        <f>205.97</f>
        <v>205.97</v>
      </c>
      <c r="G691">
        <f>252.2474</f>
        <v>252.2474</v>
      </c>
      <c r="H691">
        <f>230.49</f>
        <v>230.49</v>
      </c>
      <c r="I691">
        <f>536.78</f>
        <v>536.78</v>
      </c>
      <c r="J691">
        <f>3240.02</f>
        <v>3240.02</v>
      </c>
    </row>
    <row r="692" spans="1:10" x14ac:dyDescent="0.25">
      <c r="A692" s="1">
        <v>43825</v>
      </c>
      <c r="B692">
        <f>211.07</f>
        <v>211.07</v>
      </c>
      <c r="C692">
        <f>125.5275</f>
        <v>125.5275</v>
      </c>
      <c r="D692">
        <f>124.95</f>
        <v>124.95</v>
      </c>
      <c r="E692">
        <f>2360.21</f>
        <v>2360.21</v>
      </c>
      <c r="F692">
        <f>206.22</f>
        <v>206.22</v>
      </c>
      <c r="G692">
        <f>251.0553</f>
        <v>251.05529999999999</v>
      </c>
      <c r="H692">
        <f>229.45</f>
        <v>229.45</v>
      </c>
      <c r="I692">
        <f>536.53</f>
        <v>536.53</v>
      </c>
      <c r="J692">
        <f>3239.91</f>
        <v>3239.91</v>
      </c>
    </row>
    <row r="693" spans="1:10" x14ac:dyDescent="0.25">
      <c r="A693" s="1">
        <v>43824</v>
      </c>
      <c r="B693">
        <f>210.89</f>
        <v>210.89</v>
      </c>
      <c r="C693">
        <f>125.0708</f>
        <v>125.07080000000001</v>
      </c>
      <c r="D693">
        <f>124.78</f>
        <v>124.78</v>
      </c>
      <c r="E693">
        <f>2351.22</f>
        <v>2351.2199999999998</v>
      </c>
      <c r="F693">
        <f>205.89</f>
        <v>205.89</v>
      </c>
      <c r="G693">
        <f>250.7141</f>
        <v>250.7141</v>
      </c>
      <c r="H693">
        <f>228.6</f>
        <v>228.6</v>
      </c>
      <c r="I693">
        <f>536.16</f>
        <v>536.16</v>
      </c>
      <c r="J693" t="e">
        <f>NA()</f>
        <v>#N/A</v>
      </c>
    </row>
    <row r="694" spans="1:10" x14ac:dyDescent="0.25">
      <c r="A694" s="1">
        <v>43823</v>
      </c>
      <c r="B694">
        <f>210.93</f>
        <v>210.93</v>
      </c>
      <c r="C694">
        <f>125.1024</f>
        <v>125.1024</v>
      </c>
      <c r="D694">
        <f>124.78</f>
        <v>124.78</v>
      </c>
      <c r="E694">
        <f>2351.84</f>
        <v>2351.84</v>
      </c>
      <c r="F694">
        <f>205.91</f>
        <v>205.91</v>
      </c>
      <c r="G694">
        <f>250.8556</f>
        <v>250.85560000000001</v>
      </c>
      <c r="H694">
        <f>228.59</f>
        <v>228.59</v>
      </c>
      <c r="I694">
        <f>536.16</f>
        <v>536.16</v>
      </c>
      <c r="J694">
        <f>3223.38</f>
        <v>3223.38</v>
      </c>
    </row>
    <row r="695" spans="1:10" x14ac:dyDescent="0.25">
      <c r="A695" s="1">
        <v>43822</v>
      </c>
      <c r="B695">
        <f>210.78</f>
        <v>210.78</v>
      </c>
      <c r="C695">
        <f>125.0172</f>
        <v>125.0172</v>
      </c>
      <c r="D695">
        <f>125.23</f>
        <v>125.23</v>
      </c>
      <c r="E695">
        <f>2350.75</f>
        <v>2350.75</v>
      </c>
      <c r="F695">
        <f>205.56</f>
        <v>205.56</v>
      </c>
      <c r="G695">
        <f>250.9103</f>
        <v>250.91030000000001</v>
      </c>
      <c r="H695">
        <f>228.16</f>
        <v>228.16</v>
      </c>
      <c r="I695">
        <f>538.2</f>
        <v>538.20000000000005</v>
      </c>
      <c r="J695">
        <f>3224.01</f>
        <v>3224.01</v>
      </c>
    </row>
    <row r="696" spans="1:10" x14ac:dyDescent="0.25">
      <c r="A696" s="1">
        <v>43819</v>
      </c>
      <c r="B696">
        <f>209.39</f>
        <v>209.39</v>
      </c>
      <c r="C696">
        <f>125.4362</f>
        <v>125.4362</v>
      </c>
      <c r="D696">
        <f>125.2</f>
        <v>125.2</v>
      </c>
      <c r="E696">
        <f>2349.87</f>
        <v>2349.87</v>
      </c>
      <c r="F696">
        <f>204.28</f>
        <v>204.28</v>
      </c>
      <c r="G696">
        <f>251.0848</f>
        <v>251.0848</v>
      </c>
      <c r="H696">
        <f>228.99</f>
        <v>228.99</v>
      </c>
      <c r="I696">
        <f>532.42</f>
        <v>532.41999999999996</v>
      </c>
      <c r="J696">
        <f>3221.22</f>
        <v>3221.22</v>
      </c>
    </row>
    <row r="697" spans="1:10" x14ac:dyDescent="0.25">
      <c r="A697" s="1">
        <v>43818</v>
      </c>
      <c r="B697">
        <f>208.84</f>
        <v>208.84</v>
      </c>
      <c r="C697">
        <f>125.3584</f>
        <v>125.3584</v>
      </c>
      <c r="D697">
        <f>125.22</f>
        <v>125.22</v>
      </c>
      <c r="E697">
        <f>2340.65</f>
        <v>2340.65</v>
      </c>
      <c r="F697">
        <f>203.55</f>
        <v>203.55</v>
      </c>
      <c r="G697">
        <f>249.1654</f>
        <v>249.16540000000001</v>
      </c>
      <c r="H697">
        <f>227.83</f>
        <v>227.83</v>
      </c>
      <c r="I697">
        <f>531.19</f>
        <v>531.19000000000005</v>
      </c>
      <c r="J697">
        <f>3205.37</f>
        <v>3205.37</v>
      </c>
    </row>
    <row r="698" spans="1:10" x14ac:dyDescent="0.25">
      <c r="A698" s="1">
        <v>43817</v>
      </c>
      <c r="B698">
        <f>208.47</f>
        <v>208.47</v>
      </c>
      <c r="C698">
        <f>125.4505</f>
        <v>125.45050000000001</v>
      </c>
      <c r="D698">
        <f>124.89</f>
        <v>124.89</v>
      </c>
      <c r="E698">
        <f>2333.28</f>
        <v>2333.2800000000002</v>
      </c>
      <c r="F698">
        <f>203.13</f>
        <v>203.13</v>
      </c>
      <c r="G698">
        <f>248.163</f>
        <v>248.16300000000001</v>
      </c>
      <c r="H698">
        <f>225.97</f>
        <v>225.97</v>
      </c>
      <c r="I698">
        <f>528.44</f>
        <v>528.44000000000005</v>
      </c>
      <c r="J698">
        <f>3191.14</f>
        <v>3191.14</v>
      </c>
    </row>
    <row r="699" spans="1:10" x14ac:dyDescent="0.25">
      <c r="A699" s="1">
        <v>43816</v>
      </c>
      <c r="B699">
        <f>207.78</f>
        <v>207.78</v>
      </c>
      <c r="C699">
        <f>125.8971</f>
        <v>125.89709999999999</v>
      </c>
      <c r="D699">
        <f>125.61</f>
        <v>125.61</v>
      </c>
      <c r="E699">
        <f>2336.62</f>
        <v>2336.62</v>
      </c>
      <c r="F699">
        <f>202.62</f>
        <v>202.62</v>
      </c>
      <c r="G699">
        <f>248.7436</f>
        <v>248.74359999999999</v>
      </c>
      <c r="H699">
        <f>224.5</f>
        <v>224.5</v>
      </c>
      <c r="I699">
        <f>531.72</f>
        <v>531.72</v>
      </c>
      <c r="J699">
        <f>3192.52</f>
        <v>3192.52</v>
      </c>
    </row>
    <row r="700" spans="1:10" x14ac:dyDescent="0.25">
      <c r="A700" s="1">
        <v>43815</v>
      </c>
      <c r="B700">
        <f>206.79</f>
        <v>206.79</v>
      </c>
      <c r="C700">
        <f>125.6017</f>
        <v>125.60169999999999</v>
      </c>
      <c r="D700">
        <f>125.42</f>
        <v>125.42</v>
      </c>
      <c r="E700">
        <f>2337.45</f>
        <v>2337.4499999999998</v>
      </c>
      <c r="F700">
        <f>201.8</f>
        <v>201.8</v>
      </c>
      <c r="G700">
        <f>250.1483</f>
        <v>250.14830000000001</v>
      </c>
      <c r="H700">
        <f>226.3</f>
        <v>226.3</v>
      </c>
      <c r="I700">
        <f>533.41</f>
        <v>533.41</v>
      </c>
      <c r="J700">
        <f>3191.45</f>
        <v>3191.45</v>
      </c>
    </row>
    <row r="701" spans="1:10" x14ac:dyDescent="0.25">
      <c r="A701" s="1">
        <v>43812</v>
      </c>
      <c r="B701">
        <f>204.84</f>
        <v>204.84</v>
      </c>
      <c r="C701">
        <f>124.6961</f>
        <v>124.6961</v>
      </c>
      <c r="D701">
        <f>124.11</f>
        <v>124.11</v>
      </c>
      <c r="E701">
        <f>2319.73</f>
        <v>2319.73</v>
      </c>
      <c r="F701">
        <f>199.45</f>
        <v>199.45</v>
      </c>
      <c r="G701">
        <f>248.2001</f>
        <v>248.20009999999999</v>
      </c>
      <c r="H701">
        <f>225.13</f>
        <v>225.13</v>
      </c>
      <c r="I701">
        <f>535.65</f>
        <v>535.65</v>
      </c>
      <c r="J701">
        <f>3168.8</f>
        <v>3168.8</v>
      </c>
    </row>
    <row r="702" spans="1:10" x14ac:dyDescent="0.25">
      <c r="A702" s="1">
        <v>43811</v>
      </c>
      <c r="B702">
        <f>205.22</f>
        <v>205.22</v>
      </c>
      <c r="C702">
        <f>124.1664</f>
        <v>124.1664</v>
      </c>
      <c r="D702">
        <f>122.97</f>
        <v>122.97</v>
      </c>
      <c r="E702">
        <f>2309.36</f>
        <v>2309.36</v>
      </c>
      <c r="F702">
        <f>200.08</f>
        <v>200.08</v>
      </c>
      <c r="G702">
        <f>246.7654</f>
        <v>246.7654</v>
      </c>
      <c r="H702">
        <f>224.67</f>
        <v>224.67</v>
      </c>
      <c r="I702">
        <f>535.81</f>
        <v>535.80999999999995</v>
      </c>
      <c r="J702">
        <f>3168.57</f>
        <v>3168.57</v>
      </c>
    </row>
    <row r="703" spans="1:10" x14ac:dyDescent="0.25">
      <c r="A703" s="1">
        <v>43810</v>
      </c>
      <c r="B703">
        <f>202.52</f>
        <v>202.52</v>
      </c>
      <c r="C703">
        <f>122.3107</f>
        <v>122.3107</v>
      </c>
      <c r="D703">
        <f>121.9</f>
        <v>121.9</v>
      </c>
      <c r="E703">
        <f>2295.02</f>
        <v>2295.02</v>
      </c>
      <c r="F703">
        <f>197.7</f>
        <v>197.7</v>
      </c>
      <c r="G703">
        <f>247.3807</f>
        <v>247.38069999999999</v>
      </c>
      <c r="H703">
        <f>226.9</f>
        <v>226.9</v>
      </c>
      <c r="I703">
        <f>536.52</f>
        <v>536.52</v>
      </c>
      <c r="J703">
        <f>3141.63</f>
        <v>3141.63</v>
      </c>
    </row>
    <row r="704" spans="1:10" x14ac:dyDescent="0.25">
      <c r="A704" s="1">
        <v>43809</v>
      </c>
      <c r="B704">
        <f>202.77</f>
        <v>202.77</v>
      </c>
      <c r="C704">
        <f>122.3501</f>
        <v>122.3501</v>
      </c>
      <c r="D704">
        <f>121.58</f>
        <v>121.58</v>
      </c>
      <c r="E704">
        <f>2289.67</f>
        <v>2289.67</v>
      </c>
      <c r="F704">
        <f>198.47</f>
        <v>198.47</v>
      </c>
      <c r="G704">
        <f>247.2688</f>
        <v>247.2688</v>
      </c>
      <c r="H704">
        <f>228.39</f>
        <v>228.39</v>
      </c>
      <c r="I704">
        <f>533.89</f>
        <v>533.89</v>
      </c>
      <c r="J704">
        <f>3132.52</f>
        <v>3132.52</v>
      </c>
    </row>
    <row r="705" spans="1:10" x14ac:dyDescent="0.25">
      <c r="A705" s="1">
        <v>43808</v>
      </c>
      <c r="B705">
        <f>202.84</f>
        <v>202.84</v>
      </c>
      <c r="C705">
        <f>122.4969</f>
        <v>122.4969</v>
      </c>
      <c r="D705">
        <f>122.46</f>
        <v>122.46</v>
      </c>
      <c r="E705">
        <f>2292.58</f>
        <v>2292.58</v>
      </c>
      <c r="F705">
        <f>198.44</f>
        <v>198.44</v>
      </c>
      <c r="G705">
        <f>248.029</f>
        <v>248.029</v>
      </c>
      <c r="H705">
        <f>229.51</f>
        <v>229.51</v>
      </c>
      <c r="I705">
        <f>535.8</f>
        <v>535.79999999999995</v>
      </c>
      <c r="J705">
        <f>3135.96</f>
        <v>3135.96</v>
      </c>
    </row>
    <row r="706" spans="1:10" x14ac:dyDescent="0.25">
      <c r="A706" s="1">
        <v>43805</v>
      </c>
      <c r="B706">
        <f>202.75</f>
        <v>202.75</v>
      </c>
      <c r="C706">
        <f>122.5334</f>
        <v>122.5334</v>
      </c>
      <c r="D706">
        <f>122.8</f>
        <v>122.8</v>
      </c>
      <c r="E706">
        <f>2296.39</f>
        <v>2296.39</v>
      </c>
      <c r="F706">
        <f>198.65</f>
        <v>198.65</v>
      </c>
      <c r="G706">
        <f>247.6694</f>
        <v>247.6694</v>
      </c>
      <c r="H706">
        <f>229.21</f>
        <v>229.21</v>
      </c>
      <c r="I706">
        <f>539.15</f>
        <v>539.15</v>
      </c>
      <c r="J706">
        <f>3145.91</f>
        <v>3145.91</v>
      </c>
    </row>
    <row r="707" spans="1:10" x14ac:dyDescent="0.25">
      <c r="A707" s="1">
        <v>43804</v>
      </c>
      <c r="B707">
        <f>199.79</f>
        <v>199.79</v>
      </c>
      <c r="C707">
        <f>121.3653</f>
        <v>121.3653</v>
      </c>
      <c r="D707">
        <f>122.08</f>
        <v>122.08</v>
      </c>
      <c r="E707">
        <f>2278.63</f>
        <v>2278.63</v>
      </c>
      <c r="F707">
        <f>195.49</f>
        <v>195.49</v>
      </c>
      <c r="G707">
        <f>246.1521</f>
        <v>246.15209999999999</v>
      </c>
      <c r="H707">
        <f>228.57</f>
        <v>228.57</v>
      </c>
      <c r="I707">
        <f>534.1</f>
        <v>534.1</v>
      </c>
      <c r="J707">
        <f>3117.43</f>
        <v>3117.43</v>
      </c>
    </row>
    <row r="708" spans="1:10" x14ac:dyDescent="0.25">
      <c r="A708" s="1">
        <v>43803</v>
      </c>
      <c r="B708">
        <f>200.26</f>
        <v>200.26</v>
      </c>
      <c r="C708">
        <f>121.0825</f>
        <v>121.0825</v>
      </c>
      <c r="D708">
        <f>122.25</f>
        <v>122.25</v>
      </c>
      <c r="E708">
        <f>2275.47</f>
        <v>2275.4699999999998</v>
      </c>
      <c r="F708">
        <f>196.07</f>
        <v>196.07</v>
      </c>
      <c r="G708">
        <f>246.5272</f>
        <v>246.52719999999999</v>
      </c>
      <c r="H708">
        <f>228.07</f>
        <v>228.07</v>
      </c>
      <c r="I708">
        <f>533.6</f>
        <v>533.6</v>
      </c>
      <c r="J708">
        <f>3112.76</f>
        <v>3112.76</v>
      </c>
    </row>
    <row r="709" spans="1:10" x14ac:dyDescent="0.25">
      <c r="A709" s="1">
        <v>43802</v>
      </c>
      <c r="B709">
        <f>198.07</f>
        <v>198.07</v>
      </c>
      <c r="C709">
        <f>120.1281</f>
        <v>120.1281</v>
      </c>
      <c r="D709">
        <f>122.04</f>
        <v>122.04</v>
      </c>
      <c r="E709">
        <f>2263.1</f>
        <v>2263.1</v>
      </c>
      <c r="F709">
        <f>193.83</f>
        <v>193.83</v>
      </c>
      <c r="G709">
        <f>245.5635</f>
        <v>245.5635</v>
      </c>
      <c r="H709">
        <f>227.61</f>
        <v>227.61</v>
      </c>
      <c r="I709">
        <f>530.68</f>
        <v>530.67999999999995</v>
      </c>
      <c r="J709">
        <f>3093.2</f>
        <v>3093.2</v>
      </c>
    </row>
    <row r="710" spans="1:10" x14ac:dyDescent="0.25">
      <c r="A710" s="1">
        <v>43801</v>
      </c>
      <c r="B710">
        <f>200.74</f>
        <v>200.74</v>
      </c>
      <c r="C710">
        <f>121.48</f>
        <v>121.48</v>
      </c>
      <c r="D710">
        <f>123.72</f>
        <v>123.72</v>
      </c>
      <c r="E710">
        <f>2276.4</f>
        <v>2276.4</v>
      </c>
      <c r="F710">
        <f>196.42</f>
        <v>196.42</v>
      </c>
      <c r="G710">
        <f>246.3123</f>
        <v>246.31229999999999</v>
      </c>
      <c r="H710">
        <f>226.92</f>
        <v>226.92</v>
      </c>
      <c r="I710">
        <f>535.07</f>
        <v>535.07000000000005</v>
      </c>
      <c r="J710">
        <f>3113.87</f>
        <v>3113.87</v>
      </c>
    </row>
    <row r="711" spans="1:10" x14ac:dyDescent="0.25">
      <c r="A711" s="1">
        <v>43798</v>
      </c>
      <c r="B711">
        <f>200.86</f>
        <v>200.86</v>
      </c>
      <c r="C711">
        <f>122.1601</f>
        <v>122.1601</v>
      </c>
      <c r="D711">
        <f>124.33</f>
        <v>124.33</v>
      </c>
      <c r="E711">
        <f>2292.26</f>
        <v>2292.2600000000002</v>
      </c>
      <c r="F711">
        <f>196.64</f>
        <v>196.64</v>
      </c>
      <c r="G711">
        <f>246.3415</f>
        <v>246.3415</v>
      </c>
      <c r="H711">
        <f>229.46</f>
        <v>229.46</v>
      </c>
      <c r="I711">
        <f>547.44</f>
        <v>547.44000000000005</v>
      </c>
      <c r="J711">
        <f>3140.98</f>
        <v>3140.98</v>
      </c>
    </row>
    <row r="712" spans="1:10" x14ac:dyDescent="0.25">
      <c r="A712" s="1">
        <v>43797</v>
      </c>
      <c r="B712">
        <f>202.71</f>
        <v>202.71</v>
      </c>
      <c r="C712">
        <f>122.6375</f>
        <v>122.6375</v>
      </c>
      <c r="D712">
        <f>124.53</f>
        <v>124.53</v>
      </c>
      <c r="E712">
        <f>2301.79</f>
        <v>2301.79</v>
      </c>
      <c r="F712">
        <f>198.43</f>
        <v>198.43</v>
      </c>
      <c r="G712">
        <f>246.7838</f>
        <v>246.78380000000001</v>
      </c>
      <c r="H712">
        <f>230.54</f>
        <v>230.54</v>
      </c>
      <c r="I712">
        <f>549.28</f>
        <v>549.28</v>
      </c>
      <c r="J712" t="e">
        <f>NA()</f>
        <v>#N/A</v>
      </c>
    </row>
    <row r="713" spans="1:10" x14ac:dyDescent="0.25">
      <c r="A713" s="1">
        <v>43796</v>
      </c>
      <c r="B713">
        <f>202.74</f>
        <v>202.74</v>
      </c>
      <c r="C713">
        <f>122.6812</f>
        <v>122.6812</v>
      </c>
      <c r="D713">
        <f>124.46</f>
        <v>124.46</v>
      </c>
      <c r="E713">
        <f>2302.67</f>
        <v>2302.67</v>
      </c>
      <c r="F713">
        <f>198.45</f>
        <v>198.45</v>
      </c>
      <c r="G713">
        <f>246.7802</f>
        <v>246.78020000000001</v>
      </c>
      <c r="H713">
        <f>230.68</f>
        <v>230.68</v>
      </c>
      <c r="I713">
        <f>549.27</f>
        <v>549.27</v>
      </c>
      <c r="J713">
        <f>3153.63</f>
        <v>3153.63</v>
      </c>
    </row>
    <row r="714" spans="1:10" x14ac:dyDescent="0.25">
      <c r="A714" s="1">
        <v>43795</v>
      </c>
      <c r="B714">
        <f>202.46</f>
        <v>202.46</v>
      </c>
      <c r="C714">
        <f>122.1955</f>
        <v>122.1955</v>
      </c>
      <c r="D714">
        <f>124.63</f>
        <v>124.63</v>
      </c>
      <c r="E714">
        <f>2294.78</f>
        <v>2294.7800000000002</v>
      </c>
      <c r="F714">
        <f>198.34</f>
        <v>198.34</v>
      </c>
      <c r="G714">
        <f>246.1337</f>
        <v>246.1337</v>
      </c>
      <c r="H714">
        <f>229.95</f>
        <v>229.95</v>
      </c>
      <c r="I714">
        <f>551.62</f>
        <v>551.62</v>
      </c>
      <c r="J714">
        <f>3140.52</f>
        <v>3140.52</v>
      </c>
    </row>
    <row r="715" spans="1:10" x14ac:dyDescent="0.25">
      <c r="A715" s="1">
        <v>43794</v>
      </c>
      <c r="B715">
        <f>204.57</f>
        <v>204.57</v>
      </c>
      <c r="C715">
        <f>122.3291</f>
        <v>122.3291</v>
      </c>
      <c r="D715">
        <f>124.3</f>
        <v>124.3</v>
      </c>
      <c r="E715">
        <f>2290.65</f>
        <v>2290.65</v>
      </c>
      <c r="F715">
        <f>200.34</f>
        <v>200.34</v>
      </c>
      <c r="G715">
        <f>244.933</f>
        <v>244.93299999999999</v>
      </c>
      <c r="H715">
        <f>227.6</f>
        <v>227.6</v>
      </c>
      <c r="I715">
        <f>549.53</f>
        <v>549.53</v>
      </c>
      <c r="J715">
        <f>3133.64</f>
        <v>3133.64</v>
      </c>
    </row>
    <row r="716" spans="1:10" x14ac:dyDescent="0.25">
      <c r="A716" s="1">
        <v>43791</v>
      </c>
      <c r="B716">
        <f>204.02</f>
        <v>204.02</v>
      </c>
      <c r="C716">
        <f>121.594</f>
        <v>121.59399999999999</v>
      </c>
      <c r="D716">
        <f>123.38</f>
        <v>123.38</v>
      </c>
      <c r="E716">
        <f>2273.89</f>
        <v>2273.89</v>
      </c>
      <c r="F716">
        <f>199.88</f>
        <v>199.88</v>
      </c>
      <c r="G716">
        <f>243.9966</f>
        <v>243.9966</v>
      </c>
      <c r="H716">
        <f>226.81</f>
        <v>226.81</v>
      </c>
      <c r="I716">
        <f>548.27</f>
        <v>548.27</v>
      </c>
      <c r="J716">
        <f>3110.29</f>
        <v>3110.29</v>
      </c>
    </row>
    <row r="717" spans="1:10" x14ac:dyDescent="0.25">
      <c r="A717" s="1">
        <v>43790</v>
      </c>
      <c r="B717">
        <f>204.33</f>
        <v>204.33</v>
      </c>
      <c r="C717">
        <f>120.9919</f>
        <v>120.9919</v>
      </c>
      <c r="D717">
        <f>122.96</f>
        <v>122.96</v>
      </c>
      <c r="E717">
        <f>2270.36</f>
        <v>2270.36</v>
      </c>
      <c r="F717">
        <f>200.43</f>
        <v>200.43</v>
      </c>
      <c r="G717">
        <f>244.5385</f>
        <v>244.5385</v>
      </c>
      <c r="H717">
        <f>227.69</f>
        <v>227.69</v>
      </c>
      <c r="I717">
        <f>547.3</f>
        <v>547.29999999999995</v>
      </c>
      <c r="J717">
        <f>3103.54</f>
        <v>3103.54</v>
      </c>
    </row>
    <row r="718" spans="1:10" x14ac:dyDescent="0.25">
      <c r="A718" s="1">
        <v>43789</v>
      </c>
      <c r="B718">
        <f>202.71</f>
        <v>202.71</v>
      </c>
      <c r="C718">
        <f>121.2184</f>
        <v>121.2184</v>
      </c>
      <c r="D718">
        <f>123.85</f>
        <v>123.85</v>
      </c>
      <c r="E718">
        <f>2274.92</f>
        <v>2274.92</v>
      </c>
      <c r="F718">
        <f>198.61</f>
        <v>198.61</v>
      </c>
      <c r="G718">
        <f>245.5394</f>
        <v>245.5394</v>
      </c>
      <c r="H718">
        <f>230.16</f>
        <v>230.16</v>
      </c>
      <c r="I718">
        <f>551.17</f>
        <v>551.16999999999996</v>
      </c>
      <c r="J718">
        <f>3108.46</f>
        <v>3108.46</v>
      </c>
    </row>
    <row r="719" spans="1:10" x14ac:dyDescent="0.25">
      <c r="A719" s="1">
        <v>43788</v>
      </c>
      <c r="B719">
        <f>202.24</f>
        <v>202.24</v>
      </c>
      <c r="C719">
        <f>122.0594</f>
        <v>122.0594</v>
      </c>
      <c r="D719">
        <f>125.5</f>
        <v>125.5</v>
      </c>
      <c r="E719">
        <f>2284.85</f>
        <v>2284.85</v>
      </c>
      <c r="F719">
        <f>198.43</f>
        <v>198.43</v>
      </c>
      <c r="G719">
        <f>245.8612</f>
        <v>245.8612</v>
      </c>
      <c r="H719">
        <f>230.78</f>
        <v>230.78</v>
      </c>
      <c r="I719">
        <f>551.03</f>
        <v>551.03</v>
      </c>
      <c r="J719">
        <f>3120.18</f>
        <v>3120.18</v>
      </c>
    </row>
    <row r="720" spans="1:10" x14ac:dyDescent="0.25">
      <c r="A720" s="1">
        <v>43787</v>
      </c>
      <c r="B720">
        <f>203.94</f>
        <v>203.94</v>
      </c>
      <c r="C720">
        <f>121.8011</f>
        <v>121.80110000000001</v>
      </c>
      <c r="D720">
        <f>125.08</f>
        <v>125.08</v>
      </c>
      <c r="E720">
        <f>2285.76</f>
        <v>2285.7600000000002</v>
      </c>
      <c r="F720">
        <f>200.5</f>
        <v>200.5</v>
      </c>
      <c r="G720">
        <f>246.3869</f>
        <v>246.3869</v>
      </c>
      <c r="H720">
        <f>229.81</f>
        <v>229.81</v>
      </c>
      <c r="I720">
        <f>552.57</f>
        <v>552.57000000000005</v>
      </c>
      <c r="J720">
        <f>3122.03</f>
        <v>3122.03</v>
      </c>
    </row>
    <row r="721" spans="1:10" x14ac:dyDescent="0.25">
      <c r="A721" s="1">
        <v>43784</v>
      </c>
      <c r="B721">
        <f>205.75</f>
        <v>205.75</v>
      </c>
      <c r="C721">
        <f>121.6886</f>
        <v>121.68859999999999</v>
      </c>
      <c r="D721">
        <f>125.13</f>
        <v>125.13</v>
      </c>
      <c r="E721">
        <f>2282.8</f>
        <v>2282.8000000000002</v>
      </c>
      <c r="F721">
        <f>202.31</f>
        <v>202.31</v>
      </c>
      <c r="G721">
        <f>245.129</f>
        <v>245.12899999999999</v>
      </c>
      <c r="H721">
        <f>228.24</f>
        <v>228.24</v>
      </c>
      <c r="I721">
        <f>553.81</f>
        <v>553.80999999999995</v>
      </c>
      <c r="J721">
        <f>3120.46</f>
        <v>3120.46</v>
      </c>
    </row>
    <row r="722" spans="1:10" x14ac:dyDescent="0.25">
      <c r="A722" s="1">
        <v>43783</v>
      </c>
      <c r="B722">
        <f>204.22</f>
        <v>204.22</v>
      </c>
      <c r="C722">
        <f>120.9834</f>
        <v>120.9834</v>
      </c>
      <c r="D722">
        <f>124.29</f>
        <v>124.29</v>
      </c>
      <c r="E722">
        <f>2265.29</f>
        <v>2265.29</v>
      </c>
      <c r="F722">
        <f>200.76</f>
        <v>200.76</v>
      </c>
      <c r="G722">
        <f>244.5385</f>
        <v>244.5385</v>
      </c>
      <c r="H722">
        <f>226.86</f>
        <v>226.86</v>
      </c>
      <c r="I722">
        <f>548.71</f>
        <v>548.71</v>
      </c>
      <c r="J722">
        <f>3096.63</f>
        <v>3096.63</v>
      </c>
    </row>
    <row r="723" spans="1:10" x14ac:dyDescent="0.25">
      <c r="A723" s="1">
        <v>43782</v>
      </c>
      <c r="B723">
        <f>205.46</f>
        <v>205.46</v>
      </c>
      <c r="C723">
        <f>121.1744</f>
        <v>121.17440000000001</v>
      </c>
      <c r="D723">
        <f>124.48</f>
        <v>124.48</v>
      </c>
      <c r="E723">
        <f>2268.33</f>
        <v>2268.33</v>
      </c>
      <c r="F723">
        <f>201.95</f>
        <v>201.95</v>
      </c>
      <c r="G723">
        <f>245.1228</f>
        <v>245.12280000000001</v>
      </c>
      <c r="H723">
        <f>225.92</f>
        <v>225.92</v>
      </c>
      <c r="I723">
        <f>545.42</f>
        <v>545.41999999999996</v>
      </c>
      <c r="J723">
        <f>3094.04</f>
        <v>3094.04</v>
      </c>
    </row>
    <row r="724" spans="1:10" x14ac:dyDescent="0.25">
      <c r="A724" s="1">
        <v>43781</v>
      </c>
      <c r="B724">
        <f>206.47</f>
        <v>206.47</v>
      </c>
      <c r="C724">
        <f>122.2286</f>
        <v>122.2286</v>
      </c>
      <c r="D724">
        <f>125.38</f>
        <v>125.38</v>
      </c>
      <c r="E724">
        <f>2270.01</f>
        <v>2270.0100000000002</v>
      </c>
      <c r="F724">
        <f>202.6</f>
        <v>202.6</v>
      </c>
      <c r="G724">
        <f>243.6128</f>
        <v>243.61279999999999</v>
      </c>
      <c r="H724">
        <f>225.19</f>
        <v>225.19</v>
      </c>
      <c r="I724">
        <f>544.76</f>
        <v>544.76</v>
      </c>
      <c r="J724">
        <f>3091.84</f>
        <v>3091.84</v>
      </c>
    </row>
    <row r="725" spans="1:10" x14ac:dyDescent="0.25">
      <c r="A725" s="1">
        <v>43780</v>
      </c>
      <c r="B725">
        <f>207.02</f>
        <v>207.02</v>
      </c>
      <c r="C725">
        <f>122.125</f>
        <v>122.125</v>
      </c>
      <c r="D725">
        <f>125.86</f>
        <v>125.86</v>
      </c>
      <c r="E725">
        <f>2266.36</f>
        <v>2266.36</v>
      </c>
      <c r="F725">
        <f>202.93</f>
        <v>202.93</v>
      </c>
      <c r="G725">
        <f>243.663</f>
        <v>243.66300000000001</v>
      </c>
      <c r="H725">
        <f>226.54</f>
        <v>226.54</v>
      </c>
      <c r="I725">
        <f>543.51</f>
        <v>543.51</v>
      </c>
      <c r="J725">
        <f>3087.01</f>
        <v>3087.01</v>
      </c>
    </row>
    <row r="726" spans="1:10" x14ac:dyDescent="0.25">
      <c r="A726" s="1">
        <v>43777</v>
      </c>
      <c r="B726">
        <f>207.75</f>
        <v>207.75</v>
      </c>
      <c r="C726">
        <f>122.3083</f>
        <v>122.3083</v>
      </c>
      <c r="D726">
        <f>126.53</f>
        <v>126.53</v>
      </c>
      <c r="E726">
        <f>2268.83</f>
        <v>2268.83</v>
      </c>
      <c r="F726">
        <f>203.43</f>
        <v>203.43</v>
      </c>
      <c r="G726">
        <f>243.6166</f>
        <v>243.61660000000001</v>
      </c>
      <c r="H726">
        <f>227.17</f>
        <v>227.17</v>
      </c>
      <c r="I726">
        <f>539.26</f>
        <v>539.26</v>
      </c>
      <c r="J726">
        <f>3093.08</f>
        <v>3093.08</v>
      </c>
    </row>
    <row r="727" spans="1:10" x14ac:dyDescent="0.25">
      <c r="A727" s="1">
        <v>43776</v>
      </c>
      <c r="B727">
        <f>209.05</f>
        <v>209.05</v>
      </c>
      <c r="C727">
        <f>122.5974</f>
        <v>122.59739999999999</v>
      </c>
      <c r="D727">
        <f>126.54</f>
        <v>126.54</v>
      </c>
      <c r="E727">
        <f>2266.69</f>
        <v>2266.69</v>
      </c>
      <c r="F727">
        <f>204.58</f>
        <v>204.58</v>
      </c>
      <c r="G727">
        <f>243.9007</f>
        <v>243.9007</v>
      </c>
      <c r="H727">
        <f>228.6</f>
        <v>228.6</v>
      </c>
      <c r="I727">
        <f>539.53</f>
        <v>539.53</v>
      </c>
      <c r="J727">
        <f>3085.18</f>
        <v>3085.18</v>
      </c>
    </row>
    <row r="728" spans="1:10" x14ac:dyDescent="0.25">
      <c r="A728" s="1">
        <v>43775</v>
      </c>
      <c r="B728">
        <f>207.05</f>
        <v>207.05</v>
      </c>
      <c r="C728">
        <f>121.8152</f>
        <v>121.8152</v>
      </c>
      <c r="D728">
        <f>125.47</f>
        <v>125.47</v>
      </c>
      <c r="E728">
        <f>2261.37</f>
        <v>2261.37</v>
      </c>
      <c r="F728">
        <f>202.65</f>
        <v>202.65</v>
      </c>
      <c r="G728">
        <f>244.8072</f>
        <v>244.80719999999999</v>
      </c>
      <c r="H728">
        <f>229.91</f>
        <v>229.91</v>
      </c>
      <c r="I728">
        <f>538.07</f>
        <v>538.07000000000005</v>
      </c>
      <c r="J728">
        <f>3076.78</f>
        <v>3076.78</v>
      </c>
    </row>
    <row r="729" spans="1:10" x14ac:dyDescent="0.25">
      <c r="A729" s="1">
        <v>43774</v>
      </c>
      <c r="B729">
        <f>209.41</f>
        <v>209.41</v>
      </c>
      <c r="C729">
        <f>121.4144</f>
        <v>121.4144</v>
      </c>
      <c r="D729">
        <f>125.27</f>
        <v>125.27</v>
      </c>
      <c r="E729">
        <f>2259.26</f>
        <v>2259.2600000000002</v>
      </c>
      <c r="F729">
        <f>205.14</f>
        <v>205.14</v>
      </c>
      <c r="G729">
        <f>243.1735</f>
        <v>243.17349999999999</v>
      </c>
      <c r="H729">
        <f>229.41</f>
        <v>229.41</v>
      </c>
      <c r="I729">
        <f>534.79</f>
        <v>534.79</v>
      </c>
      <c r="J729">
        <f>3074.62</f>
        <v>3074.62</v>
      </c>
    </row>
    <row r="730" spans="1:10" x14ac:dyDescent="0.25">
      <c r="A730" s="1">
        <v>43773</v>
      </c>
      <c r="B730">
        <f>208.6</f>
        <v>208.6</v>
      </c>
      <c r="C730">
        <f>121.0681</f>
        <v>121.0681</v>
      </c>
      <c r="D730">
        <f>124.63</f>
        <v>124.63</v>
      </c>
      <c r="E730">
        <f>2261.45</f>
        <v>2261.4499999999998</v>
      </c>
      <c r="F730">
        <f>204.25</f>
        <v>204.25</v>
      </c>
      <c r="G730">
        <f>243.32</f>
        <v>243.32</v>
      </c>
      <c r="H730">
        <f>232.35</f>
        <v>232.35</v>
      </c>
      <c r="I730">
        <f>534.19</f>
        <v>534.19000000000005</v>
      </c>
      <c r="J730">
        <f>3078.27</f>
        <v>3078.27</v>
      </c>
    </row>
    <row r="731" spans="1:10" x14ac:dyDescent="0.25">
      <c r="A731" s="1">
        <v>43770</v>
      </c>
      <c r="B731">
        <f>204.3</f>
        <v>204.3</v>
      </c>
      <c r="C731">
        <f>120.0567</f>
        <v>120.05670000000001</v>
      </c>
      <c r="D731">
        <f>122.85</f>
        <v>122.85</v>
      </c>
      <c r="E731">
        <f>2252.07</f>
        <v>2252.0700000000002</v>
      </c>
      <c r="F731">
        <f>199.66</f>
        <v>199.66</v>
      </c>
      <c r="G731">
        <f>244.8072</f>
        <v>244.80719999999999</v>
      </c>
      <c r="H731">
        <f>233.78</f>
        <v>233.78</v>
      </c>
      <c r="I731">
        <f>534.18</f>
        <v>534.17999999999995</v>
      </c>
      <c r="J731">
        <f>3066.91</f>
        <v>3066.91</v>
      </c>
    </row>
    <row r="732" spans="1:10" x14ac:dyDescent="0.25">
      <c r="A732" s="1">
        <v>43769</v>
      </c>
      <c r="B732">
        <f>200.55</f>
        <v>200.55</v>
      </c>
      <c r="C732">
        <f>118.9305</f>
        <v>118.93049999999999</v>
      </c>
      <c r="D732">
        <f>122.09</f>
        <v>122.09</v>
      </c>
      <c r="E732">
        <f>2233.53</f>
        <v>2233.5300000000002</v>
      </c>
      <c r="F732">
        <f>195.9</f>
        <v>195.9</v>
      </c>
      <c r="G732">
        <f>244.7919</f>
        <v>244.7919</v>
      </c>
      <c r="H732">
        <f>233.94</f>
        <v>233.94</v>
      </c>
      <c r="I732">
        <f>527.88</f>
        <v>527.88</v>
      </c>
      <c r="J732">
        <f>3037.56</f>
        <v>3037.56</v>
      </c>
    </row>
    <row r="733" spans="1:10" x14ac:dyDescent="0.25">
      <c r="A733" s="1">
        <v>43768</v>
      </c>
      <c r="B733">
        <f>202.34</f>
        <v>202.34</v>
      </c>
      <c r="C733">
        <f>119.3696</f>
        <v>119.36960000000001</v>
      </c>
      <c r="D733">
        <f>122.24</f>
        <v>122.24</v>
      </c>
      <c r="E733">
        <f>2237.31</f>
        <v>2237.31</v>
      </c>
      <c r="F733">
        <f>197.82</f>
        <v>197.82</v>
      </c>
      <c r="G733">
        <f>244.9666</f>
        <v>244.9666</v>
      </c>
      <c r="H733">
        <f>233.59</f>
        <v>233.59</v>
      </c>
      <c r="I733">
        <f>531.33</f>
        <v>531.33000000000004</v>
      </c>
      <c r="J733">
        <f>3046.77</f>
        <v>3046.77</v>
      </c>
    </row>
    <row r="734" spans="1:10" x14ac:dyDescent="0.25">
      <c r="A734" s="1">
        <v>43767</v>
      </c>
      <c r="B734">
        <f>204.38</f>
        <v>204.38</v>
      </c>
      <c r="C734">
        <f>119.8732</f>
        <v>119.8732</v>
      </c>
      <c r="D734">
        <f>122.55</f>
        <v>122.55</v>
      </c>
      <c r="E734">
        <f>2232.45</f>
        <v>2232.4499999999998</v>
      </c>
      <c r="F734">
        <f>200.08</f>
        <v>200.08</v>
      </c>
      <c r="G734">
        <f>242.9113</f>
        <v>242.91130000000001</v>
      </c>
      <c r="H734">
        <f>232.71</f>
        <v>232.71</v>
      </c>
      <c r="I734">
        <f>526.18</f>
        <v>526.17999999999995</v>
      </c>
      <c r="J734">
        <f>3036.89</f>
        <v>3036.89</v>
      </c>
    </row>
    <row r="735" spans="1:10" x14ac:dyDescent="0.25">
      <c r="A735" s="1">
        <v>43766</v>
      </c>
      <c r="B735">
        <f>204.05</f>
        <v>204.05</v>
      </c>
      <c r="C735">
        <f>119.5617</f>
        <v>119.5617</v>
      </c>
      <c r="D735">
        <f>122.76</f>
        <v>122.76</v>
      </c>
      <c r="E735">
        <f>2231.4</f>
        <v>2231.4</v>
      </c>
      <c r="F735">
        <f>200.05</f>
        <v>200.05</v>
      </c>
      <c r="G735">
        <f>242.4768</f>
        <v>242.4768</v>
      </c>
      <c r="H735">
        <f>231.89</f>
        <v>231.89</v>
      </c>
      <c r="I735">
        <f>522.55</f>
        <v>522.54999999999995</v>
      </c>
      <c r="J735">
        <f>3039.42</f>
        <v>3039.42</v>
      </c>
    </row>
    <row r="736" spans="1:10" x14ac:dyDescent="0.25">
      <c r="A736" s="1">
        <v>43763</v>
      </c>
      <c r="B736">
        <f>204.54</f>
        <v>204.54</v>
      </c>
      <c r="C736">
        <f>119.1879</f>
        <v>119.1879</v>
      </c>
      <c r="D736">
        <f>122.09</f>
        <v>122.09</v>
      </c>
      <c r="E736">
        <f>2222.75</f>
        <v>2222.75</v>
      </c>
      <c r="F736">
        <f>200.62</f>
        <v>200.62</v>
      </c>
      <c r="G736">
        <f>243.4535</f>
        <v>243.45349999999999</v>
      </c>
      <c r="H736">
        <f>233.21</f>
        <v>233.21</v>
      </c>
      <c r="I736">
        <f>520.54</f>
        <v>520.54</v>
      </c>
      <c r="J736">
        <f>3022.55</f>
        <v>3022.55</v>
      </c>
    </row>
    <row r="737" spans="1:10" x14ac:dyDescent="0.25">
      <c r="A737" s="1">
        <v>43762</v>
      </c>
      <c r="B737">
        <f>203.53</f>
        <v>203.53</v>
      </c>
      <c r="C737">
        <f>118.9152</f>
        <v>118.9152</v>
      </c>
      <c r="D737">
        <f>121.65</f>
        <v>121.65</v>
      </c>
      <c r="E737">
        <f>2215.64</f>
        <v>2215.64</v>
      </c>
      <c r="F737">
        <f>199.63</f>
        <v>199.63</v>
      </c>
      <c r="G737">
        <f>244.6633</f>
        <v>244.66329999999999</v>
      </c>
      <c r="H737">
        <f>234.95</f>
        <v>234.95</v>
      </c>
      <c r="I737">
        <f>523.88</f>
        <v>523.88</v>
      </c>
      <c r="J737">
        <f>3010.29</f>
        <v>3010.29</v>
      </c>
    </row>
    <row r="738" spans="1:10" x14ac:dyDescent="0.25">
      <c r="A738" s="1">
        <v>43761</v>
      </c>
      <c r="B738">
        <f>203.24</f>
        <v>203.24</v>
      </c>
      <c r="C738">
        <f>118.8069</f>
        <v>118.8069</v>
      </c>
      <c r="D738">
        <f>120.52</f>
        <v>120.52</v>
      </c>
      <c r="E738">
        <f>2208.28</f>
        <v>2208.2800000000002</v>
      </c>
      <c r="F738">
        <f>199.49</f>
        <v>199.49</v>
      </c>
      <c r="G738">
        <f>243.8728</f>
        <v>243.87280000000001</v>
      </c>
      <c r="H738">
        <f>235.39</f>
        <v>235.39</v>
      </c>
      <c r="I738">
        <f>516.74</f>
        <v>516.74</v>
      </c>
      <c r="J738">
        <f>3004.52</f>
        <v>3004.52</v>
      </c>
    </row>
    <row r="739" spans="1:10" x14ac:dyDescent="0.25">
      <c r="A739" s="1">
        <v>43760</v>
      </c>
      <c r="B739">
        <f>202.03</f>
        <v>202.03</v>
      </c>
      <c r="C739">
        <f>118.6138</f>
        <v>118.6138</v>
      </c>
      <c r="D739">
        <f>120.72</f>
        <v>120.72</v>
      </c>
      <c r="E739">
        <f>2204.29</f>
        <v>2204.29</v>
      </c>
      <c r="F739">
        <f>198.13</f>
        <v>198.13</v>
      </c>
      <c r="G739">
        <f>243.3828</f>
        <v>243.3828</v>
      </c>
      <c r="H739">
        <f>235.23</f>
        <v>235.23</v>
      </c>
      <c r="I739">
        <f>518.21</f>
        <v>518.21</v>
      </c>
      <c r="J739">
        <f>2995.99</f>
        <v>2995.99</v>
      </c>
    </row>
    <row r="740" spans="1:10" x14ac:dyDescent="0.25">
      <c r="A740" s="1">
        <v>43759</v>
      </c>
      <c r="B740">
        <f>199.7</f>
        <v>199.7</v>
      </c>
      <c r="C740">
        <f>118.8064</f>
        <v>118.8064</v>
      </c>
      <c r="D740">
        <f>121.39</f>
        <v>121.39</v>
      </c>
      <c r="E740">
        <f>2209.34</f>
        <v>2209.34</v>
      </c>
      <c r="F740">
        <f>196.13</f>
        <v>196.13</v>
      </c>
      <c r="G740">
        <f>243.4154</f>
        <v>243.41540000000001</v>
      </c>
      <c r="H740">
        <f>235.76</f>
        <v>235.76</v>
      </c>
      <c r="I740">
        <f>513.93</f>
        <v>513.92999999999995</v>
      </c>
      <c r="J740">
        <f>3006.72</f>
        <v>3006.72</v>
      </c>
    </row>
    <row r="741" spans="1:10" x14ac:dyDescent="0.25">
      <c r="A741" s="1">
        <v>43756</v>
      </c>
      <c r="B741">
        <f>197.41</f>
        <v>197.41</v>
      </c>
      <c r="C741">
        <f>117.3552</f>
        <v>117.3552</v>
      </c>
      <c r="D741">
        <f>120.99</f>
        <v>120.99</v>
      </c>
      <c r="E741">
        <f>2195.28</f>
        <v>2195.2800000000002</v>
      </c>
      <c r="F741">
        <f>193.81</f>
        <v>193.81</v>
      </c>
      <c r="G741">
        <f>243.3041</f>
        <v>243.30410000000001</v>
      </c>
      <c r="H741">
        <f>234.3</f>
        <v>234.3</v>
      </c>
      <c r="I741">
        <f>516.22</f>
        <v>516.22</v>
      </c>
      <c r="J741">
        <f>2986.2</f>
        <v>2986.2</v>
      </c>
    </row>
    <row r="742" spans="1:10" x14ac:dyDescent="0.25">
      <c r="A742" s="1">
        <v>43755</v>
      </c>
      <c r="B742">
        <f>197.92</f>
        <v>197.92</v>
      </c>
      <c r="C742">
        <f>117.106</f>
        <v>117.10599999999999</v>
      </c>
      <c r="D742">
        <f>121.01</f>
        <v>121.01</v>
      </c>
      <c r="E742">
        <f>2201.92</f>
        <v>2201.92</v>
      </c>
      <c r="F742">
        <f>194.5</f>
        <v>194.5</v>
      </c>
      <c r="G742">
        <f>243.9377</f>
        <v>243.93770000000001</v>
      </c>
      <c r="H742">
        <f>232.98</f>
        <v>232.98</v>
      </c>
      <c r="I742">
        <f>527.45</f>
        <v>527.45000000000005</v>
      </c>
      <c r="J742">
        <f>2997.95</f>
        <v>2997.95</v>
      </c>
    </row>
    <row r="743" spans="1:10" x14ac:dyDescent="0.25">
      <c r="A743" s="1">
        <v>43754</v>
      </c>
      <c r="B743">
        <f>197.25</f>
        <v>197.25</v>
      </c>
      <c r="C743">
        <f>116.7865</f>
        <v>116.7865</v>
      </c>
      <c r="D743">
        <f>120.28</f>
        <v>120.28</v>
      </c>
      <c r="E743">
        <f>2195.35</f>
        <v>2195.35</v>
      </c>
      <c r="F743">
        <f>193.85</f>
        <v>193.85</v>
      </c>
      <c r="G743">
        <f>243.3906</f>
        <v>243.39060000000001</v>
      </c>
      <c r="H743">
        <f>231.65</f>
        <v>231.65</v>
      </c>
      <c r="I743">
        <f>530.53</f>
        <v>530.53</v>
      </c>
      <c r="J743">
        <f>2989.69</f>
        <v>2989.69</v>
      </c>
    </row>
    <row r="744" spans="1:10" x14ac:dyDescent="0.25">
      <c r="A744" s="1">
        <v>43753</v>
      </c>
      <c r="B744">
        <f>198.51</f>
        <v>198.51</v>
      </c>
      <c r="C744">
        <f>116.687</f>
        <v>116.687</v>
      </c>
      <c r="D744">
        <f>120.13</f>
        <v>120.13</v>
      </c>
      <c r="E744">
        <f>2196.61</f>
        <v>2196.61</v>
      </c>
      <c r="F744">
        <f>195.45</f>
        <v>195.45</v>
      </c>
      <c r="G744">
        <f>242.9437</f>
        <v>242.94370000000001</v>
      </c>
      <c r="H744">
        <f>230.95</f>
        <v>230.95</v>
      </c>
      <c r="I744">
        <f>529.72</f>
        <v>529.72</v>
      </c>
      <c r="J744">
        <f>2995.68</f>
        <v>2995.68</v>
      </c>
    </row>
    <row r="745" spans="1:10" x14ac:dyDescent="0.25">
      <c r="A745" s="1">
        <v>43752</v>
      </c>
      <c r="B745">
        <f>197.81</f>
        <v>197.81</v>
      </c>
      <c r="C745">
        <f>115.1211</f>
        <v>115.1211</v>
      </c>
      <c r="D745">
        <f>119.02</f>
        <v>119.02</v>
      </c>
      <c r="E745">
        <f>2175.28</f>
        <v>2175.2800000000002</v>
      </c>
      <c r="F745">
        <f>194.68</f>
        <v>194.68</v>
      </c>
      <c r="G745">
        <f>243.0614</f>
        <v>243.06139999999999</v>
      </c>
      <c r="H745">
        <f>230.12</f>
        <v>230.12</v>
      </c>
      <c r="I745">
        <f>529.77</f>
        <v>529.77</v>
      </c>
      <c r="J745">
        <f>2966.15</f>
        <v>2966.15</v>
      </c>
    </row>
    <row r="746" spans="1:10" x14ac:dyDescent="0.25">
      <c r="A746" s="1">
        <v>43749</v>
      </c>
      <c r="B746">
        <f>198.47</f>
        <v>198.47</v>
      </c>
      <c r="C746">
        <f>115.3017</f>
        <v>115.3017</v>
      </c>
      <c r="D746">
        <f>118.82</f>
        <v>118.82</v>
      </c>
      <c r="E746">
        <f>2179.33</f>
        <v>2179.33</v>
      </c>
      <c r="F746">
        <f>195.41</f>
        <v>195.41</v>
      </c>
      <c r="G746">
        <f>243.9213</f>
        <v>243.9213</v>
      </c>
      <c r="H746">
        <f>230.05</f>
        <v>230.05</v>
      </c>
      <c r="I746">
        <f>530.58</f>
        <v>530.58000000000004</v>
      </c>
      <c r="J746">
        <f>2970.27</f>
        <v>2970.27</v>
      </c>
    </row>
    <row r="747" spans="1:10" x14ac:dyDescent="0.25">
      <c r="A747" s="1">
        <v>43748</v>
      </c>
      <c r="B747">
        <f>195.34</f>
        <v>195.34</v>
      </c>
      <c r="C747">
        <f>112.9695</f>
        <v>112.9695</v>
      </c>
      <c r="D747">
        <f>117.38</f>
        <v>117.38</v>
      </c>
      <c r="E747">
        <f>2150.16</f>
        <v>2150.16</v>
      </c>
      <c r="F747">
        <f>192.55</f>
        <v>192.55</v>
      </c>
      <c r="G747">
        <f>243.6698</f>
        <v>243.66980000000001</v>
      </c>
      <c r="H747">
        <f>229.3</f>
        <v>229.3</v>
      </c>
      <c r="I747">
        <f>526.62</f>
        <v>526.62</v>
      </c>
      <c r="J747">
        <f>2938.13</f>
        <v>2938.13</v>
      </c>
    </row>
    <row r="748" spans="1:10" x14ac:dyDescent="0.25">
      <c r="A748" s="1">
        <v>43747</v>
      </c>
      <c r="B748">
        <f>193.53</f>
        <v>193.53</v>
      </c>
      <c r="C748">
        <f>111.8501</f>
        <v>111.8501</v>
      </c>
      <c r="D748">
        <f>116.78</f>
        <v>116.78</v>
      </c>
      <c r="E748">
        <f>2137.62</f>
        <v>2137.62</v>
      </c>
      <c r="F748">
        <f>190.66</f>
        <v>190.66</v>
      </c>
      <c r="G748">
        <f>243.4447</f>
        <v>243.44470000000001</v>
      </c>
      <c r="H748">
        <f>229.46</f>
        <v>229.46</v>
      </c>
      <c r="I748">
        <f>525.1</f>
        <v>525.1</v>
      </c>
      <c r="J748">
        <f>2919.4</f>
        <v>2919.4</v>
      </c>
    </row>
    <row r="749" spans="1:10" x14ac:dyDescent="0.25">
      <c r="A749" s="1">
        <v>43746</v>
      </c>
      <c r="B749">
        <f>192.29</f>
        <v>192.29</v>
      </c>
      <c r="C749">
        <f>111.3113</f>
        <v>111.3113</v>
      </c>
      <c r="D749">
        <f>115.99</f>
        <v>115.99</v>
      </c>
      <c r="E749">
        <f>2124.15</f>
        <v>2124.15</v>
      </c>
      <c r="F749">
        <f>189.29</f>
        <v>189.29</v>
      </c>
      <c r="G749">
        <f>242.1488</f>
        <v>242.14879999999999</v>
      </c>
      <c r="H749">
        <f>229.15</f>
        <v>229.15</v>
      </c>
      <c r="I749">
        <f>522.37</f>
        <v>522.37</v>
      </c>
      <c r="J749">
        <f>2893.06</f>
        <v>2893.06</v>
      </c>
    </row>
    <row r="750" spans="1:10" x14ac:dyDescent="0.25">
      <c r="A750" s="1">
        <v>43745</v>
      </c>
      <c r="B750">
        <f>195.16</f>
        <v>195.16</v>
      </c>
      <c r="C750">
        <f>112.9641</f>
        <v>112.9641</v>
      </c>
      <c r="D750">
        <f>117.06</f>
        <v>117.06</v>
      </c>
      <c r="E750">
        <f>2151.82</f>
        <v>2151.8200000000002</v>
      </c>
      <c r="F750">
        <f>192.44</f>
        <v>192.44</v>
      </c>
      <c r="G750">
        <f>244.3236</f>
        <v>244.3236</v>
      </c>
      <c r="H750">
        <f>230.37</f>
        <v>230.37</v>
      </c>
      <c r="I750">
        <f>525.72</f>
        <v>525.72</v>
      </c>
      <c r="J750">
        <f>2938.79</f>
        <v>2938.79</v>
      </c>
    </row>
    <row r="751" spans="1:10" x14ac:dyDescent="0.25">
      <c r="A751" s="1">
        <v>43742</v>
      </c>
      <c r="B751">
        <f>195.35</f>
        <v>195.35</v>
      </c>
      <c r="C751">
        <f>113.0514</f>
        <v>113.0514</v>
      </c>
      <c r="D751">
        <f>116.64</f>
        <v>116.64</v>
      </c>
      <c r="E751">
        <f>2153.82</f>
        <v>2153.8200000000002</v>
      </c>
      <c r="F751">
        <f>192.58</f>
        <v>192.58</v>
      </c>
      <c r="G751">
        <f>244.4004</f>
        <v>244.40039999999999</v>
      </c>
      <c r="H751">
        <f>230.52</f>
        <v>230.52</v>
      </c>
      <c r="I751">
        <f>525.79</f>
        <v>525.79</v>
      </c>
      <c r="J751">
        <f>2952.01</f>
        <v>2952.01</v>
      </c>
    </row>
    <row r="752" spans="1:10" x14ac:dyDescent="0.25">
      <c r="A752" s="1">
        <v>43741</v>
      </c>
      <c r="B752">
        <f>194.32</f>
        <v>194.32</v>
      </c>
      <c r="C752">
        <f>111.94</f>
        <v>111.94</v>
      </c>
      <c r="D752">
        <f>115.85</f>
        <v>115.85</v>
      </c>
      <c r="E752">
        <f>2131.36</f>
        <v>2131.36</v>
      </c>
      <c r="F752">
        <f>191.32</f>
        <v>191.32</v>
      </c>
      <c r="G752">
        <f>241.9242</f>
        <v>241.92420000000001</v>
      </c>
      <c r="H752">
        <f>229.43</f>
        <v>229.43</v>
      </c>
      <c r="I752">
        <f>521.38</f>
        <v>521.38</v>
      </c>
      <c r="J752">
        <f>2910.63</f>
        <v>2910.63</v>
      </c>
    </row>
    <row r="753" spans="1:10" x14ac:dyDescent="0.25">
      <c r="A753" s="1">
        <v>43740</v>
      </c>
      <c r="B753">
        <f>193.47</f>
        <v>193.47</v>
      </c>
      <c r="C753">
        <f>112.074</f>
        <v>112.074</v>
      </c>
      <c r="D753">
        <f>116.5</f>
        <v>116.5</v>
      </c>
      <c r="E753">
        <f>2121.47</f>
        <v>2121.4699999999998</v>
      </c>
      <c r="F753">
        <f>190.5</f>
        <v>190.5</v>
      </c>
      <c r="G753">
        <f>240.6689</f>
        <v>240.66890000000001</v>
      </c>
      <c r="H753">
        <f>227.84</f>
        <v>227.84</v>
      </c>
      <c r="I753">
        <f>516.24</f>
        <v>516.24</v>
      </c>
      <c r="J753">
        <f>2887.61</f>
        <v>2887.61</v>
      </c>
    </row>
    <row r="754" spans="1:10" x14ac:dyDescent="0.25">
      <c r="A754" s="1">
        <v>43739</v>
      </c>
      <c r="B754">
        <f>198.2</f>
        <v>198.2</v>
      </c>
      <c r="C754">
        <f>114.3309</f>
        <v>114.3309</v>
      </c>
      <c r="D754">
        <f>118.95</f>
        <v>118.95</v>
      </c>
      <c r="E754">
        <f>2158.47</f>
        <v>2158.4699999999998</v>
      </c>
      <c r="F754">
        <f>195.71</f>
        <v>195.71</v>
      </c>
      <c r="G754">
        <f>244.6043</f>
        <v>244.60429999999999</v>
      </c>
      <c r="H754">
        <f>228.54</f>
        <v>228.54</v>
      </c>
      <c r="I754">
        <f>526.09</f>
        <v>526.09</v>
      </c>
      <c r="J754">
        <f>2940.25</f>
        <v>2940.25</v>
      </c>
    </row>
    <row r="755" spans="1:10" x14ac:dyDescent="0.25">
      <c r="A755" s="1">
        <v>43738</v>
      </c>
      <c r="B755">
        <f>201.19</f>
        <v>201.19</v>
      </c>
      <c r="C755">
        <f>116.1215</f>
        <v>116.1215</v>
      </c>
      <c r="D755">
        <f>119.16</f>
        <v>119.16</v>
      </c>
      <c r="E755">
        <f>2180.02</f>
        <v>2180.02</v>
      </c>
      <c r="F755">
        <f>198.95</f>
        <v>198.95</v>
      </c>
      <c r="G755">
        <f>245.9357</f>
        <v>245.9357</v>
      </c>
      <c r="H755">
        <f>230.05</f>
        <v>230.05</v>
      </c>
      <c r="I755">
        <f>535.59</f>
        <v>535.59</v>
      </c>
      <c r="J755">
        <f>2976.74</f>
        <v>2976.74</v>
      </c>
    </row>
    <row r="756" spans="1:10" x14ac:dyDescent="0.25">
      <c r="A756" s="1">
        <v>43735</v>
      </c>
      <c r="B756">
        <f>202.52</f>
        <v>202.52</v>
      </c>
      <c r="C756">
        <f>116.3505</f>
        <v>116.3505</v>
      </c>
      <c r="D756">
        <f>119.88</f>
        <v>119.88</v>
      </c>
      <c r="E756">
        <f>2175.54</f>
        <v>2175.54</v>
      </c>
      <c r="F756">
        <f>200.32</f>
        <v>200.32</v>
      </c>
      <c r="G756">
        <f>245.4965</f>
        <v>245.4965</v>
      </c>
      <c r="H756">
        <f>229.95</f>
        <v>229.95</v>
      </c>
      <c r="I756">
        <f>535.87</f>
        <v>535.87</v>
      </c>
      <c r="J756">
        <f>2961.79</f>
        <v>2961.79</v>
      </c>
    </row>
    <row r="757" spans="1:10" x14ac:dyDescent="0.25">
      <c r="A757" s="1">
        <v>43734</v>
      </c>
      <c r="B757">
        <f>202.02</f>
        <v>202.02</v>
      </c>
      <c r="C757">
        <f>116.111</f>
        <v>116.111</v>
      </c>
      <c r="D757">
        <f>118.82</f>
        <v>118.82</v>
      </c>
      <c r="E757">
        <f>2183.46</f>
        <v>2183.46</v>
      </c>
      <c r="F757">
        <f>199.51</f>
        <v>199.51</v>
      </c>
      <c r="G757">
        <f>245.639</f>
        <v>245.63900000000001</v>
      </c>
      <c r="H757">
        <f>231.35</f>
        <v>231.35</v>
      </c>
      <c r="I757">
        <f>541.44</f>
        <v>541.44000000000005</v>
      </c>
      <c r="J757">
        <f>2977.62</f>
        <v>2977.62</v>
      </c>
    </row>
    <row r="758" spans="1:10" x14ac:dyDescent="0.25">
      <c r="A758" s="1">
        <v>43733</v>
      </c>
      <c r="B758">
        <f>202.82</f>
        <v>202.82</v>
      </c>
      <c r="C758">
        <f>116.2035</f>
        <v>116.20350000000001</v>
      </c>
      <c r="D758">
        <f>119.03</f>
        <v>119.03</v>
      </c>
      <c r="E758">
        <f>2184.56</f>
        <v>2184.56</v>
      </c>
      <c r="F758">
        <f>200.56</f>
        <v>200.56</v>
      </c>
      <c r="G758">
        <f>244.572</f>
        <v>244.572</v>
      </c>
      <c r="H758">
        <f>229.65</f>
        <v>229.65</v>
      </c>
      <c r="I758">
        <f>539.94</f>
        <v>539.94000000000005</v>
      </c>
      <c r="J758">
        <f>2984.87</f>
        <v>2984.87</v>
      </c>
    </row>
    <row r="759" spans="1:10" x14ac:dyDescent="0.25">
      <c r="A759" s="1">
        <v>43732</v>
      </c>
      <c r="B759">
        <f>203.52</f>
        <v>203.52</v>
      </c>
      <c r="C759">
        <f>116.0477</f>
        <v>116.04770000000001</v>
      </c>
      <c r="D759">
        <f>118.98</f>
        <v>118.98</v>
      </c>
      <c r="E759">
        <f>2182.07</f>
        <v>2182.0700000000002</v>
      </c>
      <c r="F759">
        <f>201.2</f>
        <v>201.2</v>
      </c>
      <c r="G759">
        <f>245.2169</f>
        <v>245.21690000000001</v>
      </c>
      <c r="H759">
        <f>229.73</f>
        <v>229.73</v>
      </c>
      <c r="I759">
        <f>536.1</f>
        <v>536.1</v>
      </c>
      <c r="J759">
        <f>2966.6</f>
        <v>2966.6</v>
      </c>
    </row>
    <row r="760" spans="1:10" x14ac:dyDescent="0.25">
      <c r="A760" s="1">
        <v>43731</v>
      </c>
      <c r="B760">
        <f>205.74</f>
        <v>205.74</v>
      </c>
      <c r="C760">
        <f>116.6888</f>
        <v>116.6888</v>
      </c>
      <c r="D760">
        <f>118.52</f>
        <v>118.52</v>
      </c>
      <c r="E760">
        <f>2193.74</f>
        <v>2193.7399999999998</v>
      </c>
      <c r="F760">
        <f>203.47</f>
        <v>203.47</v>
      </c>
      <c r="G760">
        <f>244.3347</f>
        <v>244.3347</v>
      </c>
      <c r="H760">
        <f>229.86</f>
        <v>229.86</v>
      </c>
      <c r="I760">
        <f>535.83</f>
        <v>535.83000000000004</v>
      </c>
      <c r="J760">
        <f>2991.78</f>
        <v>2991.78</v>
      </c>
    </row>
    <row r="761" spans="1:10" x14ac:dyDescent="0.25">
      <c r="A761" s="1">
        <v>43728</v>
      </c>
      <c r="B761">
        <f>206.09</f>
        <v>206.09</v>
      </c>
      <c r="C761">
        <f>117.0652</f>
        <v>117.0652</v>
      </c>
      <c r="D761">
        <f>118.85</f>
        <v>118.85</v>
      </c>
      <c r="E761">
        <f>2197.55</f>
        <v>2197.5500000000002</v>
      </c>
      <c r="F761">
        <f>203.9</f>
        <v>203.9</v>
      </c>
      <c r="G761">
        <f>243.7914</f>
        <v>243.79140000000001</v>
      </c>
      <c r="H761">
        <f>229.68</f>
        <v>229.68</v>
      </c>
      <c r="I761">
        <f>537.11</f>
        <v>537.11</v>
      </c>
      <c r="J761">
        <f>2992.07</f>
        <v>2992.07</v>
      </c>
    </row>
    <row r="762" spans="1:10" x14ac:dyDescent="0.25">
      <c r="A762" s="1">
        <v>43727</v>
      </c>
      <c r="B762">
        <f>205.16</f>
        <v>205.16</v>
      </c>
      <c r="C762">
        <f>117.3625</f>
        <v>117.3625</v>
      </c>
      <c r="D762">
        <f>118.81</f>
        <v>118.81</v>
      </c>
      <c r="E762">
        <f>2204.67</f>
        <v>2204.67</v>
      </c>
      <c r="F762">
        <f>203.13</f>
        <v>203.13</v>
      </c>
      <c r="G762">
        <f>244.5751</f>
        <v>244.57509999999999</v>
      </c>
      <c r="H762">
        <f>229.93</f>
        <v>229.93</v>
      </c>
      <c r="I762">
        <f>545.57</f>
        <v>545.57000000000005</v>
      </c>
      <c r="J762">
        <f>3006.79</f>
        <v>3006.79</v>
      </c>
    </row>
    <row r="763" spans="1:10" x14ac:dyDescent="0.25">
      <c r="A763" s="1">
        <v>43726</v>
      </c>
      <c r="B763">
        <f>205.69</f>
        <v>205.69</v>
      </c>
      <c r="C763">
        <f>117.2038</f>
        <v>117.2038</v>
      </c>
      <c r="D763">
        <f>119.97</f>
        <v>119.97</v>
      </c>
      <c r="E763">
        <f>2201.02</f>
        <v>2201.02</v>
      </c>
      <c r="F763">
        <f>203.37</f>
        <v>203.37</v>
      </c>
      <c r="G763">
        <f>244.3949</f>
        <v>244.39490000000001</v>
      </c>
      <c r="H763">
        <f>229.31</f>
        <v>229.31</v>
      </c>
      <c r="I763">
        <f>546.97</f>
        <v>546.97</v>
      </c>
      <c r="J763">
        <f>3006.73</f>
        <v>3006.73</v>
      </c>
    </row>
    <row r="764" spans="1:10" x14ac:dyDescent="0.25">
      <c r="A764" s="1">
        <v>43725</v>
      </c>
      <c r="B764">
        <f>206.39</f>
        <v>206.39</v>
      </c>
      <c r="C764">
        <f>117.0593</f>
        <v>117.05929999999999</v>
      </c>
      <c r="D764">
        <f>119.62</f>
        <v>119.62</v>
      </c>
      <c r="E764">
        <f>2201.77</f>
        <v>2201.77</v>
      </c>
      <c r="F764">
        <f>203.98</f>
        <v>203.98</v>
      </c>
      <c r="G764">
        <f>244.432</f>
        <v>244.43199999999999</v>
      </c>
      <c r="H764">
        <f>229.83</f>
        <v>229.83</v>
      </c>
      <c r="I764">
        <f>545.14</f>
        <v>545.14</v>
      </c>
      <c r="J764">
        <f>3005.7</f>
        <v>3005.7</v>
      </c>
    </row>
    <row r="765" spans="1:10" x14ac:dyDescent="0.25">
      <c r="A765" s="1">
        <v>43724</v>
      </c>
      <c r="B765">
        <f>208.2</f>
        <v>208.2</v>
      </c>
      <c r="C765">
        <f>117.2078</f>
        <v>117.20780000000001</v>
      </c>
      <c r="D765">
        <f>119.4</f>
        <v>119.4</v>
      </c>
      <c r="E765">
        <f>2195.88</f>
        <v>2195.88</v>
      </c>
      <c r="F765">
        <f>205.34</f>
        <v>205.34</v>
      </c>
      <c r="G765">
        <f>242.4116</f>
        <v>242.41159999999999</v>
      </c>
      <c r="H765">
        <f>227.43</f>
        <v>227.43</v>
      </c>
      <c r="I765">
        <f>542.2</f>
        <v>542.20000000000005</v>
      </c>
      <c r="J765">
        <f>2997.96</f>
        <v>2997.96</v>
      </c>
    </row>
    <row r="766" spans="1:10" x14ac:dyDescent="0.25">
      <c r="A766" s="1">
        <v>43721</v>
      </c>
      <c r="B766">
        <f>202.31</f>
        <v>202.31</v>
      </c>
      <c r="C766">
        <f>118.1248</f>
        <v>118.12479999999999</v>
      </c>
      <c r="D766">
        <f>121.99</f>
        <v>121.99</v>
      </c>
      <c r="E766">
        <f>2205.81</f>
        <v>2205.81</v>
      </c>
      <c r="F766">
        <f>199.56</f>
        <v>199.56</v>
      </c>
      <c r="G766">
        <f>245.0487</f>
        <v>245.0487</v>
      </c>
      <c r="H766">
        <f>226.66</f>
        <v>226.66</v>
      </c>
      <c r="I766">
        <f>541.92</f>
        <v>541.91999999999996</v>
      </c>
      <c r="J766">
        <f>3007.39</f>
        <v>3007.39</v>
      </c>
    </row>
    <row r="767" spans="1:10" x14ac:dyDescent="0.25">
      <c r="A767" s="1">
        <v>43720</v>
      </c>
      <c r="B767">
        <f>200.94</f>
        <v>200.94</v>
      </c>
      <c r="C767">
        <f>116.7716</f>
        <v>116.77160000000001</v>
      </c>
      <c r="D767">
        <f>120.46</f>
        <v>120.46</v>
      </c>
      <c r="E767">
        <f>2201.81</f>
        <v>2201.81</v>
      </c>
      <c r="F767">
        <f>198.21</f>
        <v>198.21</v>
      </c>
      <c r="G767">
        <f>247.136</f>
        <v>247.136</v>
      </c>
      <c r="H767">
        <f>227.67</f>
        <v>227.67</v>
      </c>
      <c r="I767">
        <f>539.19</f>
        <v>539.19000000000005</v>
      </c>
      <c r="J767">
        <f>3009.57</f>
        <v>3009.57</v>
      </c>
    </row>
    <row r="768" spans="1:10" x14ac:dyDescent="0.25">
      <c r="A768" s="1">
        <v>43719</v>
      </c>
      <c r="B768">
        <f>202.26</f>
        <v>202.26</v>
      </c>
      <c r="C768">
        <f>116.3362</f>
        <v>116.33620000000001</v>
      </c>
      <c r="D768">
        <f>119.08</f>
        <v>119.08</v>
      </c>
      <c r="E768">
        <f>2194.42</f>
        <v>2194.42</v>
      </c>
      <c r="F768">
        <f>199.51</f>
        <v>199.51</v>
      </c>
      <c r="G768">
        <f>246.0207</f>
        <v>246.02070000000001</v>
      </c>
      <c r="H768">
        <f>226.84</f>
        <v>226.84</v>
      </c>
      <c r="I768">
        <f>536.62</f>
        <v>536.62</v>
      </c>
      <c r="J768">
        <f>3000.93</f>
        <v>3000.93</v>
      </c>
    </row>
    <row r="769" spans="1:10" x14ac:dyDescent="0.25">
      <c r="A769" s="1">
        <v>43718</v>
      </c>
      <c r="B769">
        <f>202.27</f>
        <v>202.27</v>
      </c>
      <c r="C769">
        <f>115.5232</f>
        <v>115.5232</v>
      </c>
      <c r="D769">
        <f>117.88</f>
        <v>117.88</v>
      </c>
      <c r="E769">
        <f>2179.43</f>
        <v>2179.4299999999998</v>
      </c>
      <c r="F769">
        <f>199.78</f>
        <v>199.78</v>
      </c>
      <c r="G769">
        <f>244.9068</f>
        <v>244.9068</v>
      </c>
      <c r="H769">
        <f>226.67</f>
        <v>226.67</v>
      </c>
      <c r="I769">
        <f>530.45</f>
        <v>530.45000000000005</v>
      </c>
      <c r="J769">
        <f>2979.39</f>
        <v>2979.39</v>
      </c>
    </row>
    <row r="770" spans="1:10" x14ac:dyDescent="0.25">
      <c r="A770" s="1">
        <v>43717</v>
      </c>
      <c r="B770">
        <f>199.61</f>
        <v>199.61</v>
      </c>
      <c r="C770">
        <f>114.6681</f>
        <v>114.6681</v>
      </c>
      <c r="D770">
        <f>117.15</f>
        <v>117.15</v>
      </c>
      <c r="E770">
        <f>2178.41</f>
        <v>2178.41</v>
      </c>
      <c r="F770">
        <f>196.77</f>
        <v>196.77</v>
      </c>
      <c r="G770">
        <f>246.4531</f>
        <v>246.45310000000001</v>
      </c>
      <c r="H770">
        <f>229.11</f>
        <v>229.11</v>
      </c>
      <c r="I770">
        <f>529.13</f>
        <v>529.13</v>
      </c>
      <c r="J770">
        <f>2978.43</f>
        <v>2978.43</v>
      </c>
    </row>
    <row r="771" spans="1:10" x14ac:dyDescent="0.25">
      <c r="A771" s="1">
        <v>43714</v>
      </c>
      <c r="B771">
        <f>197.01</f>
        <v>197.01</v>
      </c>
      <c r="C771">
        <f>113.1456</f>
        <v>113.1456</v>
      </c>
      <c r="D771">
        <f>116.56</f>
        <v>116.56</v>
      </c>
      <c r="E771">
        <f>2178.9</f>
        <v>2178.9</v>
      </c>
      <c r="F771">
        <f>194.32</f>
        <v>194.32</v>
      </c>
      <c r="G771">
        <f>248.0231</f>
        <v>248.0231</v>
      </c>
      <c r="H771">
        <f>230.48</f>
        <v>230.48</v>
      </c>
      <c r="I771">
        <f>534.88</f>
        <v>534.88</v>
      </c>
      <c r="J771">
        <f>2978.71</f>
        <v>2978.71</v>
      </c>
    </row>
    <row r="772" spans="1:10" x14ac:dyDescent="0.25">
      <c r="A772" s="1">
        <v>43713</v>
      </c>
      <c r="B772">
        <f>196.73</f>
        <v>196.73</v>
      </c>
      <c r="C772">
        <f>112.78</f>
        <v>112.78</v>
      </c>
      <c r="D772">
        <f>116.16</f>
        <v>116.16</v>
      </c>
      <c r="E772">
        <f>2174.27</f>
        <v>2174.27</v>
      </c>
      <c r="F772">
        <f>194.26</f>
        <v>194.26</v>
      </c>
      <c r="G772">
        <f>247.05</f>
        <v>247.05</v>
      </c>
      <c r="H772">
        <f>230.13</f>
        <v>230.13</v>
      </c>
      <c r="I772">
        <f>530.97</f>
        <v>530.97</v>
      </c>
      <c r="J772">
        <f>2976</f>
        <v>2976</v>
      </c>
    </row>
    <row r="773" spans="1:10" x14ac:dyDescent="0.25">
      <c r="A773" s="1">
        <v>43712</v>
      </c>
      <c r="B773">
        <f>194.09</f>
        <v>194.09</v>
      </c>
      <c r="C773">
        <f>110.8386</f>
        <v>110.8386</v>
      </c>
      <c r="D773">
        <f>114.45</f>
        <v>114.45</v>
      </c>
      <c r="E773">
        <f>2149.8</f>
        <v>2149.8000000000002</v>
      </c>
      <c r="F773">
        <f>191.79</f>
        <v>191.79</v>
      </c>
      <c r="G773">
        <f>248.2203</f>
        <v>248.22030000000001</v>
      </c>
      <c r="H773">
        <f>232.05</f>
        <v>232.05</v>
      </c>
      <c r="I773">
        <f>526.71</f>
        <v>526.71</v>
      </c>
      <c r="J773">
        <f>2937.78</f>
        <v>2937.78</v>
      </c>
    </row>
    <row r="774" spans="1:10" x14ac:dyDescent="0.25">
      <c r="A774" s="1">
        <v>43711</v>
      </c>
      <c r="B774">
        <f>191.47</f>
        <v>191.47</v>
      </c>
      <c r="C774">
        <f>109.5125</f>
        <v>109.5125</v>
      </c>
      <c r="D774">
        <f>113.57</f>
        <v>113.57</v>
      </c>
      <c r="E774">
        <f>2126.92</f>
        <v>2126.92</v>
      </c>
      <c r="F774">
        <f>189.42</f>
        <v>189.42</v>
      </c>
      <c r="G774">
        <f>246.0387</f>
        <v>246.03870000000001</v>
      </c>
      <c r="H774">
        <f>229.06</f>
        <v>229.06</v>
      </c>
      <c r="I774">
        <f>520.34</f>
        <v>520.34</v>
      </c>
      <c r="J774">
        <f>2906.27</f>
        <v>2906.27</v>
      </c>
    </row>
    <row r="775" spans="1:10" x14ac:dyDescent="0.25">
      <c r="A775" s="1">
        <v>43710</v>
      </c>
      <c r="B775">
        <f>192.69</f>
        <v>192.69</v>
      </c>
      <c r="C775">
        <f>110.2672</f>
        <v>110.2672</v>
      </c>
      <c r="D775">
        <f>114.66</f>
        <v>114.66</v>
      </c>
      <c r="E775">
        <f>2136.58</f>
        <v>2136.58</v>
      </c>
      <c r="F775">
        <f>190.36</f>
        <v>190.36</v>
      </c>
      <c r="G775">
        <f>245.0204</f>
        <v>245.0204</v>
      </c>
      <c r="H775">
        <f>227.29</f>
        <v>227.29</v>
      </c>
      <c r="I775">
        <f>526.47</f>
        <v>526.47</v>
      </c>
      <c r="J775" t="e">
        <f>NA()</f>
        <v>#N/A</v>
      </c>
    </row>
    <row r="776" spans="1:10" x14ac:dyDescent="0.25">
      <c r="A776" s="1">
        <v>43707</v>
      </c>
      <c r="B776">
        <f>192.86</f>
        <v>192.86</v>
      </c>
      <c r="C776">
        <f>110.4212</f>
        <v>110.4212</v>
      </c>
      <c r="D776">
        <f>115</f>
        <v>115</v>
      </c>
      <c r="E776">
        <f>2138.52</f>
        <v>2138.52</v>
      </c>
      <c r="F776">
        <f>190.63</f>
        <v>190.63</v>
      </c>
      <c r="G776">
        <f>244.8649</f>
        <v>244.86490000000001</v>
      </c>
      <c r="H776">
        <f>228.12</f>
        <v>228.12</v>
      </c>
      <c r="I776">
        <f>526.34</f>
        <v>526.34</v>
      </c>
      <c r="J776">
        <f>2926.46</f>
        <v>2926.46</v>
      </c>
    </row>
    <row r="777" spans="1:10" x14ac:dyDescent="0.25">
      <c r="A777" s="1">
        <v>43706</v>
      </c>
      <c r="B777">
        <f>192.32</f>
        <v>192.32</v>
      </c>
      <c r="C777">
        <f>109.9458</f>
        <v>109.94580000000001</v>
      </c>
      <c r="D777">
        <f>114.27</f>
        <v>114.27</v>
      </c>
      <c r="E777">
        <f>2133.08</f>
        <v>2133.08</v>
      </c>
      <c r="F777">
        <f>190.63</f>
        <v>190.63</v>
      </c>
      <c r="G777">
        <f>244.6537</f>
        <v>244.65369999999999</v>
      </c>
      <c r="H777">
        <f>227.67</f>
        <v>227.67</v>
      </c>
      <c r="I777">
        <f>524.54</f>
        <v>524.54</v>
      </c>
      <c r="J777">
        <f>2924.58</f>
        <v>2924.58</v>
      </c>
    </row>
    <row r="778" spans="1:10" x14ac:dyDescent="0.25">
      <c r="A778" s="1">
        <v>43705</v>
      </c>
      <c r="B778">
        <f>189.89</f>
        <v>189.89</v>
      </c>
      <c r="C778">
        <f>108.7241</f>
        <v>108.72410000000001</v>
      </c>
      <c r="D778">
        <f>112.58</f>
        <v>112.58</v>
      </c>
      <c r="E778">
        <f>2111.92</f>
        <v>2111.92</v>
      </c>
      <c r="F778">
        <f>188.28</f>
        <v>188.28</v>
      </c>
      <c r="G778">
        <f>243.9303</f>
        <v>243.93029999999999</v>
      </c>
      <c r="H778">
        <f>227.09</f>
        <v>227.09</v>
      </c>
      <c r="I778">
        <f>516.72</f>
        <v>516.72</v>
      </c>
      <c r="J778">
        <f>2887.94</f>
        <v>2887.94</v>
      </c>
    </row>
    <row r="779" spans="1:10" x14ac:dyDescent="0.25">
      <c r="A779" s="1">
        <v>43704</v>
      </c>
      <c r="B779">
        <f>187.87</f>
        <v>187.87</v>
      </c>
      <c r="C779">
        <f>108.4623</f>
        <v>108.4623</v>
      </c>
      <c r="D779">
        <f>112.35</f>
        <v>112.35</v>
      </c>
      <c r="E779">
        <f>2104.85</f>
        <v>2104.85</v>
      </c>
      <c r="F779">
        <f>186</f>
        <v>186</v>
      </c>
      <c r="G779">
        <f>242.615</f>
        <v>242.61500000000001</v>
      </c>
      <c r="H779">
        <f>226.24</f>
        <v>226.24</v>
      </c>
      <c r="I779">
        <f>514.13</f>
        <v>514.13</v>
      </c>
      <c r="J779">
        <f>2869.16</f>
        <v>2869.16</v>
      </c>
    </row>
    <row r="780" spans="1:10" x14ac:dyDescent="0.25">
      <c r="A780" s="1">
        <v>43703</v>
      </c>
      <c r="B780">
        <f>188.31</f>
        <v>188.31</v>
      </c>
      <c r="C780">
        <f>108.8621</f>
        <v>108.8621</v>
      </c>
      <c r="D780">
        <f>112.54</f>
        <v>112.54</v>
      </c>
      <c r="E780">
        <f>2105.22</f>
        <v>2105.2199999999998</v>
      </c>
      <c r="F780">
        <f>186.46</f>
        <v>186.46</v>
      </c>
      <c r="G780">
        <f>242.2114</f>
        <v>242.2114</v>
      </c>
      <c r="H780">
        <f>226.58</f>
        <v>226.58</v>
      </c>
      <c r="I780">
        <f>517.32</f>
        <v>517.32000000000005</v>
      </c>
      <c r="J780">
        <f>2878.38</f>
        <v>2878.38</v>
      </c>
    </row>
    <row r="781" spans="1:10" x14ac:dyDescent="0.25">
      <c r="A781" s="1">
        <v>43700</v>
      </c>
      <c r="B781">
        <f>188.62</f>
        <v>188.62</v>
      </c>
      <c r="C781">
        <f>108.4652</f>
        <v>108.4652</v>
      </c>
      <c r="D781">
        <f>112.68</f>
        <v>112.68</v>
      </c>
      <c r="E781">
        <f>2094.63</f>
        <v>2094.63</v>
      </c>
      <c r="F781">
        <f>186.14</f>
        <v>186.14</v>
      </c>
      <c r="G781">
        <f>240.8704</f>
        <v>240.87039999999999</v>
      </c>
      <c r="H781">
        <f>225.97</f>
        <v>225.97</v>
      </c>
      <c r="I781">
        <f>513.63</f>
        <v>513.63</v>
      </c>
      <c r="J781">
        <f>2847.11</f>
        <v>2847.11</v>
      </c>
    </row>
    <row r="782" spans="1:10" x14ac:dyDescent="0.25">
      <c r="A782" s="1">
        <v>43699</v>
      </c>
      <c r="B782">
        <f>192.68</f>
        <v>192.68</v>
      </c>
      <c r="C782">
        <f>110.1874</f>
        <v>110.1874</v>
      </c>
      <c r="D782">
        <f>114.23</f>
        <v>114.23</v>
      </c>
      <c r="E782">
        <f>2131.68</f>
        <v>2131.6799999999998</v>
      </c>
      <c r="F782">
        <f>190.65</f>
        <v>190.65</v>
      </c>
      <c r="G782">
        <f>243.0025</f>
        <v>243.0025</v>
      </c>
      <c r="H782">
        <f>227.35</f>
        <v>227.35</v>
      </c>
      <c r="I782">
        <f>521.59</f>
        <v>521.59</v>
      </c>
      <c r="J782">
        <f>2922.95</f>
        <v>2922.95</v>
      </c>
    </row>
    <row r="783" spans="1:10" x14ac:dyDescent="0.25">
      <c r="A783" s="1">
        <v>43698</v>
      </c>
      <c r="B783">
        <f>193.7</f>
        <v>193.7</v>
      </c>
      <c r="C783">
        <f>109.7933</f>
        <v>109.7933</v>
      </c>
      <c r="D783">
        <f>113.96</f>
        <v>113.96</v>
      </c>
      <c r="E783">
        <f>2135.52</f>
        <v>2135.52</v>
      </c>
      <c r="F783">
        <f>191.6</f>
        <v>191.6</v>
      </c>
      <c r="G783">
        <f>243.1332</f>
        <v>243.13319999999999</v>
      </c>
      <c r="H783">
        <f>227.26</f>
        <v>227.26</v>
      </c>
      <c r="I783">
        <f>518.42</f>
        <v>518.41999999999996</v>
      </c>
      <c r="J783">
        <f>2924.43</f>
        <v>2924.43</v>
      </c>
    </row>
    <row r="784" spans="1:10" x14ac:dyDescent="0.25">
      <c r="A784" s="1">
        <v>43697</v>
      </c>
      <c r="B784">
        <f>191.82</f>
        <v>191.82</v>
      </c>
      <c r="C784">
        <f>109.3988</f>
        <v>109.39879999999999</v>
      </c>
      <c r="D784">
        <f>113.57</f>
        <v>113.57</v>
      </c>
      <c r="E784">
        <f>2119.57</f>
        <v>2119.5700000000002</v>
      </c>
      <c r="F784">
        <f>189.52</f>
        <v>189.52</v>
      </c>
      <c r="G784">
        <f>241.8966</f>
        <v>241.89660000000001</v>
      </c>
      <c r="H784">
        <f>226.62</f>
        <v>226.62</v>
      </c>
      <c r="I784">
        <f>512.42</f>
        <v>512.41999999999996</v>
      </c>
      <c r="J784">
        <f>2900.51</f>
        <v>2900.51</v>
      </c>
    </row>
    <row r="785" spans="1:10" x14ac:dyDescent="0.25">
      <c r="A785" s="1">
        <v>43696</v>
      </c>
      <c r="B785">
        <f>193.36</f>
        <v>193.36</v>
      </c>
      <c r="C785">
        <f>110.4609</f>
        <v>110.4609</v>
      </c>
      <c r="D785">
        <f>114.45</f>
        <v>114.45</v>
      </c>
      <c r="E785">
        <f>2131.81</f>
        <v>2131.81</v>
      </c>
      <c r="F785">
        <f>191.46</f>
        <v>191.46</v>
      </c>
      <c r="G785">
        <f>243.8707</f>
        <v>243.8707</v>
      </c>
      <c r="H785">
        <f>227.55</f>
        <v>227.55</v>
      </c>
      <c r="I785">
        <f>511.62</f>
        <v>511.62</v>
      </c>
      <c r="J785">
        <f>2923.65</f>
        <v>2923.65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2065-86B7-4339-BCB0-85216C72C4C4}">
  <dimension ref="A1:H785"/>
  <sheetViews>
    <sheetView workbookViewId="0">
      <selection activeCell="C6" sqref="C6"/>
    </sheetView>
  </sheetViews>
  <sheetFormatPr defaultRowHeight="15" x14ac:dyDescent="0.25"/>
  <cols>
    <col min="1" max="1" width="16" bestFit="1" customWidth="1"/>
    <col min="2" max="8" width="9.140625" bestFit="1" customWidth="1"/>
  </cols>
  <sheetData>
    <row r="1" spans="1:8" x14ac:dyDescent="0.25">
      <c r="A1" t="s">
        <v>0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</row>
    <row r="2" spans="1:8" x14ac:dyDescent="0.25">
      <c r="C2" t="s">
        <v>30</v>
      </c>
      <c r="D2" t="s">
        <v>29</v>
      </c>
      <c r="E2" t="s">
        <v>28</v>
      </c>
      <c r="F2" t="s">
        <v>27</v>
      </c>
      <c r="G2" t="s">
        <v>26</v>
      </c>
      <c r="H2" t="s">
        <v>25</v>
      </c>
    </row>
    <row r="3" spans="1:8" x14ac:dyDescent="0.25">
      <c r="A3" s="1">
        <v>44790</v>
      </c>
      <c r="C3">
        <f>36.8969</f>
        <v>36.896900000000002</v>
      </c>
      <c r="D3">
        <f>0.9814</f>
        <v>0.98140000000000005</v>
      </c>
      <c r="E3">
        <f>134.98</f>
        <v>134.97999999999999</v>
      </c>
      <c r="F3">
        <f>1.2892</f>
        <v>1.2891999999999999</v>
      </c>
      <c r="G3">
        <f>17.9527</f>
        <v>17.9527</v>
      </c>
      <c r="H3">
        <f>0.8283</f>
        <v>0.82830000000000004</v>
      </c>
    </row>
    <row r="4" spans="1:8" x14ac:dyDescent="0.25">
      <c r="A4" s="1">
        <v>44789</v>
      </c>
      <c r="C4">
        <f>36.7876</f>
        <v>36.787599999999998</v>
      </c>
      <c r="D4">
        <f>0.9832</f>
        <v>0.98319999999999996</v>
      </c>
      <c r="E4">
        <f>134.22</f>
        <v>134.22</v>
      </c>
      <c r="F4">
        <f>1.2845</f>
        <v>1.2845</v>
      </c>
      <c r="G4">
        <f>17.9322</f>
        <v>17.932200000000002</v>
      </c>
      <c r="H4">
        <f>0.8268</f>
        <v>0.82679999999999998</v>
      </c>
    </row>
    <row r="5" spans="1:8" x14ac:dyDescent="0.25">
      <c r="A5" s="1">
        <v>44788</v>
      </c>
      <c r="C5">
        <f>36.592</f>
        <v>36.591999999999999</v>
      </c>
      <c r="D5">
        <f>0.9842</f>
        <v>0.98419999999999996</v>
      </c>
      <c r="E5">
        <f>133.32</f>
        <v>133.32</v>
      </c>
      <c r="F5">
        <f>1.2906</f>
        <v>1.2906</v>
      </c>
      <c r="G5">
        <f>17.954</f>
        <v>17.954000000000001</v>
      </c>
      <c r="H5">
        <f>0.8296</f>
        <v>0.8296</v>
      </c>
    </row>
    <row r="6" spans="1:8" x14ac:dyDescent="0.25">
      <c r="A6" s="1">
        <v>44785</v>
      </c>
      <c r="C6">
        <f>36.5921</f>
        <v>36.592100000000002</v>
      </c>
      <c r="D6">
        <f>0.9747</f>
        <v>0.97470000000000001</v>
      </c>
      <c r="E6">
        <f>133.42</f>
        <v>133.41999999999999</v>
      </c>
      <c r="F6">
        <f>1.2782</f>
        <v>1.2782</v>
      </c>
      <c r="G6">
        <f>17.9469</f>
        <v>17.946899999999999</v>
      </c>
      <c r="H6">
        <f>0.8239</f>
        <v>0.82389999999999997</v>
      </c>
    </row>
    <row r="7" spans="1:8" x14ac:dyDescent="0.25">
      <c r="A7" s="1">
        <v>44784</v>
      </c>
      <c r="C7">
        <f>36.592</f>
        <v>36.591999999999999</v>
      </c>
      <c r="D7">
        <f>0.969</f>
        <v>0.96899999999999997</v>
      </c>
      <c r="E7">
        <f>133.02</f>
        <v>133.02000000000001</v>
      </c>
      <c r="F7">
        <f>1.2764</f>
        <v>1.2764</v>
      </c>
      <c r="G7">
        <f>17.9468</f>
        <v>17.9468</v>
      </c>
      <c r="H7">
        <f>0.8193</f>
        <v>0.81930000000000003</v>
      </c>
    </row>
    <row r="8" spans="1:8" x14ac:dyDescent="0.25">
      <c r="A8" s="1">
        <v>44783</v>
      </c>
      <c r="C8">
        <f>36.5921</f>
        <v>36.592100000000002</v>
      </c>
      <c r="D8">
        <f>0.9709</f>
        <v>0.97089999999999999</v>
      </c>
      <c r="E8">
        <f>132.89</f>
        <v>132.88999999999999</v>
      </c>
      <c r="F8">
        <f>1.2776</f>
        <v>1.2776000000000001</v>
      </c>
      <c r="G8">
        <f>17.848</f>
        <v>17.847999999999999</v>
      </c>
      <c r="H8">
        <f>0.8184</f>
        <v>0.81840000000000002</v>
      </c>
    </row>
    <row r="9" spans="1:8" x14ac:dyDescent="0.25">
      <c r="A9" s="1">
        <v>44782</v>
      </c>
      <c r="C9">
        <f>36.7273</f>
        <v>36.7273</v>
      </c>
      <c r="D9">
        <f>0.9791</f>
        <v>0.97909999999999997</v>
      </c>
      <c r="E9">
        <f>135.05</f>
        <v>135.05000000000001</v>
      </c>
      <c r="F9">
        <f>1.2889</f>
        <v>1.2888999999999999</v>
      </c>
      <c r="G9">
        <f>17.8939</f>
        <v>17.893899999999999</v>
      </c>
      <c r="H9">
        <f>0.8278</f>
        <v>0.82779999999999998</v>
      </c>
    </row>
    <row r="10" spans="1:8" x14ac:dyDescent="0.25">
      <c r="A10" s="1">
        <v>44781</v>
      </c>
      <c r="C10">
        <f>36.5921</f>
        <v>36.592100000000002</v>
      </c>
      <c r="D10">
        <f>0.9807</f>
        <v>0.98070000000000002</v>
      </c>
      <c r="E10">
        <f>134.95</f>
        <v>134.94999999999999</v>
      </c>
      <c r="F10">
        <f>1.2854</f>
        <v>1.2854000000000001</v>
      </c>
      <c r="G10">
        <f>17.9351</f>
        <v>17.935099999999998</v>
      </c>
      <c r="H10">
        <f>0.8277</f>
        <v>0.82769999999999999</v>
      </c>
    </row>
    <row r="11" spans="1:8" x14ac:dyDescent="0.25">
      <c r="A11" s="1">
        <v>44778</v>
      </c>
      <c r="C11">
        <f>36.9296</f>
        <v>36.929600000000001</v>
      </c>
      <c r="D11">
        <f>0.982</f>
        <v>0.98199999999999998</v>
      </c>
      <c r="E11">
        <f>135.01</f>
        <v>135.01</v>
      </c>
      <c r="F11">
        <f>1.2932</f>
        <v>1.2931999999999999</v>
      </c>
      <c r="G11">
        <f>17.9199</f>
        <v>17.919899999999998</v>
      </c>
      <c r="H11">
        <f>0.8283</f>
        <v>0.82830000000000004</v>
      </c>
    </row>
    <row r="12" spans="1:8" x14ac:dyDescent="0.25">
      <c r="A12" s="1">
        <v>44777</v>
      </c>
      <c r="C12">
        <f>36.5921</f>
        <v>36.592100000000002</v>
      </c>
      <c r="D12">
        <f>0.976</f>
        <v>0.97599999999999998</v>
      </c>
      <c r="E12">
        <f>132.89</f>
        <v>132.88999999999999</v>
      </c>
      <c r="F12">
        <f>1.2865</f>
        <v>1.2865</v>
      </c>
      <c r="G12">
        <f>17.92</f>
        <v>17.920000000000002</v>
      </c>
      <c r="H12">
        <f>0.8224</f>
        <v>0.82240000000000002</v>
      </c>
    </row>
    <row r="13" spans="1:8" x14ac:dyDescent="0.25">
      <c r="A13" s="1">
        <v>44776</v>
      </c>
      <c r="C13">
        <f>36.592</f>
        <v>36.591999999999999</v>
      </c>
      <c r="D13">
        <f>0.9836</f>
        <v>0.98360000000000003</v>
      </c>
      <c r="E13">
        <f>133.86</f>
        <v>133.86000000000001</v>
      </c>
      <c r="F13">
        <f>1.2843</f>
        <v>1.2843</v>
      </c>
      <c r="G13">
        <f>17.9361</f>
        <v>17.9361</v>
      </c>
      <c r="H13">
        <f>0.8231</f>
        <v>0.82310000000000005</v>
      </c>
    </row>
    <row r="14" spans="1:8" x14ac:dyDescent="0.25">
      <c r="A14" s="1">
        <v>44775</v>
      </c>
      <c r="C14">
        <f>36.5921</f>
        <v>36.592100000000002</v>
      </c>
      <c r="D14">
        <f>0.9836</f>
        <v>0.98360000000000003</v>
      </c>
      <c r="E14">
        <f>133.17</f>
        <v>133.16999999999999</v>
      </c>
      <c r="F14">
        <f>1.2881</f>
        <v>1.2881</v>
      </c>
      <c r="G14">
        <f>17.9472</f>
        <v>17.947199999999999</v>
      </c>
      <c r="H14">
        <f>0.8217</f>
        <v>0.82169999999999999</v>
      </c>
    </row>
    <row r="15" spans="1:8" x14ac:dyDescent="0.25">
      <c r="A15" s="1">
        <v>44774</v>
      </c>
      <c r="C15">
        <f>36.5921</f>
        <v>36.592100000000002</v>
      </c>
      <c r="D15">
        <f>0.9744</f>
        <v>0.97440000000000004</v>
      </c>
      <c r="E15">
        <f>131.61</f>
        <v>131.61000000000001</v>
      </c>
      <c r="F15">
        <f>1.2844</f>
        <v>1.2844</v>
      </c>
      <c r="G15">
        <f>17.8969</f>
        <v>17.896899999999999</v>
      </c>
      <c r="H15">
        <f>0.8163</f>
        <v>0.81630000000000003</v>
      </c>
    </row>
    <row r="16" spans="1:8" x14ac:dyDescent="0.25">
      <c r="A16" s="1">
        <v>44771</v>
      </c>
      <c r="C16">
        <f>36.592</f>
        <v>36.591999999999999</v>
      </c>
      <c r="D16">
        <f>0.9785</f>
        <v>0.97850000000000004</v>
      </c>
      <c r="E16">
        <f>133.27</f>
        <v>133.27000000000001</v>
      </c>
      <c r="F16">
        <f>1.2795</f>
        <v>1.2795000000000001</v>
      </c>
      <c r="G16">
        <f>17.9196</f>
        <v>17.919599999999999</v>
      </c>
      <c r="H16">
        <f>0.8216</f>
        <v>0.8216</v>
      </c>
    </row>
    <row r="17" spans="1:8" x14ac:dyDescent="0.25">
      <c r="A17" s="1">
        <v>44770</v>
      </c>
      <c r="C17">
        <f>36.831</f>
        <v>36.831000000000003</v>
      </c>
      <c r="D17">
        <f>0.9806</f>
        <v>0.98060000000000003</v>
      </c>
      <c r="E17">
        <f>134.27</f>
        <v>134.27000000000001</v>
      </c>
      <c r="F17">
        <f>1.2807</f>
        <v>1.2806999999999999</v>
      </c>
      <c r="G17">
        <f>17.9243</f>
        <v>17.924299999999999</v>
      </c>
      <c r="H17">
        <f>0.821</f>
        <v>0.82099999999999995</v>
      </c>
    </row>
    <row r="18" spans="1:8" x14ac:dyDescent="0.25">
      <c r="A18" s="1">
        <v>44769</v>
      </c>
      <c r="C18">
        <f>36.8922</f>
        <v>36.892200000000003</v>
      </c>
      <c r="D18">
        <f>0.9804</f>
        <v>0.98040000000000005</v>
      </c>
      <c r="E18">
        <f>136.57</f>
        <v>136.57</v>
      </c>
      <c r="F18">
        <f>1.2825</f>
        <v>1.2825</v>
      </c>
      <c r="G18">
        <f>17.885</f>
        <v>17.885000000000002</v>
      </c>
      <c r="H18">
        <f>0.8225</f>
        <v>0.82250000000000001</v>
      </c>
    </row>
    <row r="19" spans="1:8" x14ac:dyDescent="0.25">
      <c r="A19" s="1">
        <v>44768</v>
      </c>
      <c r="C19">
        <f>36.8388</f>
        <v>36.838799999999999</v>
      </c>
      <c r="D19">
        <f>0.9885</f>
        <v>0.98850000000000005</v>
      </c>
      <c r="E19">
        <f>136.91</f>
        <v>136.91</v>
      </c>
      <c r="F19">
        <f>1.2887</f>
        <v>1.2887</v>
      </c>
      <c r="G19">
        <f>17.8559</f>
        <v>17.855899999999998</v>
      </c>
      <c r="H19">
        <f>0.8314</f>
        <v>0.83140000000000003</v>
      </c>
    </row>
    <row r="20" spans="1:8" x14ac:dyDescent="0.25">
      <c r="A20" s="1">
        <v>44767</v>
      </c>
      <c r="C20">
        <f>36.6096</f>
        <v>36.6096</v>
      </c>
      <c r="D20">
        <f>0.9785</f>
        <v>0.97850000000000004</v>
      </c>
      <c r="E20">
        <f>136.69</f>
        <v>136.69</v>
      </c>
      <c r="F20">
        <f>1.2846</f>
        <v>1.2846</v>
      </c>
      <c r="G20">
        <f>17.8005</f>
        <v>17.8005</v>
      </c>
      <c r="H20">
        <f>0.8303</f>
        <v>0.83030000000000004</v>
      </c>
    </row>
    <row r="21" spans="1:8" x14ac:dyDescent="0.25">
      <c r="A21" s="1">
        <v>44764</v>
      </c>
      <c r="C21">
        <f>36.7514</f>
        <v>36.751399999999997</v>
      </c>
      <c r="D21">
        <f>0.9792</f>
        <v>0.97919999999999996</v>
      </c>
      <c r="E21">
        <f>136.12</f>
        <v>136.12</v>
      </c>
      <c r="F21">
        <f>1.2916</f>
        <v>1.2916000000000001</v>
      </c>
      <c r="G21">
        <f>17.7308</f>
        <v>17.730799999999999</v>
      </c>
      <c r="H21">
        <f>0.8334</f>
        <v>0.83340000000000003</v>
      </c>
    </row>
    <row r="22" spans="1:8" x14ac:dyDescent="0.25">
      <c r="A22" s="1">
        <v>44763</v>
      </c>
      <c r="C22">
        <f>36.75</f>
        <v>36.75</v>
      </c>
      <c r="D22">
        <f>0.9776</f>
        <v>0.97760000000000002</v>
      </c>
      <c r="E22">
        <f>137.36</f>
        <v>137.36000000000001</v>
      </c>
      <c r="F22">
        <f>1.2868</f>
        <v>1.2867999999999999</v>
      </c>
      <c r="G22">
        <f>17.698</f>
        <v>17.698</v>
      </c>
      <c r="H22">
        <f>0.8337</f>
        <v>0.8337</v>
      </c>
    </row>
    <row r="23" spans="1:8" x14ac:dyDescent="0.25">
      <c r="A23" s="1">
        <v>44762</v>
      </c>
      <c r="C23">
        <f>29.4225</f>
        <v>29.422499999999999</v>
      </c>
      <c r="D23">
        <f>0.9823</f>
        <v>0.98229999999999995</v>
      </c>
      <c r="E23">
        <f>138.21</f>
        <v>138.21</v>
      </c>
      <c r="F23">
        <f>1.2884</f>
        <v>1.2884</v>
      </c>
      <c r="G23">
        <f>17.6025</f>
        <v>17.602499999999999</v>
      </c>
      <c r="H23">
        <f>0.8352</f>
        <v>0.83520000000000005</v>
      </c>
    </row>
    <row r="24" spans="1:8" x14ac:dyDescent="0.25">
      <c r="A24" s="1">
        <v>44761</v>
      </c>
      <c r="C24">
        <f>29.4025</f>
        <v>29.4025</v>
      </c>
      <c r="D24">
        <f>0.9778</f>
        <v>0.9778</v>
      </c>
      <c r="E24">
        <f>138.19</f>
        <v>138.19</v>
      </c>
      <c r="F24">
        <f>1.287</f>
        <v>1.2869999999999999</v>
      </c>
      <c r="G24">
        <f>17.5586</f>
        <v>17.558599999999998</v>
      </c>
      <c r="H24">
        <f>0.8337</f>
        <v>0.8337</v>
      </c>
    </row>
    <row r="25" spans="1:8" x14ac:dyDescent="0.25">
      <c r="A25" s="1">
        <v>44760</v>
      </c>
      <c r="C25">
        <f>29.5486</f>
        <v>29.5486</v>
      </c>
      <c r="D25">
        <f>0.9858</f>
        <v>0.98580000000000001</v>
      </c>
      <c r="E25">
        <f>138.14</f>
        <v>138.13999999999999</v>
      </c>
      <c r="F25">
        <f>1.2977</f>
        <v>1.2977000000000001</v>
      </c>
      <c r="G25">
        <f>17.4618</f>
        <v>17.4618</v>
      </c>
      <c r="H25">
        <f>0.8366</f>
        <v>0.83660000000000001</v>
      </c>
    </row>
    <row r="26" spans="1:8" x14ac:dyDescent="0.25">
      <c r="A26" s="1">
        <v>44757</v>
      </c>
      <c r="C26">
        <f>29.4025</f>
        <v>29.4025</v>
      </c>
      <c r="D26">
        <f>0.9913</f>
        <v>0.99129999999999996</v>
      </c>
      <c r="E26">
        <f>138.57</f>
        <v>138.57</v>
      </c>
      <c r="F26">
        <f>1.3032</f>
        <v>1.3031999999999999</v>
      </c>
      <c r="G26">
        <f>17.3624</f>
        <v>17.362400000000001</v>
      </c>
      <c r="H26">
        <f>0.8426</f>
        <v>0.84260000000000002</v>
      </c>
    </row>
    <row r="27" spans="1:8" x14ac:dyDescent="0.25">
      <c r="A27" s="1">
        <v>44756</v>
      </c>
      <c r="C27">
        <f>29.4637</f>
        <v>29.463699999999999</v>
      </c>
      <c r="D27">
        <f>0.998</f>
        <v>0.998</v>
      </c>
      <c r="E27">
        <f>138.96</f>
        <v>138.96</v>
      </c>
      <c r="F27">
        <f>1.3118</f>
        <v>1.3118000000000001</v>
      </c>
      <c r="G27">
        <f>17.44</f>
        <v>17.440000000000001</v>
      </c>
      <c r="H27">
        <f>0.8457</f>
        <v>0.84570000000000001</v>
      </c>
    </row>
    <row r="28" spans="1:8" x14ac:dyDescent="0.25">
      <c r="A28" s="1">
        <v>44755</v>
      </c>
      <c r="C28">
        <f>29.4025</f>
        <v>29.4025</v>
      </c>
      <c r="D28">
        <f>0.9943</f>
        <v>0.99429999999999996</v>
      </c>
      <c r="E28">
        <f>137.39</f>
        <v>137.38999999999999</v>
      </c>
      <c r="F28">
        <f>1.2974</f>
        <v>1.2974000000000001</v>
      </c>
      <c r="G28">
        <f>17.4251</f>
        <v>17.4251</v>
      </c>
      <c r="H28">
        <f>0.841</f>
        <v>0.84099999999999997</v>
      </c>
    </row>
    <row r="29" spans="1:8" x14ac:dyDescent="0.25">
      <c r="A29" s="1">
        <v>44754</v>
      </c>
      <c r="C29">
        <f>29.4831</f>
        <v>29.4831</v>
      </c>
      <c r="D29">
        <f>0.9964</f>
        <v>0.99639999999999995</v>
      </c>
      <c r="E29">
        <f>136.87</f>
        <v>136.87</v>
      </c>
      <c r="F29">
        <f>1.3022</f>
        <v>1.3022</v>
      </c>
      <c r="G29">
        <f>17.3126</f>
        <v>17.3126</v>
      </c>
      <c r="H29">
        <f>0.8411</f>
        <v>0.84109999999999996</v>
      </c>
    </row>
    <row r="30" spans="1:8" x14ac:dyDescent="0.25">
      <c r="A30" s="1">
        <v>44753</v>
      </c>
      <c r="C30">
        <f>29.4025</f>
        <v>29.4025</v>
      </c>
      <c r="D30">
        <f>0.996</f>
        <v>0.996</v>
      </c>
      <c r="E30">
        <f>137.44</f>
        <v>137.44</v>
      </c>
      <c r="F30">
        <f>1.3007</f>
        <v>1.3007</v>
      </c>
      <c r="G30">
        <f>17.377</f>
        <v>17.376999999999999</v>
      </c>
      <c r="H30">
        <f>0.8409</f>
        <v>0.84089999999999998</v>
      </c>
    </row>
    <row r="31" spans="1:8" x14ac:dyDescent="0.25">
      <c r="A31" s="1">
        <v>44750</v>
      </c>
      <c r="C31">
        <f>29.5465</f>
        <v>29.546500000000002</v>
      </c>
      <c r="D31">
        <f>0.9817</f>
        <v>0.98170000000000002</v>
      </c>
      <c r="E31">
        <f>136.1</f>
        <v>136.1</v>
      </c>
      <c r="F31">
        <f>1.2947</f>
        <v>1.2947</v>
      </c>
      <c r="G31">
        <f>17.2592</f>
        <v>17.2592</v>
      </c>
      <c r="H31">
        <f>0.8309</f>
        <v>0.83089999999999997</v>
      </c>
    </row>
    <row r="32" spans="1:8" x14ac:dyDescent="0.25">
      <c r="A32" s="1">
        <v>44749</v>
      </c>
      <c r="C32">
        <f>29.548</f>
        <v>29.547999999999998</v>
      </c>
      <c r="D32">
        <f>0.9842</f>
        <v>0.98419999999999996</v>
      </c>
      <c r="E32">
        <f>136.01</f>
        <v>136.01</v>
      </c>
      <c r="F32">
        <f>1.2968</f>
        <v>1.2968</v>
      </c>
      <c r="G32">
        <f>17.2662</f>
        <v>17.266200000000001</v>
      </c>
      <c r="H32">
        <f>0.8316</f>
        <v>0.83160000000000001</v>
      </c>
    </row>
    <row r="33" spans="1:8" x14ac:dyDescent="0.25">
      <c r="A33" s="1">
        <v>44748</v>
      </c>
      <c r="C33">
        <f>29.4831</f>
        <v>29.4831</v>
      </c>
      <c r="D33">
        <f>0.9821</f>
        <v>0.98209999999999997</v>
      </c>
      <c r="E33">
        <f>135.95</f>
        <v>135.94999999999999</v>
      </c>
      <c r="F33">
        <f>1.3042</f>
        <v>1.3042</v>
      </c>
      <c r="G33">
        <f>17.2242</f>
        <v>17.2242</v>
      </c>
      <c r="H33">
        <f>0.8386</f>
        <v>0.83860000000000001</v>
      </c>
    </row>
    <row r="34" spans="1:8" x14ac:dyDescent="0.25">
      <c r="A34" s="1">
        <v>44747</v>
      </c>
      <c r="C34">
        <f>29.5475</f>
        <v>29.547499999999999</v>
      </c>
      <c r="D34">
        <f>0.9742</f>
        <v>0.97419999999999995</v>
      </c>
      <c r="E34">
        <f>135.85</f>
        <v>135.85</v>
      </c>
      <c r="F34">
        <f>1.3033</f>
        <v>1.3032999999999999</v>
      </c>
      <c r="G34">
        <f>17.0054</f>
        <v>17.005400000000002</v>
      </c>
      <c r="H34">
        <f>0.8363</f>
        <v>0.83630000000000004</v>
      </c>
    </row>
    <row r="35" spans="1:8" x14ac:dyDescent="0.25">
      <c r="A35" s="1">
        <v>44746</v>
      </c>
      <c r="C35">
        <f>29.4025</f>
        <v>29.4025</v>
      </c>
      <c r="D35">
        <f>0.9594</f>
        <v>0.95940000000000003</v>
      </c>
      <c r="E35">
        <f>135.62</f>
        <v>135.62</v>
      </c>
      <c r="F35">
        <f>1.2861</f>
        <v>1.2861</v>
      </c>
      <c r="G35">
        <f>16.8113</f>
        <v>16.811299999999999</v>
      </c>
      <c r="H35">
        <f>0.8262</f>
        <v>0.82620000000000005</v>
      </c>
    </row>
    <row r="36" spans="1:8" x14ac:dyDescent="0.25">
      <c r="A36" s="1">
        <v>44743</v>
      </c>
      <c r="C36">
        <f>29.4025</f>
        <v>29.4025</v>
      </c>
      <c r="D36">
        <f>0.959</f>
        <v>0.95899999999999996</v>
      </c>
      <c r="E36">
        <f>135.21</f>
        <v>135.21</v>
      </c>
      <c r="F36">
        <f>1.2899</f>
        <v>1.2899</v>
      </c>
      <c r="G36">
        <f>16.7495</f>
        <v>16.749500000000001</v>
      </c>
      <c r="H36">
        <f>0.8265</f>
        <v>0.82650000000000001</v>
      </c>
    </row>
    <row r="37" spans="1:8" x14ac:dyDescent="0.25">
      <c r="A37" s="1">
        <v>44742</v>
      </c>
      <c r="C37">
        <f>29.4025</f>
        <v>29.4025</v>
      </c>
      <c r="D37">
        <f>0.9539</f>
        <v>0.95389999999999997</v>
      </c>
      <c r="E37">
        <f>135.72</f>
        <v>135.72</v>
      </c>
      <c r="F37">
        <f>1.2873</f>
        <v>1.2873000000000001</v>
      </c>
      <c r="G37">
        <f>16.6985</f>
        <v>16.698499999999999</v>
      </c>
      <c r="H37">
        <f>0.8211</f>
        <v>0.82110000000000005</v>
      </c>
    </row>
    <row r="38" spans="1:8" x14ac:dyDescent="0.25">
      <c r="A38" s="1">
        <v>44741</v>
      </c>
      <c r="C38">
        <f>29.545</f>
        <v>29.545000000000002</v>
      </c>
      <c r="D38">
        <f>0.9577</f>
        <v>0.9577</v>
      </c>
      <c r="E38">
        <f>136.59</f>
        <v>136.59</v>
      </c>
      <c r="F38">
        <f>1.2893</f>
        <v>1.2892999999999999</v>
      </c>
      <c r="G38">
        <f>16.633</f>
        <v>16.632999999999999</v>
      </c>
      <c r="H38">
        <f>0.825</f>
        <v>0.82499999999999996</v>
      </c>
    </row>
    <row r="39" spans="1:8" x14ac:dyDescent="0.25">
      <c r="A39" s="1">
        <v>44740</v>
      </c>
      <c r="C39">
        <f>29.65</f>
        <v>29.65</v>
      </c>
      <c r="D39">
        <f>0.9505</f>
        <v>0.95050000000000001</v>
      </c>
      <c r="E39">
        <f>136.14</f>
        <v>136.13999999999999</v>
      </c>
      <c r="F39">
        <f>1.2875</f>
        <v>1.2875000000000001</v>
      </c>
      <c r="G39">
        <f>16.6725</f>
        <v>16.672499999999999</v>
      </c>
      <c r="H39">
        <f>0.8207</f>
        <v>0.82069999999999999</v>
      </c>
    </row>
    <row r="40" spans="1:8" x14ac:dyDescent="0.25">
      <c r="A40" s="1">
        <v>44739</v>
      </c>
      <c r="C40">
        <f>29.65</f>
        <v>29.65</v>
      </c>
      <c r="D40">
        <f>0.945</f>
        <v>0.94499999999999995</v>
      </c>
      <c r="E40">
        <f>135.46</f>
        <v>135.46</v>
      </c>
      <c r="F40">
        <f>1.2877</f>
        <v>1.2877000000000001</v>
      </c>
      <c r="G40">
        <f>16.5573</f>
        <v>16.557300000000001</v>
      </c>
      <c r="H40">
        <f>0.8152</f>
        <v>0.81520000000000004</v>
      </c>
    </row>
    <row r="41" spans="1:8" x14ac:dyDescent="0.25">
      <c r="A41" s="1">
        <v>44736</v>
      </c>
      <c r="C41">
        <f>29.5275</f>
        <v>29.5275</v>
      </c>
      <c r="D41">
        <f>0.9474</f>
        <v>0.94740000000000002</v>
      </c>
      <c r="E41">
        <f>135.23</f>
        <v>135.22999999999999</v>
      </c>
      <c r="F41">
        <f>1.2891</f>
        <v>1.2890999999999999</v>
      </c>
      <c r="G41">
        <f>16.9258</f>
        <v>16.925799999999999</v>
      </c>
      <c r="H41">
        <f>0.8147</f>
        <v>0.81469999999999998</v>
      </c>
    </row>
    <row r="42" spans="1:8" x14ac:dyDescent="0.25">
      <c r="A42" s="1">
        <v>44735</v>
      </c>
      <c r="C42">
        <f>29.538</f>
        <v>29.538</v>
      </c>
      <c r="D42">
        <f>0.9504</f>
        <v>0.95040000000000002</v>
      </c>
      <c r="E42">
        <f>134.95</f>
        <v>134.94999999999999</v>
      </c>
      <c r="F42">
        <f>1.2996</f>
        <v>1.2996000000000001</v>
      </c>
      <c r="G42">
        <f>17.3522</f>
        <v>17.3522</v>
      </c>
      <c r="H42">
        <f>0.8156</f>
        <v>0.81559999999999999</v>
      </c>
    </row>
    <row r="43" spans="1:8" x14ac:dyDescent="0.25">
      <c r="A43" s="1">
        <v>44734</v>
      </c>
      <c r="C43">
        <f>29.4637</f>
        <v>29.463699999999999</v>
      </c>
      <c r="D43">
        <f>0.9462</f>
        <v>0.94620000000000004</v>
      </c>
      <c r="E43">
        <f>136.26</f>
        <v>136.26</v>
      </c>
      <c r="F43">
        <f>1.2946</f>
        <v>1.2946</v>
      </c>
      <c r="G43">
        <f>17.3444</f>
        <v>17.3444</v>
      </c>
      <c r="H43">
        <f>0.8155</f>
        <v>0.8155</v>
      </c>
    </row>
    <row r="44" spans="1:8" x14ac:dyDescent="0.25">
      <c r="A44" s="1">
        <v>44733</v>
      </c>
      <c r="C44">
        <f>29.4025</f>
        <v>29.4025</v>
      </c>
      <c r="D44">
        <f>0.9492</f>
        <v>0.94920000000000004</v>
      </c>
      <c r="E44">
        <f>136.57</f>
        <v>136.57</v>
      </c>
      <c r="F44">
        <f>1.2922</f>
        <v>1.2922</v>
      </c>
      <c r="G44">
        <f>17.332</f>
        <v>17.332000000000001</v>
      </c>
      <c r="H44">
        <f>0.8144</f>
        <v>0.81440000000000001</v>
      </c>
    </row>
    <row r="45" spans="1:8" x14ac:dyDescent="0.25">
      <c r="A45" s="1">
        <v>44732</v>
      </c>
      <c r="C45">
        <f>29.4025</f>
        <v>29.4025</v>
      </c>
      <c r="D45">
        <f>0.9514</f>
        <v>0.95140000000000002</v>
      </c>
      <c r="E45">
        <f>135.07</f>
        <v>135.07</v>
      </c>
      <c r="F45">
        <f>1.2981</f>
        <v>1.2981</v>
      </c>
      <c r="G45">
        <f>17.3333</f>
        <v>17.333300000000001</v>
      </c>
      <c r="H45">
        <f>0.8164</f>
        <v>0.81640000000000001</v>
      </c>
    </row>
    <row r="46" spans="1:8" x14ac:dyDescent="0.25">
      <c r="A46" s="1">
        <v>44729</v>
      </c>
      <c r="C46">
        <f>29.538</f>
        <v>29.538</v>
      </c>
      <c r="D46">
        <f>0.9528</f>
        <v>0.95279999999999998</v>
      </c>
      <c r="E46">
        <f>135.02</f>
        <v>135.02000000000001</v>
      </c>
      <c r="F46">
        <f>1.303</f>
        <v>1.3029999999999999</v>
      </c>
      <c r="G46">
        <f>17.3308</f>
        <v>17.3308</v>
      </c>
      <c r="H46">
        <f>0.8182</f>
        <v>0.81820000000000004</v>
      </c>
    </row>
    <row r="47" spans="1:8" x14ac:dyDescent="0.25">
      <c r="A47" s="1">
        <v>44728</v>
      </c>
      <c r="C47">
        <f>29.4837</f>
        <v>29.483699999999999</v>
      </c>
      <c r="D47">
        <f>0.9476</f>
        <v>0.9476</v>
      </c>
      <c r="E47">
        <f>132.21</f>
        <v>132.21</v>
      </c>
      <c r="F47">
        <f>1.295</f>
        <v>1.2949999999999999</v>
      </c>
      <c r="G47">
        <f>17.3022</f>
        <v>17.302199999999999</v>
      </c>
      <c r="H47">
        <f>0.8096</f>
        <v>0.80959999999999999</v>
      </c>
    </row>
    <row r="48" spans="1:8" x14ac:dyDescent="0.25">
      <c r="A48" s="1">
        <v>44727</v>
      </c>
      <c r="C48">
        <f>29.4025</f>
        <v>29.4025</v>
      </c>
      <c r="D48">
        <f>0.9573</f>
        <v>0.95730000000000004</v>
      </c>
      <c r="E48">
        <f>133.84</f>
        <v>133.84</v>
      </c>
      <c r="F48">
        <f>1.2891</f>
        <v>1.2890999999999999</v>
      </c>
      <c r="G48">
        <f>17.2393</f>
        <v>17.2393</v>
      </c>
      <c r="H48">
        <f>0.8212</f>
        <v>0.82120000000000004</v>
      </c>
    </row>
    <row r="49" spans="1:8" x14ac:dyDescent="0.25">
      <c r="A49" s="1">
        <v>44726</v>
      </c>
      <c r="C49">
        <f>29.4225</f>
        <v>29.422499999999999</v>
      </c>
      <c r="D49">
        <f>0.9599</f>
        <v>0.95989999999999998</v>
      </c>
      <c r="E49">
        <f>135.47</f>
        <v>135.47</v>
      </c>
      <c r="F49">
        <f>1.295</f>
        <v>1.2949999999999999</v>
      </c>
      <c r="G49">
        <f>17.2693</f>
        <v>17.269300000000001</v>
      </c>
      <c r="H49">
        <f>0.8335</f>
        <v>0.83350000000000002</v>
      </c>
    </row>
    <row r="50" spans="1:8" x14ac:dyDescent="0.25">
      <c r="A50" s="1">
        <v>44725</v>
      </c>
      <c r="C50">
        <f>29.4025</f>
        <v>29.4025</v>
      </c>
      <c r="D50">
        <f>0.9609</f>
        <v>0.96089999999999998</v>
      </c>
      <c r="E50">
        <f>134.42</f>
        <v>134.41999999999999</v>
      </c>
      <c r="F50">
        <f>1.2899</f>
        <v>1.2899</v>
      </c>
      <c r="G50">
        <f>17.2641</f>
        <v>17.264099999999999</v>
      </c>
      <c r="H50">
        <f>0.8242</f>
        <v>0.82420000000000004</v>
      </c>
    </row>
    <row r="51" spans="1:8" x14ac:dyDescent="0.25">
      <c r="A51" s="1">
        <v>44722</v>
      </c>
      <c r="C51">
        <f>29.5275</f>
        <v>29.5275</v>
      </c>
      <c r="D51">
        <f>0.9506</f>
        <v>0.9506</v>
      </c>
      <c r="E51">
        <f>134.41</f>
        <v>134.41</v>
      </c>
      <c r="F51">
        <f>1.2776</f>
        <v>1.2776000000000001</v>
      </c>
      <c r="G51">
        <f>17.1143</f>
        <v>17.1143</v>
      </c>
      <c r="H51">
        <f>0.812</f>
        <v>0.81200000000000006</v>
      </c>
    </row>
    <row r="52" spans="1:8" x14ac:dyDescent="0.25">
      <c r="A52" s="1">
        <v>44721</v>
      </c>
      <c r="C52">
        <f>29.4854</f>
        <v>29.485399999999998</v>
      </c>
      <c r="D52">
        <f>0.9419</f>
        <v>0.94189999999999996</v>
      </c>
      <c r="E52">
        <f>134.36</f>
        <v>134.36000000000001</v>
      </c>
      <c r="F52">
        <f>1.2699</f>
        <v>1.2699</v>
      </c>
      <c r="G52">
        <f>17.1175</f>
        <v>17.1175</v>
      </c>
      <c r="H52">
        <f>0.8004</f>
        <v>0.8004</v>
      </c>
    </row>
    <row r="53" spans="1:8" x14ac:dyDescent="0.25">
      <c r="A53" s="1">
        <v>44720</v>
      </c>
      <c r="C53">
        <f>29.485</f>
        <v>29.484999999999999</v>
      </c>
      <c r="D53">
        <f>0.9331</f>
        <v>0.93310000000000004</v>
      </c>
      <c r="E53">
        <f>134.25</f>
        <v>134.25</v>
      </c>
      <c r="F53">
        <f>1.256</f>
        <v>1.256</v>
      </c>
      <c r="G53">
        <f>17.1457</f>
        <v>17.145700000000001</v>
      </c>
      <c r="H53">
        <f>0.7977</f>
        <v>0.79769999999999996</v>
      </c>
    </row>
    <row r="54" spans="1:8" x14ac:dyDescent="0.25">
      <c r="A54" s="1">
        <v>44719</v>
      </c>
      <c r="C54">
        <f>29.5485</f>
        <v>29.548500000000001</v>
      </c>
      <c r="D54">
        <f>0.9342</f>
        <v>0.93420000000000003</v>
      </c>
      <c r="E54">
        <f>132.59</f>
        <v>132.59</v>
      </c>
      <c r="F54">
        <f>1.2532</f>
        <v>1.2532000000000001</v>
      </c>
      <c r="G54">
        <f>16.7637</f>
        <v>16.7637</v>
      </c>
      <c r="H54">
        <f>0.7942</f>
        <v>0.79420000000000002</v>
      </c>
    </row>
    <row r="55" spans="1:8" x14ac:dyDescent="0.25">
      <c r="A55" s="1">
        <v>44718</v>
      </c>
      <c r="C55">
        <f>29.65</f>
        <v>29.65</v>
      </c>
      <c r="D55">
        <f>0.9349</f>
        <v>0.93489999999999995</v>
      </c>
      <c r="E55">
        <f>131.88</f>
        <v>131.88</v>
      </c>
      <c r="F55">
        <f>1.258</f>
        <v>1.258</v>
      </c>
      <c r="G55">
        <f>16.5839</f>
        <v>16.5839</v>
      </c>
      <c r="H55">
        <f>0.798</f>
        <v>0.79800000000000004</v>
      </c>
    </row>
    <row r="56" spans="1:8" x14ac:dyDescent="0.25">
      <c r="A56" s="1">
        <v>44715</v>
      </c>
      <c r="C56" t="e">
        <f>NA()</f>
        <v>#N/A</v>
      </c>
      <c r="D56">
        <f>0.933</f>
        <v>0.93300000000000005</v>
      </c>
      <c r="E56">
        <f>130.88</f>
        <v>130.88</v>
      </c>
      <c r="F56">
        <f>1.2594</f>
        <v>1.2594000000000001</v>
      </c>
      <c r="G56">
        <f>16.4468</f>
        <v>16.4468</v>
      </c>
      <c r="H56">
        <f>0.8007</f>
        <v>0.80069999999999997</v>
      </c>
    </row>
    <row r="57" spans="1:8" x14ac:dyDescent="0.25">
      <c r="A57" s="1">
        <v>44714</v>
      </c>
      <c r="C57">
        <f>29.4</f>
        <v>29.4</v>
      </c>
      <c r="D57">
        <f>0.9305</f>
        <v>0.93049999999999999</v>
      </c>
      <c r="E57">
        <f>129.84</f>
        <v>129.84</v>
      </c>
      <c r="F57">
        <f>1.257</f>
        <v>1.2569999999999999</v>
      </c>
      <c r="G57">
        <f>16.4697</f>
        <v>16.4697</v>
      </c>
      <c r="H57">
        <f>0.7951</f>
        <v>0.79510000000000003</v>
      </c>
    </row>
    <row r="58" spans="1:8" x14ac:dyDescent="0.25">
      <c r="A58" s="1">
        <v>44713</v>
      </c>
      <c r="C58" t="e">
        <f>NA()</f>
        <v>#N/A</v>
      </c>
      <c r="D58">
        <f>0.9387</f>
        <v>0.93869999999999998</v>
      </c>
      <c r="E58">
        <f>130.13</f>
        <v>130.13</v>
      </c>
      <c r="F58">
        <f>1.2657</f>
        <v>1.2657</v>
      </c>
      <c r="G58">
        <f>16.3983</f>
        <v>16.398299999999999</v>
      </c>
      <c r="H58">
        <f>0.8009</f>
        <v>0.80089999999999995</v>
      </c>
    </row>
    <row r="59" spans="1:8" x14ac:dyDescent="0.25">
      <c r="A59" s="1">
        <v>44712</v>
      </c>
      <c r="C59">
        <f>29.65</f>
        <v>29.65</v>
      </c>
      <c r="D59">
        <f>0.9317</f>
        <v>0.93169999999999997</v>
      </c>
      <c r="E59">
        <f>128.67</f>
        <v>128.66999999999999</v>
      </c>
      <c r="F59">
        <f>1.2647</f>
        <v>1.2646999999999999</v>
      </c>
      <c r="G59">
        <f>16.404</f>
        <v>16.404</v>
      </c>
      <c r="H59">
        <f>0.7935</f>
        <v>0.79349999999999998</v>
      </c>
    </row>
    <row r="60" spans="1:8" x14ac:dyDescent="0.25">
      <c r="A60" s="1">
        <v>44711</v>
      </c>
      <c r="C60">
        <f>29.4</f>
        <v>29.4</v>
      </c>
      <c r="D60">
        <f>0.9276</f>
        <v>0.92759999999999998</v>
      </c>
      <c r="E60">
        <f>127.59</f>
        <v>127.59</v>
      </c>
      <c r="F60">
        <f>1.2655</f>
        <v>1.2655000000000001</v>
      </c>
      <c r="G60">
        <f>16.3851</f>
        <v>16.385100000000001</v>
      </c>
      <c r="H60">
        <f>0.7904</f>
        <v>0.79039999999999999</v>
      </c>
    </row>
    <row r="61" spans="1:8" x14ac:dyDescent="0.25">
      <c r="A61" s="1">
        <v>44708</v>
      </c>
      <c r="C61">
        <f>29.4625</f>
        <v>29.462499999999999</v>
      </c>
      <c r="D61">
        <f>0.9316</f>
        <v>0.93159999999999998</v>
      </c>
      <c r="E61">
        <f>127.11</f>
        <v>127.11</v>
      </c>
      <c r="F61">
        <f>1.2724</f>
        <v>1.2724</v>
      </c>
      <c r="G61">
        <f>16.2228</f>
        <v>16.222799999999999</v>
      </c>
      <c r="H61">
        <f>0.7918</f>
        <v>0.79179999999999995</v>
      </c>
    </row>
    <row r="62" spans="1:8" x14ac:dyDescent="0.25">
      <c r="A62" s="1">
        <v>44707</v>
      </c>
      <c r="C62" t="e">
        <f>NA()</f>
        <v>#N/A</v>
      </c>
      <c r="D62">
        <f>0.9319</f>
        <v>0.93189999999999995</v>
      </c>
      <c r="E62">
        <f>127.12</f>
        <v>127.12</v>
      </c>
      <c r="F62">
        <f>1.2773</f>
        <v>1.2773000000000001</v>
      </c>
      <c r="G62">
        <f>16.3485</f>
        <v>16.348500000000001</v>
      </c>
      <c r="H62">
        <f>0.7931</f>
        <v>0.79310000000000003</v>
      </c>
    </row>
    <row r="63" spans="1:8" x14ac:dyDescent="0.25">
      <c r="A63" s="1">
        <v>44706</v>
      </c>
      <c r="C63">
        <f>29.5875</f>
        <v>29.587499999999999</v>
      </c>
      <c r="D63">
        <f>0.9364</f>
        <v>0.93640000000000001</v>
      </c>
      <c r="E63">
        <f>127.32</f>
        <v>127.32</v>
      </c>
      <c r="F63">
        <f>1.2816</f>
        <v>1.2816000000000001</v>
      </c>
      <c r="G63">
        <f>16.352</f>
        <v>16.352</v>
      </c>
      <c r="H63">
        <f>0.7951</f>
        <v>0.79510000000000003</v>
      </c>
    </row>
    <row r="64" spans="1:8" x14ac:dyDescent="0.25">
      <c r="A64" s="1">
        <v>44705</v>
      </c>
      <c r="C64" t="e">
        <f>NA()</f>
        <v>#N/A</v>
      </c>
      <c r="D64">
        <f>0.9314</f>
        <v>0.93140000000000001</v>
      </c>
      <c r="E64">
        <f>126.83</f>
        <v>126.83</v>
      </c>
      <c r="F64">
        <f>1.2819</f>
        <v>1.2819</v>
      </c>
      <c r="G64">
        <f>16.0914</f>
        <v>16.0914</v>
      </c>
      <c r="H64">
        <f>0.7979</f>
        <v>0.79790000000000005</v>
      </c>
    </row>
    <row r="65" spans="1:8" x14ac:dyDescent="0.25">
      <c r="A65" s="1">
        <v>44704</v>
      </c>
      <c r="C65">
        <f>29.4</f>
        <v>29.4</v>
      </c>
      <c r="D65">
        <f>0.9352</f>
        <v>0.93520000000000003</v>
      </c>
      <c r="E65">
        <f>127.9</f>
        <v>127.9</v>
      </c>
      <c r="F65">
        <f>1.2767</f>
        <v>1.2766999999999999</v>
      </c>
      <c r="G65">
        <f>15.9244</f>
        <v>15.9244</v>
      </c>
      <c r="H65">
        <f>0.7945</f>
        <v>0.79449999999999998</v>
      </c>
    </row>
    <row r="66" spans="1:8" x14ac:dyDescent="0.25">
      <c r="A66" s="1">
        <v>44701</v>
      </c>
      <c r="C66">
        <f>29.4</f>
        <v>29.4</v>
      </c>
      <c r="D66">
        <f>0.9467</f>
        <v>0.94669999999999999</v>
      </c>
      <c r="E66">
        <f>127.88</f>
        <v>127.88</v>
      </c>
      <c r="F66">
        <f>1.284</f>
        <v>1.284</v>
      </c>
      <c r="G66">
        <f>15.909</f>
        <v>15.909000000000001</v>
      </c>
      <c r="H66">
        <f>0.8004</f>
        <v>0.8004</v>
      </c>
    </row>
    <row r="67" spans="1:8" x14ac:dyDescent="0.25">
      <c r="A67" s="1">
        <v>44700</v>
      </c>
      <c r="C67">
        <f>29.3987</f>
        <v>29.398700000000002</v>
      </c>
      <c r="D67">
        <f>0.9448</f>
        <v>0.94479999999999997</v>
      </c>
      <c r="E67">
        <f>127.79</f>
        <v>127.79</v>
      </c>
      <c r="F67">
        <f>1.2825</f>
        <v>1.2825</v>
      </c>
      <c r="G67">
        <f>15.8878</f>
        <v>15.8878</v>
      </c>
      <c r="H67">
        <f>0.8018</f>
        <v>0.80179999999999996</v>
      </c>
    </row>
    <row r="68" spans="1:8" x14ac:dyDescent="0.25">
      <c r="A68" s="1">
        <v>44699</v>
      </c>
      <c r="C68">
        <f>29.4</f>
        <v>29.4</v>
      </c>
      <c r="D68">
        <f>0.9556</f>
        <v>0.9556</v>
      </c>
      <c r="E68">
        <f>128.23</f>
        <v>128.22999999999999</v>
      </c>
      <c r="F68">
        <f>1.289</f>
        <v>1.2889999999999999</v>
      </c>
      <c r="G68">
        <f>15.947</f>
        <v>15.946999999999999</v>
      </c>
      <c r="H68">
        <f>0.81</f>
        <v>0.81</v>
      </c>
    </row>
    <row r="69" spans="1:8" x14ac:dyDescent="0.25">
      <c r="A69" s="1">
        <v>44698</v>
      </c>
      <c r="C69">
        <f>29.5475</f>
        <v>29.547499999999999</v>
      </c>
      <c r="D69">
        <f>0.9478</f>
        <v>0.94779999999999998</v>
      </c>
      <c r="E69">
        <f>129.38</f>
        <v>129.38</v>
      </c>
      <c r="F69">
        <f>1.2811</f>
        <v>1.2810999999999999</v>
      </c>
      <c r="G69">
        <f>15.8431</f>
        <v>15.8431</v>
      </c>
      <c r="H69">
        <f>0.8003</f>
        <v>0.80030000000000001</v>
      </c>
    </row>
    <row r="70" spans="1:8" x14ac:dyDescent="0.25">
      <c r="A70" s="1">
        <v>44697</v>
      </c>
      <c r="C70" t="e">
        <f>NA()</f>
        <v>#N/A</v>
      </c>
      <c r="D70">
        <f>0.9584</f>
        <v>0.95840000000000003</v>
      </c>
      <c r="E70">
        <f>129.16</f>
        <v>129.16</v>
      </c>
      <c r="F70">
        <f>1.2846</f>
        <v>1.2846</v>
      </c>
      <c r="G70">
        <f>15.5477</f>
        <v>15.547700000000001</v>
      </c>
      <c r="H70">
        <f>0.8115</f>
        <v>0.8115</v>
      </c>
    </row>
    <row r="71" spans="1:8" x14ac:dyDescent="0.25">
      <c r="A71" s="1">
        <v>44694</v>
      </c>
      <c r="C71">
        <f>29.5275</f>
        <v>29.5275</v>
      </c>
      <c r="D71">
        <f>0.9605</f>
        <v>0.96050000000000002</v>
      </c>
      <c r="E71">
        <f>129.22</f>
        <v>129.22</v>
      </c>
      <c r="F71">
        <f>1.2929</f>
        <v>1.2928999999999999</v>
      </c>
      <c r="G71">
        <f>15.4815</f>
        <v>15.4815</v>
      </c>
      <c r="H71">
        <f>0.8155</f>
        <v>0.8155</v>
      </c>
    </row>
    <row r="72" spans="1:8" x14ac:dyDescent="0.25">
      <c r="A72" s="1">
        <v>44693</v>
      </c>
      <c r="C72">
        <f>29.5485</f>
        <v>29.548500000000001</v>
      </c>
      <c r="D72">
        <f>0.9634</f>
        <v>0.96340000000000003</v>
      </c>
      <c r="E72">
        <f>128.34</f>
        <v>128.34</v>
      </c>
      <c r="F72">
        <f>1.3046</f>
        <v>1.3046</v>
      </c>
      <c r="G72">
        <f>15.3815</f>
        <v>15.381500000000001</v>
      </c>
      <c r="H72">
        <f>0.8197</f>
        <v>0.81969999999999998</v>
      </c>
    </row>
    <row r="73" spans="1:8" x14ac:dyDescent="0.25">
      <c r="A73" s="1">
        <v>44692</v>
      </c>
      <c r="C73">
        <f>29.65</f>
        <v>29.65</v>
      </c>
      <c r="D73">
        <f>0.951</f>
        <v>0.95099999999999996</v>
      </c>
      <c r="E73">
        <f>129.97</f>
        <v>129.97</v>
      </c>
      <c r="F73">
        <f>1.2992</f>
        <v>1.2991999999999999</v>
      </c>
      <c r="G73">
        <f>15.3194</f>
        <v>15.3194</v>
      </c>
      <c r="H73">
        <f>0.8166</f>
        <v>0.81659999999999999</v>
      </c>
    </row>
    <row r="74" spans="1:8" x14ac:dyDescent="0.25">
      <c r="A74" s="1">
        <v>44691</v>
      </c>
      <c r="C74">
        <f>30.25</f>
        <v>30.25</v>
      </c>
      <c r="D74">
        <f>0.9496</f>
        <v>0.9496</v>
      </c>
      <c r="E74">
        <f>130.45</f>
        <v>130.44999999999999</v>
      </c>
      <c r="F74">
        <f>1.3027</f>
        <v>1.3027</v>
      </c>
      <c r="G74">
        <f>15.2536</f>
        <v>15.2536</v>
      </c>
      <c r="H74">
        <f>0.812</f>
        <v>0.81200000000000006</v>
      </c>
    </row>
    <row r="75" spans="1:8" x14ac:dyDescent="0.25">
      <c r="A75" s="1">
        <v>44690</v>
      </c>
      <c r="C75">
        <f>30.2558</f>
        <v>30.255800000000001</v>
      </c>
      <c r="D75">
        <f>0.9471</f>
        <v>0.94710000000000005</v>
      </c>
      <c r="E75">
        <f>130.29</f>
        <v>130.29</v>
      </c>
      <c r="F75">
        <f>1.3011</f>
        <v>1.3010999999999999</v>
      </c>
      <c r="G75">
        <f>15.0829</f>
        <v>15.0829</v>
      </c>
      <c r="H75">
        <f>0.811</f>
        <v>0.81100000000000005</v>
      </c>
    </row>
    <row r="76" spans="1:8" x14ac:dyDescent="0.25">
      <c r="A76" s="1">
        <v>44687</v>
      </c>
      <c r="C76">
        <f>30.262</f>
        <v>30.262</v>
      </c>
      <c r="D76">
        <f>0.9482</f>
        <v>0.94820000000000004</v>
      </c>
      <c r="E76">
        <f>130.56</f>
        <v>130.56</v>
      </c>
      <c r="F76">
        <f>1.2875</f>
        <v>1.2875000000000001</v>
      </c>
      <c r="G76">
        <f>14.9516</f>
        <v>14.951599999999999</v>
      </c>
      <c r="H76">
        <f>0.8102</f>
        <v>0.81020000000000003</v>
      </c>
    </row>
    <row r="77" spans="1:8" x14ac:dyDescent="0.25">
      <c r="A77" s="1">
        <v>44686</v>
      </c>
      <c r="C77" t="e">
        <f>NA()</f>
        <v>#N/A</v>
      </c>
      <c r="D77">
        <f>0.9488</f>
        <v>0.94879999999999998</v>
      </c>
      <c r="E77">
        <f>130.2</f>
        <v>130.19999999999999</v>
      </c>
      <c r="F77">
        <f>1.2834</f>
        <v>1.2834000000000001</v>
      </c>
      <c r="G77">
        <f>14.8622</f>
        <v>14.8622</v>
      </c>
      <c r="H77">
        <f>0.809</f>
        <v>0.80900000000000005</v>
      </c>
    </row>
    <row r="78" spans="1:8" x14ac:dyDescent="0.25">
      <c r="A78" s="1">
        <v>44685</v>
      </c>
      <c r="C78" t="e">
        <f>NA()</f>
        <v>#N/A</v>
      </c>
      <c r="D78">
        <f>0.9414</f>
        <v>0.94140000000000001</v>
      </c>
      <c r="E78">
        <f>129.09</f>
        <v>129.09</v>
      </c>
      <c r="F78">
        <f>1.2747</f>
        <v>1.2746999999999999</v>
      </c>
      <c r="G78">
        <f>14.7363</f>
        <v>14.7363</v>
      </c>
      <c r="H78">
        <f>0.7914</f>
        <v>0.79139999999999999</v>
      </c>
    </row>
    <row r="79" spans="1:8" x14ac:dyDescent="0.25">
      <c r="A79" s="1">
        <v>44684</v>
      </c>
      <c r="C79" t="e">
        <f>NA()</f>
        <v>#N/A</v>
      </c>
      <c r="D79">
        <f>0.9506</f>
        <v>0.9506</v>
      </c>
      <c r="E79">
        <f>130.14</f>
        <v>130.13999999999999</v>
      </c>
      <c r="F79">
        <f>1.2841</f>
        <v>1.2841</v>
      </c>
      <c r="G79">
        <f>14.8175</f>
        <v>14.817500000000001</v>
      </c>
      <c r="H79">
        <f>0.8002</f>
        <v>0.80020000000000002</v>
      </c>
    </row>
    <row r="80" spans="1:8" x14ac:dyDescent="0.25">
      <c r="A80" s="1">
        <v>44683</v>
      </c>
      <c r="C80">
        <f>29.546</f>
        <v>29.545999999999999</v>
      </c>
      <c r="D80">
        <f>0.9517</f>
        <v>0.95169999999999999</v>
      </c>
      <c r="E80">
        <f>130.16</f>
        <v>130.16</v>
      </c>
      <c r="F80">
        <f>1.288</f>
        <v>1.288</v>
      </c>
      <c r="G80">
        <f>14.886</f>
        <v>14.885999999999999</v>
      </c>
      <c r="H80">
        <f>0.8005</f>
        <v>0.80049999999999999</v>
      </c>
    </row>
    <row r="81" spans="1:8" x14ac:dyDescent="0.25">
      <c r="A81" s="1">
        <v>44680</v>
      </c>
      <c r="C81">
        <f>30.2617</f>
        <v>30.261700000000001</v>
      </c>
      <c r="D81">
        <f>0.9485</f>
        <v>0.94850000000000001</v>
      </c>
      <c r="E81">
        <f>129.7</f>
        <v>129.69999999999999</v>
      </c>
      <c r="F81">
        <f>1.2848</f>
        <v>1.2847999999999999</v>
      </c>
      <c r="G81">
        <f>14.8541</f>
        <v>14.854100000000001</v>
      </c>
      <c r="H81">
        <f>0.7953</f>
        <v>0.79530000000000001</v>
      </c>
    </row>
    <row r="82" spans="1:8" x14ac:dyDescent="0.25">
      <c r="A82" s="1">
        <v>44679</v>
      </c>
      <c r="C82">
        <f>30.2734</f>
        <v>30.273399999999999</v>
      </c>
      <c r="D82">
        <f>0.9525</f>
        <v>0.95250000000000001</v>
      </c>
      <c r="E82">
        <f>130.85</f>
        <v>130.85</v>
      </c>
      <c r="F82">
        <f>1.2808</f>
        <v>1.2807999999999999</v>
      </c>
      <c r="G82">
        <f>14.7897</f>
        <v>14.7897</v>
      </c>
      <c r="H82">
        <f>0.8026</f>
        <v>0.80259999999999998</v>
      </c>
    </row>
    <row r="83" spans="1:8" x14ac:dyDescent="0.25">
      <c r="A83" s="1">
        <v>44678</v>
      </c>
      <c r="C83">
        <f>29.6473</f>
        <v>29.647300000000001</v>
      </c>
      <c r="D83">
        <f>0.9471</f>
        <v>0.94710000000000005</v>
      </c>
      <c r="E83">
        <f>128.43</f>
        <v>128.43</v>
      </c>
      <c r="F83">
        <f>1.2819</f>
        <v>1.2819</v>
      </c>
      <c r="G83">
        <f>14.8123</f>
        <v>14.8123</v>
      </c>
      <c r="H83">
        <f>0.7971</f>
        <v>0.79710000000000003</v>
      </c>
    </row>
    <row r="84" spans="1:8" x14ac:dyDescent="0.25">
      <c r="A84" s="1">
        <v>44677</v>
      </c>
      <c r="C84" t="e">
        <f>NA()</f>
        <v>#N/A</v>
      </c>
      <c r="D84">
        <f>0.9401</f>
        <v>0.94010000000000005</v>
      </c>
      <c r="E84">
        <f>127.23</f>
        <v>127.23</v>
      </c>
      <c r="F84">
        <f>1.2826</f>
        <v>1.2826</v>
      </c>
      <c r="G84">
        <f>14.8038</f>
        <v>14.803800000000001</v>
      </c>
      <c r="H84">
        <f>0.7953</f>
        <v>0.79530000000000001</v>
      </c>
    </row>
    <row r="85" spans="1:8" x14ac:dyDescent="0.25">
      <c r="A85" s="1">
        <v>44676</v>
      </c>
      <c r="C85" t="e">
        <f>NA()</f>
        <v>#N/A</v>
      </c>
      <c r="D85">
        <f>0.9335</f>
        <v>0.9335</v>
      </c>
      <c r="E85">
        <f>128.14</f>
        <v>128.13999999999999</v>
      </c>
      <c r="F85">
        <f>1.2735</f>
        <v>1.2735000000000001</v>
      </c>
      <c r="G85">
        <f>14.7777</f>
        <v>14.777699999999999</v>
      </c>
      <c r="H85">
        <f>0.7849</f>
        <v>0.78490000000000004</v>
      </c>
    </row>
    <row r="86" spans="1:8" x14ac:dyDescent="0.25">
      <c r="A86" s="1">
        <v>44673</v>
      </c>
      <c r="C86">
        <f>30.2598</f>
        <v>30.259799999999998</v>
      </c>
      <c r="D86">
        <f>0.9258</f>
        <v>0.92579999999999996</v>
      </c>
      <c r="E86">
        <f>128.5</f>
        <v>128.5</v>
      </c>
      <c r="F86">
        <f>1.271</f>
        <v>1.2709999999999999</v>
      </c>
      <c r="G86">
        <f>14.7422</f>
        <v>14.7422</v>
      </c>
      <c r="H86">
        <f>0.7789</f>
        <v>0.77890000000000004</v>
      </c>
    </row>
    <row r="87" spans="1:8" x14ac:dyDescent="0.25">
      <c r="A87" s="1">
        <v>44672</v>
      </c>
      <c r="C87" t="e">
        <f>NA()</f>
        <v>#N/A</v>
      </c>
      <c r="D87">
        <f>0.9231</f>
        <v>0.92310000000000003</v>
      </c>
      <c r="E87">
        <f>128.38</f>
        <v>128.38</v>
      </c>
      <c r="F87">
        <f>1.2581</f>
        <v>1.2581</v>
      </c>
      <c r="G87">
        <f>14.7066</f>
        <v>14.7066</v>
      </c>
      <c r="H87">
        <f>0.7676</f>
        <v>0.76759999999999995</v>
      </c>
    </row>
    <row r="88" spans="1:8" x14ac:dyDescent="0.25">
      <c r="A88" s="1">
        <v>44671</v>
      </c>
      <c r="C88">
        <f>30.2076</f>
        <v>30.207599999999999</v>
      </c>
      <c r="D88">
        <f>0.9213</f>
        <v>0.92130000000000001</v>
      </c>
      <c r="E88">
        <f>127.86</f>
        <v>127.86</v>
      </c>
      <c r="F88">
        <f>1.2499</f>
        <v>1.2499</v>
      </c>
      <c r="G88">
        <f>14.6701</f>
        <v>14.6701</v>
      </c>
      <c r="H88">
        <f>0.7652</f>
        <v>0.76519999999999999</v>
      </c>
    </row>
    <row r="89" spans="1:8" x14ac:dyDescent="0.25">
      <c r="A89" s="1">
        <v>44670</v>
      </c>
      <c r="C89" t="e">
        <f>NA()</f>
        <v>#N/A</v>
      </c>
      <c r="D89">
        <f>0.927</f>
        <v>0.92700000000000005</v>
      </c>
      <c r="E89">
        <f>128.91</f>
        <v>128.91</v>
      </c>
      <c r="F89">
        <f>1.2618</f>
        <v>1.2618</v>
      </c>
      <c r="G89">
        <f>14.6577</f>
        <v>14.6577</v>
      </c>
      <c r="H89">
        <f>0.7693</f>
        <v>0.76929999999999998</v>
      </c>
    </row>
    <row r="90" spans="1:8" x14ac:dyDescent="0.25">
      <c r="A90" s="1">
        <v>44669</v>
      </c>
      <c r="C90">
        <f>29.5358</f>
        <v>29.535799999999998</v>
      </c>
      <c r="D90">
        <f>0.9276</f>
        <v>0.92759999999999998</v>
      </c>
      <c r="E90">
        <f>126.99</f>
        <v>126.99</v>
      </c>
      <c r="F90">
        <f>1.2614</f>
        <v>1.2614000000000001</v>
      </c>
      <c r="G90">
        <f>14.6405</f>
        <v>14.640499999999999</v>
      </c>
      <c r="H90">
        <f>0.7686</f>
        <v>0.76859999999999995</v>
      </c>
    </row>
    <row r="91" spans="1:8" x14ac:dyDescent="0.25">
      <c r="A91" s="1">
        <v>44666</v>
      </c>
      <c r="C91">
        <f>29.4744</f>
        <v>29.474399999999999</v>
      </c>
      <c r="D91">
        <f>0.9246</f>
        <v>0.92459999999999998</v>
      </c>
      <c r="E91">
        <f>126.46</f>
        <v>126.46</v>
      </c>
      <c r="F91">
        <f>1.261</f>
        <v>1.2609999999999999</v>
      </c>
      <c r="G91">
        <f>14.6384</f>
        <v>14.638400000000001</v>
      </c>
      <c r="H91">
        <f>0.7657</f>
        <v>0.76570000000000005</v>
      </c>
    </row>
    <row r="92" spans="1:8" x14ac:dyDescent="0.25">
      <c r="A92" s="1">
        <v>44665</v>
      </c>
      <c r="C92">
        <f>29.4003</f>
        <v>29.400300000000001</v>
      </c>
      <c r="D92">
        <f>0.9234</f>
        <v>0.9234</v>
      </c>
      <c r="E92">
        <f>125.88</f>
        <v>125.88</v>
      </c>
      <c r="F92">
        <f>1.2603</f>
        <v>1.2603</v>
      </c>
      <c r="G92">
        <f>14.6094</f>
        <v>14.609400000000001</v>
      </c>
      <c r="H92">
        <f>0.7646</f>
        <v>0.76459999999999995</v>
      </c>
    </row>
    <row r="93" spans="1:8" x14ac:dyDescent="0.25">
      <c r="A93" s="1">
        <v>44664</v>
      </c>
      <c r="C93">
        <f>29.4714</f>
        <v>29.471399999999999</v>
      </c>
      <c r="D93">
        <f>0.918</f>
        <v>0.91800000000000004</v>
      </c>
      <c r="E93">
        <f>125.62</f>
        <v>125.62</v>
      </c>
      <c r="F93">
        <f>1.2567</f>
        <v>1.2566999999999999</v>
      </c>
      <c r="G93">
        <f>14.5998</f>
        <v>14.5998</v>
      </c>
      <c r="H93">
        <f>0.7624</f>
        <v>0.76239999999999997</v>
      </c>
    </row>
    <row r="94" spans="1:8" x14ac:dyDescent="0.25">
      <c r="A94" s="1">
        <v>44663</v>
      </c>
      <c r="C94">
        <f>29.5366</f>
        <v>29.5366</v>
      </c>
      <c r="D94">
        <f>0.9237</f>
        <v>0.92369999999999997</v>
      </c>
      <c r="E94">
        <f>125.38</f>
        <v>125.38</v>
      </c>
      <c r="F94">
        <f>1.2644</f>
        <v>1.2644</v>
      </c>
      <c r="G94">
        <f>14.599</f>
        <v>14.599</v>
      </c>
      <c r="H94">
        <f>0.7691</f>
        <v>0.76910000000000001</v>
      </c>
    </row>
    <row r="95" spans="1:8" x14ac:dyDescent="0.25">
      <c r="A95" s="1">
        <v>44662</v>
      </c>
      <c r="C95">
        <f>29.474</f>
        <v>29.474</v>
      </c>
      <c r="D95">
        <f>0.9188</f>
        <v>0.91879999999999995</v>
      </c>
      <c r="E95">
        <f>125.37</f>
        <v>125.37</v>
      </c>
      <c r="F95">
        <f>1.263</f>
        <v>1.2629999999999999</v>
      </c>
      <c r="G95">
        <f>14.6654</f>
        <v>14.6654</v>
      </c>
      <c r="H95">
        <f>0.7675</f>
        <v>0.76749999999999996</v>
      </c>
    </row>
    <row r="96" spans="1:8" x14ac:dyDescent="0.25">
      <c r="A96" s="1">
        <v>44659</v>
      </c>
      <c r="C96">
        <f>29.541</f>
        <v>29.541</v>
      </c>
      <c r="D96">
        <f>0.9195</f>
        <v>0.91949999999999998</v>
      </c>
      <c r="E96">
        <f>124.34</f>
        <v>124.34</v>
      </c>
      <c r="F96">
        <f>1.2572</f>
        <v>1.2572000000000001</v>
      </c>
      <c r="G96">
        <f>14.7505</f>
        <v>14.750500000000001</v>
      </c>
      <c r="H96">
        <f>0.7671</f>
        <v>0.7671</v>
      </c>
    </row>
    <row r="97" spans="1:8" x14ac:dyDescent="0.25">
      <c r="A97" s="1">
        <v>44658</v>
      </c>
      <c r="C97">
        <f>29.4002</f>
        <v>29.400200000000002</v>
      </c>
      <c r="D97">
        <f>0.9191</f>
        <v>0.91910000000000003</v>
      </c>
      <c r="E97">
        <f>123.95</f>
        <v>123.95</v>
      </c>
      <c r="F97">
        <f>1.2591</f>
        <v>1.2591000000000001</v>
      </c>
      <c r="G97">
        <f>14.7394</f>
        <v>14.7394</v>
      </c>
      <c r="H97">
        <f>0.7648</f>
        <v>0.76480000000000004</v>
      </c>
    </row>
    <row r="98" spans="1:8" x14ac:dyDescent="0.25">
      <c r="A98" s="1">
        <v>44657</v>
      </c>
      <c r="C98">
        <f>29.4004</f>
        <v>29.400400000000001</v>
      </c>
      <c r="D98">
        <f>0.9178</f>
        <v>0.91779999999999995</v>
      </c>
      <c r="E98">
        <f>123.8</f>
        <v>123.8</v>
      </c>
      <c r="F98">
        <f>1.2544</f>
        <v>1.2544</v>
      </c>
      <c r="G98">
        <f>14.7123</f>
        <v>14.712300000000001</v>
      </c>
      <c r="H98">
        <f>0.7652</f>
        <v>0.76519999999999999</v>
      </c>
    </row>
    <row r="99" spans="1:8" x14ac:dyDescent="0.25">
      <c r="A99" s="1">
        <v>44656</v>
      </c>
      <c r="C99">
        <f>29.4002</f>
        <v>29.400200000000002</v>
      </c>
      <c r="D99">
        <f>0.917</f>
        <v>0.91700000000000004</v>
      </c>
      <c r="E99">
        <f>123.6</f>
        <v>123.6</v>
      </c>
      <c r="F99">
        <f>1.2487</f>
        <v>1.2486999999999999</v>
      </c>
      <c r="G99">
        <f>14.7199</f>
        <v>14.719900000000001</v>
      </c>
      <c r="H99">
        <f>0.7649</f>
        <v>0.76490000000000002</v>
      </c>
    </row>
    <row r="100" spans="1:8" x14ac:dyDescent="0.25">
      <c r="A100" s="1">
        <v>44655</v>
      </c>
      <c r="C100">
        <f>29.4006</f>
        <v>29.400600000000001</v>
      </c>
      <c r="D100">
        <f>0.9115</f>
        <v>0.91149999999999998</v>
      </c>
      <c r="E100">
        <f>122.79</f>
        <v>122.79</v>
      </c>
      <c r="F100">
        <f>1.2485</f>
        <v>1.2484999999999999</v>
      </c>
      <c r="G100">
        <f>14.6853</f>
        <v>14.6853</v>
      </c>
      <c r="H100">
        <f>0.7625</f>
        <v>0.76249999999999996</v>
      </c>
    </row>
    <row r="101" spans="1:8" x14ac:dyDescent="0.25">
      <c r="A101" s="1">
        <v>44652</v>
      </c>
      <c r="C101">
        <f>29.4731</f>
        <v>29.473099999999999</v>
      </c>
      <c r="D101">
        <f>0.9051</f>
        <v>0.90510000000000002</v>
      </c>
      <c r="E101">
        <f>122.52</f>
        <v>122.52</v>
      </c>
      <c r="F101">
        <f>1.2522</f>
        <v>1.2522</v>
      </c>
      <c r="G101">
        <f>14.6873</f>
        <v>14.6873</v>
      </c>
      <c r="H101">
        <f>0.7625</f>
        <v>0.76249999999999996</v>
      </c>
    </row>
    <row r="102" spans="1:8" x14ac:dyDescent="0.25">
      <c r="A102" s="1">
        <v>44651</v>
      </c>
      <c r="C102">
        <f>29.4</f>
        <v>29.4</v>
      </c>
      <c r="D102">
        <f>0.9036</f>
        <v>0.90359999999999996</v>
      </c>
      <c r="E102">
        <f>121.7</f>
        <v>121.7</v>
      </c>
      <c r="F102">
        <f>1.2505</f>
        <v>1.2504999999999999</v>
      </c>
      <c r="G102">
        <f>14.6724</f>
        <v>14.6724</v>
      </c>
      <c r="H102">
        <f>0.7609</f>
        <v>0.76090000000000002</v>
      </c>
    </row>
    <row r="103" spans="1:8" x14ac:dyDescent="0.25">
      <c r="A103" s="1">
        <v>44650</v>
      </c>
      <c r="C103">
        <f>29.535</f>
        <v>29.535</v>
      </c>
      <c r="D103">
        <f>0.8962</f>
        <v>0.8962</v>
      </c>
      <c r="E103">
        <f>121.83</f>
        <v>121.83</v>
      </c>
      <c r="F103">
        <f>1.2481</f>
        <v>1.2481</v>
      </c>
      <c r="G103">
        <f>14.6549</f>
        <v>14.6549</v>
      </c>
      <c r="H103">
        <f>0.7613</f>
        <v>0.76129999999999998</v>
      </c>
    </row>
    <row r="104" spans="1:8" x14ac:dyDescent="0.25">
      <c r="A104" s="1">
        <v>44649</v>
      </c>
      <c r="C104">
        <f>29.4</f>
        <v>29.4</v>
      </c>
      <c r="D104">
        <f>0.9021</f>
        <v>0.90210000000000001</v>
      </c>
      <c r="E104">
        <f>122.88</f>
        <v>122.88</v>
      </c>
      <c r="F104">
        <f>1.2497</f>
        <v>1.2497</v>
      </c>
      <c r="G104">
        <f>14.5929</f>
        <v>14.5929</v>
      </c>
      <c r="H104">
        <f>0.7637</f>
        <v>0.76370000000000005</v>
      </c>
    </row>
    <row r="105" spans="1:8" x14ac:dyDescent="0.25">
      <c r="A105" s="1">
        <v>44648</v>
      </c>
      <c r="C105">
        <f>29.4614</f>
        <v>29.461400000000001</v>
      </c>
      <c r="D105">
        <f>0.9102</f>
        <v>0.91020000000000001</v>
      </c>
      <c r="E105">
        <f>123.86</f>
        <v>123.86</v>
      </c>
      <c r="F105">
        <f>1.2518</f>
        <v>1.2518</v>
      </c>
      <c r="G105">
        <f>14.8198</f>
        <v>14.819800000000001</v>
      </c>
      <c r="H105">
        <f>0.7637</f>
        <v>0.76370000000000005</v>
      </c>
    </row>
    <row r="106" spans="1:8" x14ac:dyDescent="0.25">
      <c r="A106" s="1">
        <v>44645</v>
      </c>
      <c r="C106">
        <f>29.5253</f>
        <v>29.525300000000001</v>
      </c>
      <c r="D106">
        <f>0.9105</f>
        <v>0.91049999999999998</v>
      </c>
      <c r="E106">
        <f>122.05</f>
        <v>122.05</v>
      </c>
      <c r="F106">
        <f>1.2477</f>
        <v>1.2477</v>
      </c>
      <c r="G106">
        <f>14.8434</f>
        <v>14.843400000000001</v>
      </c>
      <c r="H106">
        <f>0.7586</f>
        <v>0.75860000000000005</v>
      </c>
    </row>
    <row r="107" spans="1:8" x14ac:dyDescent="0.25">
      <c r="A107" s="1">
        <v>44644</v>
      </c>
      <c r="C107">
        <f>29.4002</f>
        <v>29.400200000000002</v>
      </c>
      <c r="D107">
        <f>0.9093</f>
        <v>0.9093</v>
      </c>
      <c r="E107">
        <f>122.35</f>
        <v>122.35</v>
      </c>
      <c r="F107">
        <f>1.2526</f>
        <v>1.2525999999999999</v>
      </c>
      <c r="G107">
        <f>14.8232</f>
        <v>14.8232</v>
      </c>
      <c r="H107">
        <f>0.7583</f>
        <v>0.75829999999999997</v>
      </c>
    </row>
    <row r="108" spans="1:8" x14ac:dyDescent="0.25">
      <c r="A108" s="1">
        <v>44643</v>
      </c>
      <c r="C108" t="e">
        <f>NA()</f>
        <v>#N/A</v>
      </c>
      <c r="D108">
        <f>0.9086</f>
        <v>0.90859999999999996</v>
      </c>
      <c r="E108">
        <f>121.15</f>
        <v>121.15</v>
      </c>
      <c r="F108">
        <f>1.2562</f>
        <v>1.2562</v>
      </c>
      <c r="G108">
        <f>14.8368</f>
        <v>14.8368</v>
      </c>
      <c r="H108">
        <f>0.7572</f>
        <v>0.75719999999999998</v>
      </c>
    </row>
    <row r="109" spans="1:8" x14ac:dyDescent="0.25">
      <c r="A109" s="1">
        <v>44642</v>
      </c>
      <c r="C109">
        <f>29.4023</f>
        <v>29.4023</v>
      </c>
      <c r="D109">
        <f>0.9066</f>
        <v>0.90659999999999996</v>
      </c>
      <c r="E109">
        <f>120.8</f>
        <v>120.8</v>
      </c>
      <c r="F109">
        <f>1.257</f>
        <v>1.2569999999999999</v>
      </c>
      <c r="G109">
        <f>14.8236</f>
        <v>14.823600000000001</v>
      </c>
      <c r="H109">
        <f>0.754</f>
        <v>0.754</v>
      </c>
    </row>
    <row r="110" spans="1:8" x14ac:dyDescent="0.25">
      <c r="A110" s="1">
        <v>44641</v>
      </c>
      <c r="C110">
        <f>29.4029</f>
        <v>29.402899999999999</v>
      </c>
      <c r="D110">
        <f>0.9078</f>
        <v>0.90780000000000005</v>
      </c>
      <c r="E110">
        <f>119.47</f>
        <v>119.47</v>
      </c>
      <c r="F110">
        <f>1.2593</f>
        <v>1.2593000000000001</v>
      </c>
      <c r="G110">
        <f>14.8278</f>
        <v>14.8278</v>
      </c>
      <c r="H110">
        <f>0.7595</f>
        <v>0.75949999999999995</v>
      </c>
    </row>
    <row r="111" spans="1:8" x14ac:dyDescent="0.25">
      <c r="A111" s="1">
        <v>44638</v>
      </c>
      <c r="C111">
        <f>29.4033</f>
        <v>29.403300000000002</v>
      </c>
      <c r="D111">
        <f>0.9049</f>
        <v>0.90490000000000004</v>
      </c>
      <c r="E111">
        <f>119.17</f>
        <v>119.17</v>
      </c>
      <c r="F111">
        <f>1.2603</f>
        <v>1.2603</v>
      </c>
      <c r="G111">
        <f>14.8053</f>
        <v>14.805300000000001</v>
      </c>
      <c r="H111">
        <f>0.7589</f>
        <v>0.75890000000000002</v>
      </c>
    </row>
    <row r="112" spans="1:8" x14ac:dyDescent="0.25">
      <c r="A112" s="1">
        <v>44637</v>
      </c>
      <c r="C112" t="e">
        <f>NA()</f>
        <v>#N/A</v>
      </c>
      <c r="D112">
        <f>0.9015</f>
        <v>0.90149999999999997</v>
      </c>
      <c r="E112">
        <f>118.6</f>
        <v>118.6</v>
      </c>
      <c r="F112">
        <f>1.2628</f>
        <v>1.2627999999999999</v>
      </c>
      <c r="G112">
        <f>14.6971</f>
        <v>14.697100000000001</v>
      </c>
      <c r="H112">
        <f>0.7605</f>
        <v>0.76049999999999995</v>
      </c>
    </row>
    <row r="113" spans="1:8" x14ac:dyDescent="0.25">
      <c r="A113" s="1">
        <v>44636</v>
      </c>
      <c r="C113" t="e">
        <f>NA()</f>
        <v>#N/A</v>
      </c>
      <c r="D113">
        <f>0.9062</f>
        <v>0.90620000000000001</v>
      </c>
      <c r="E113">
        <f>118.73</f>
        <v>118.73</v>
      </c>
      <c r="F113">
        <f>1.2677</f>
        <v>1.2677</v>
      </c>
      <c r="G113">
        <f>14.6245</f>
        <v>14.624499999999999</v>
      </c>
      <c r="H113">
        <f>0.7605</f>
        <v>0.76049999999999995</v>
      </c>
    </row>
    <row r="114" spans="1:8" x14ac:dyDescent="0.25">
      <c r="A114" s="1">
        <v>44635</v>
      </c>
      <c r="C114" t="e">
        <f>NA()</f>
        <v>#N/A</v>
      </c>
      <c r="D114">
        <f>0.9129</f>
        <v>0.91290000000000004</v>
      </c>
      <c r="E114">
        <f>118.3</f>
        <v>118.3</v>
      </c>
      <c r="F114">
        <f>1.2765</f>
        <v>1.2765</v>
      </c>
      <c r="G114">
        <f>14.6976</f>
        <v>14.6976</v>
      </c>
      <c r="H114">
        <f>0.7668</f>
        <v>0.76680000000000004</v>
      </c>
    </row>
    <row r="115" spans="1:8" x14ac:dyDescent="0.25">
      <c r="A115" s="1">
        <v>44634</v>
      </c>
      <c r="C115" t="e">
        <f>NA()</f>
        <v>#N/A</v>
      </c>
      <c r="D115">
        <f>0.9141</f>
        <v>0.91410000000000002</v>
      </c>
      <c r="E115">
        <f>118.19</f>
        <v>118.19</v>
      </c>
      <c r="F115">
        <f>1.2824</f>
        <v>1.2824</v>
      </c>
      <c r="G115">
        <f>14.8057</f>
        <v>14.8057</v>
      </c>
      <c r="H115">
        <f>0.7692</f>
        <v>0.76919999999999999</v>
      </c>
    </row>
    <row r="116" spans="1:8" x14ac:dyDescent="0.25">
      <c r="A116" s="1">
        <v>44631</v>
      </c>
      <c r="C116" t="e">
        <f>NA()</f>
        <v>#N/A</v>
      </c>
      <c r="D116">
        <f>0.9164</f>
        <v>0.91639999999999999</v>
      </c>
      <c r="E116">
        <f>117.29</f>
        <v>117.29</v>
      </c>
      <c r="F116">
        <f>1.2744</f>
        <v>1.2744</v>
      </c>
      <c r="G116">
        <f>14.7668</f>
        <v>14.7668</v>
      </c>
      <c r="H116">
        <f>0.767</f>
        <v>0.76700000000000002</v>
      </c>
    </row>
    <row r="117" spans="1:8" x14ac:dyDescent="0.25">
      <c r="A117" s="1">
        <v>44630</v>
      </c>
      <c r="C117" t="e">
        <f>NA()</f>
        <v>#N/A</v>
      </c>
      <c r="D117">
        <f>0.9101</f>
        <v>0.91010000000000002</v>
      </c>
      <c r="E117">
        <f>116.14</f>
        <v>116.14</v>
      </c>
      <c r="F117">
        <f>1.2769</f>
        <v>1.2768999999999999</v>
      </c>
      <c r="G117">
        <f>14.8424</f>
        <v>14.8424</v>
      </c>
      <c r="H117">
        <f>0.7643</f>
        <v>0.76429999999999998</v>
      </c>
    </row>
    <row r="118" spans="1:8" x14ac:dyDescent="0.25">
      <c r="A118" s="1">
        <v>44629</v>
      </c>
      <c r="C118" t="e">
        <f>NA()</f>
        <v>#N/A</v>
      </c>
      <c r="D118">
        <f>0.9029</f>
        <v>0.90290000000000004</v>
      </c>
      <c r="E118">
        <f>115.83</f>
        <v>115.83</v>
      </c>
      <c r="F118">
        <f>1.2809</f>
        <v>1.2808999999999999</v>
      </c>
      <c r="G118">
        <f>14.6574</f>
        <v>14.657400000000001</v>
      </c>
      <c r="H118">
        <f>0.7584</f>
        <v>0.75839999999999996</v>
      </c>
    </row>
    <row r="119" spans="1:8" x14ac:dyDescent="0.25">
      <c r="A119" s="1">
        <v>44628</v>
      </c>
      <c r="C119" t="e">
        <f>NA()</f>
        <v>#N/A</v>
      </c>
      <c r="D119">
        <f>0.9177</f>
        <v>0.91769999999999996</v>
      </c>
      <c r="E119">
        <f>115.67</f>
        <v>115.67</v>
      </c>
      <c r="F119">
        <f>1.2885</f>
        <v>1.2885</v>
      </c>
      <c r="G119">
        <f>14.4962</f>
        <v>14.4962</v>
      </c>
      <c r="H119">
        <f>0.7633</f>
        <v>0.76329999999999998</v>
      </c>
    </row>
    <row r="120" spans="1:8" x14ac:dyDescent="0.25">
      <c r="A120" s="1">
        <v>44627</v>
      </c>
      <c r="C120" t="e">
        <f>NA()</f>
        <v>#N/A</v>
      </c>
      <c r="D120">
        <f>0.9213</f>
        <v>0.92130000000000001</v>
      </c>
      <c r="E120">
        <f>115.32</f>
        <v>115.32</v>
      </c>
      <c r="F120">
        <f>1.282</f>
        <v>1.282</v>
      </c>
      <c r="G120">
        <f>14.3851</f>
        <v>14.3851</v>
      </c>
      <c r="H120">
        <f>0.7631</f>
        <v>0.7631</v>
      </c>
    </row>
    <row r="121" spans="1:8" x14ac:dyDescent="0.25">
      <c r="A121" s="1">
        <v>44624</v>
      </c>
      <c r="C121" t="e">
        <f>NA()</f>
        <v>#N/A</v>
      </c>
      <c r="D121">
        <f>0.9147</f>
        <v>0.91469999999999996</v>
      </c>
      <c r="E121">
        <f>114.82</f>
        <v>114.82</v>
      </c>
      <c r="F121">
        <f>1.2731</f>
        <v>1.2730999999999999</v>
      </c>
      <c r="G121">
        <f>14.2004</f>
        <v>14.2004</v>
      </c>
      <c r="H121">
        <f>0.7555</f>
        <v>0.75549999999999995</v>
      </c>
    </row>
    <row r="122" spans="1:8" x14ac:dyDescent="0.25">
      <c r="A122" s="1">
        <v>44623</v>
      </c>
      <c r="C122" t="e">
        <f>NA()</f>
        <v>#N/A</v>
      </c>
      <c r="D122">
        <f>0.9037</f>
        <v>0.90369999999999995</v>
      </c>
      <c r="E122">
        <f>115.46</f>
        <v>115.46</v>
      </c>
      <c r="F122">
        <f>1.2681</f>
        <v>1.2681</v>
      </c>
      <c r="G122">
        <f>14.1183</f>
        <v>14.1183</v>
      </c>
      <c r="H122">
        <f>0.7492</f>
        <v>0.74919999999999998</v>
      </c>
    </row>
    <row r="123" spans="1:8" x14ac:dyDescent="0.25">
      <c r="A123" s="1">
        <v>44622</v>
      </c>
      <c r="C123" t="e">
        <f>NA()</f>
        <v>#N/A</v>
      </c>
      <c r="D123">
        <f>0.8993</f>
        <v>0.89929999999999999</v>
      </c>
      <c r="E123">
        <f>115.52</f>
        <v>115.52</v>
      </c>
      <c r="F123">
        <f>1.2631</f>
        <v>1.2630999999999999</v>
      </c>
      <c r="G123">
        <f>14.0249</f>
        <v>14.024900000000001</v>
      </c>
      <c r="H123">
        <f>0.7459</f>
        <v>0.74590000000000001</v>
      </c>
    </row>
    <row r="124" spans="1:8" x14ac:dyDescent="0.25">
      <c r="A124" s="1">
        <v>44621</v>
      </c>
      <c r="C124" t="e">
        <f>NA()</f>
        <v>#N/A</v>
      </c>
      <c r="D124">
        <f>0.899</f>
        <v>0.89900000000000002</v>
      </c>
      <c r="E124">
        <f>114.92</f>
        <v>114.92</v>
      </c>
      <c r="F124">
        <f>1.2743</f>
        <v>1.2743</v>
      </c>
      <c r="G124">
        <f>13.9076</f>
        <v>13.9076</v>
      </c>
      <c r="H124">
        <f>0.7504</f>
        <v>0.75039999999999996</v>
      </c>
    </row>
    <row r="125" spans="1:8" x14ac:dyDescent="0.25">
      <c r="A125" s="1">
        <v>44620</v>
      </c>
      <c r="C125">
        <f>30.1751</f>
        <v>30.1751</v>
      </c>
      <c r="D125">
        <f>0.8914</f>
        <v>0.89139999999999997</v>
      </c>
      <c r="E125">
        <f>115</f>
        <v>115</v>
      </c>
      <c r="F125">
        <f>1.2675</f>
        <v>1.2675000000000001</v>
      </c>
      <c r="G125">
        <f>13.8455</f>
        <v>13.845499999999999</v>
      </c>
      <c r="H125">
        <f>0.7454</f>
        <v>0.74539999999999995</v>
      </c>
    </row>
    <row r="126" spans="1:8" x14ac:dyDescent="0.25">
      <c r="A126" s="1">
        <v>44617</v>
      </c>
      <c r="C126">
        <f>29.6735</f>
        <v>29.673500000000001</v>
      </c>
      <c r="D126">
        <f>0.8871</f>
        <v>0.8871</v>
      </c>
      <c r="E126">
        <f>115.55</f>
        <v>115.55</v>
      </c>
      <c r="F126">
        <f>1.2713</f>
        <v>1.2713000000000001</v>
      </c>
      <c r="G126">
        <f>13.8202</f>
        <v>13.8202</v>
      </c>
      <c r="H126">
        <f>0.7455</f>
        <v>0.74550000000000005</v>
      </c>
    </row>
    <row r="127" spans="1:8" x14ac:dyDescent="0.25">
      <c r="A127" s="1">
        <v>44616</v>
      </c>
      <c r="C127">
        <f>30.4475</f>
        <v>30.447500000000002</v>
      </c>
      <c r="D127">
        <f>0.8935</f>
        <v>0.89349999999999996</v>
      </c>
      <c r="E127">
        <f>115.53</f>
        <v>115.53</v>
      </c>
      <c r="F127">
        <f>1.2816</f>
        <v>1.2816000000000001</v>
      </c>
      <c r="G127">
        <f>14.0395</f>
        <v>14.0395</v>
      </c>
      <c r="H127">
        <f>0.7474</f>
        <v>0.74739999999999995</v>
      </c>
    </row>
    <row r="128" spans="1:8" x14ac:dyDescent="0.25">
      <c r="A128" s="1">
        <v>44615</v>
      </c>
      <c r="C128">
        <f>29.8981</f>
        <v>29.898099999999999</v>
      </c>
      <c r="D128">
        <f>0.8846</f>
        <v>0.88460000000000005</v>
      </c>
      <c r="E128">
        <f>115.01</f>
        <v>115.01</v>
      </c>
      <c r="F128">
        <f>1.2734</f>
        <v>1.2734000000000001</v>
      </c>
      <c r="G128">
        <f>13.821</f>
        <v>13.821</v>
      </c>
      <c r="H128">
        <f>0.7382</f>
        <v>0.73819999999999997</v>
      </c>
    </row>
    <row r="129" spans="1:8" x14ac:dyDescent="0.25">
      <c r="A129" s="1">
        <v>44614</v>
      </c>
      <c r="C129">
        <f>29.0541</f>
        <v>29.054099999999998</v>
      </c>
      <c r="D129">
        <f>0.883</f>
        <v>0.88300000000000001</v>
      </c>
      <c r="E129">
        <f>115.08</f>
        <v>115.08</v>
      </c>
      <c r="F129">
        <f>1.277</f>
        <v>1.2769999999999999</v>
      </c>
      <c r="G129">
        <f>13.7913</f>
        <v>13.7913</v>
      </c>
      <c r="H129">
        <f>0.736</f>
        <v>0.73599999999999999</v>
      </c>
    </row>
    <row r="130" spans="1:8" x14ac:dyDescent="0.25">
      <c r="A130" s="1">
        <v>44613</v>
      </c>
      <c r="C130">
        <f>28.6445</f>
        <v>28.644500000000001</v>
      </c>
      <c r="D130">
        <f>0.8842</f>
        <v>0.88419999999999999</v>
      </c>
      <c r="E130">
        <f>114.74</f>
        <v>114.74</v>
      </c>
      <c r="F130">
        <f>1.2753</f>
        <v>1.2753000000000001</v>
      </c>
      <c r="G130">
        <f>13.6916</f>
        <v>13.691599999999999</v>
      </c>
      <c r="H130">
        <f>0.7352</f>
        <v>0.73519999999999996</v>
      </c>
    </row>
    <row r="131" spans="1:8" x14ac:dyDescent="0.25">
      <c r="A131" s="1">
        <v>44610</v>
      </c>
      <c r="C131">
        <f>28.413</f>
        <v>28.413</v>
      </c>
      <c r="D131">
        <f>0.8833</f>
        <v>0.88329999999999997</v>
      </c>
      <c r="E131">
        <f>115.01</f>
        <v>115.01</v>
      </c>
      <c r="F131">
        <f>1.2752</f>
        <v>1.2751999999999999</v>
      </c>
      <c r="G131">
        <f>13.6577</f>
        <v>13.6577</v>
      </c>
      <c r="H131">
        <f>0.7359</f>
        <v>0.7359</v>
      </c>
    </row>
    <row r="132" spans="1:8" x14ac:dyDescent="0.25">
      <c r="A132" s="1">
        <v>44609</v>
      </c>
      <c r="C132">
        <f>28.333</f>
        <v>28.332999999999998</v>
      </c>
      <c r="D132">
        <f>0.8801</f>
        <v>0.88009999999999999</v>
      </c>
      <c r="E132">
        <f>114.94</f>
        <v>114.94</v>
      </c>
      <c r="F132">
        <f>1.2708</f>
        <v>1.2707999999999999</v>
      </c>
      <c r="G132">
        <f>13.5808</f>
        <v>13.5808</v>
      </c>
      <c r="H132">
        <f>0.7346</f>
        <v>0.73460000000000003</v>
      </c>
    </row>
    <row r="133" spans="1:8" x14ac:dyDescent="0.25">
      <c r="A133" s="1">
        <v>44608</v>
      </c>
      <c r="C133">
        <f>28.1265</f>
        <v>28.1265</v>
      </c>
      <c r="D133">
        <f>0.8793</f>
        <v>0.87929999999999997</v>
      </c>
      <c r="E133">
        <f>115.52</f>
        <v>115.52</v>
      </c>
      <c r="F133">
        <f>1.2687</f>
        <v>1.2686999999999999</v>
      </c>
      <c r="G133">
        <f>13.5984</f>
        <v>13.5984</v>
      </c>
      <c r="H133">
        <f>0.7361</f>
        <v>0.73609999999999998</v>
      </c>
    </row>
    <row r="134" spans="1:8" x14ac:dyDescent="0.25">
      <c r="A134" s="1">
        <v>44607</v>
      </c>
      <c r="C134">
        <f>28.2258</f>
        <v>28.2258</v>
      </c>
      <c r="D134">
        <f>0.8804</f>
        <v>0.88039999999999996</v>
      </c>
      <c r="E134">
        <f>115.61</f>
        <v>115.61</v>
      </c>
      <c r="F134">
        <f>1.2718</f>
        <v>1.2718</v>
      </c>
      <c r="G134">
        <f>13.6043</f>
        <v>13.6043</v>
      </c>
      <c r="H134">
        <f>0.7386</f>
        <v>0.73860000000000003</v>
      </c>
    </row>
    <row r="135" spans="1:8" x14ac:dyDescent="0.25">
      <c r="A135" s="1">
        <v>44606</v>
      </c>
      <c r="C135">
        <f>28.4878</f>
        <v>28.4878</v>
      </c>
      <c r="D135">
        <f>0.8844</f>
        <v>0.88439999999999996</v>
      </c>
      <c r="E135">
        <f>115.54</f>
        <v>115.54</v>
      </c>
      <c r="F135">
        <f>1.273</f>
        <v>1.2729999999999999</v>
      </c>
      <c r="G135">
        <f>13.5978</f>
        <v>13.597799999999999</v>
      </c>
      <c r="H135">
        <f>0.7391</f>
        <v>0.73909999999999998</v>
      </c>
    </row>
    <row r="136" spans="1:8" x14ac:dyDescent="0.25">
      <c r="A136" s="1">
        <v>44603</v>
      </c>
      <c r="C136">
        <f>28.0653</f>
        <v>28.065300000000001</v>
      </c>
      <c r="D136">
        <f>0.8811</f>
        <v>0.88109999999999999</v>
      </c>
      <c r="E136">
        <f>115.42</f>
        <v>115.42</v>
      </c>
      <c r="F136">
        <f>1.2737</f>
        <v>1.2737000000000001</v>
      </c>
      <c r="G136">
        <f>13.4906</f>
        <v>13.490600000000001</v>
      </c>
      <c r="H136">
        <f>0.7374</f>
        <v>0.73740000000000006</v>
      </c>
    </row>
    <row r="137" spans="1:8" x14ac:dyDescent="0.25">
      <c r="A137" s="1">
        <v>44602</v>
      </c>
      <c r="C137">
        <f>27.9288</f>
        <v>27.928799999999999</v>
      </c>
      <c r="D137">
        <f>0.8751</f>
        <v>0.87509999999999999</v>
      </c>
      <c r="E137">
        <f>116.01</f>
        <v>116.01</v>
      </c>
      <c r="F137">
        <f>1.2719</f>
        <v>1.2719</v>
      </c>
      <c r="G137">
        <f>13.4996</f>
        <v>13.499599999999999</v>
      </c>
      <c r="H137">
        <f>0.7375</f>
        <v>0.73750000000000004</v>
      </c>
    </row>
    <row r="138" spans="1:8" x14ac:dyDescent="0.25">
      <c r="A138" s="1">
        <v>44601</v>
      </c>
      <c r="C138">
        <f>27.9183</f>
        <v>27.918299999999999</v>
      </c>
      <c r="D138">
        <f>0.8754</f>
        <v>0.87539999999999996</v>
      </c>
      <c r="E138">
        <f>115.52</f>
        <v>115.52</v>
      </c>
      <c r="F138">
        <f>1.267</f>
        <v>1.2669999999999999</v>
      </c>
      <c r="G138">
        <f>13.5361</f>
        <v>13.536099999999999</v>
      </c>
      <c r="H138">
        <f>0.7389</f>
        <v>0.7389</v>
      </c>
    </row>
    <row r="139" spans="1:8" x14ac:dyDescent="0.25">
      <c r="A139" s="1">
        <v>44600</v>
      </c>
      <c r="C139">
        <f>27.9819</f>
        <v>27.9819</v>
      </c>
      <c r="D139">
        <f>0.8759</f>
        <v>0.87590000000000001</v>
      </c>
      <c r="E139">
        <f>115.55</f>
        <v>115.55</v>
      </c>
      <c r="F139">
        <f>1.2708</f>
        <v>1.2707999999999999</v>
      </c>
      <c r="G139">
        <f>13.5658</f>
        <v>13.565799999999999</v>
      </c>
      <c r="H139">
        <f>0.7383</f>
        <v>0.73829999999999996</v>
      </c>
    </row>
    <row r="140" spans="1:8" x14ac:dyDescent="0.25">
      <c r="A140" s="1">
        <v>44599</v>
      </c>
      <c r="C140">
        <f>27.9256</f>
        <v>27.925599999999999</v>
      </c>
      <c r="D140">
        <f>0.874</f>
        <v>0.874</v>
      </c>
      <c r="E140">
        <f>115.1</f>
        <v>115.1</v>
      </c>
      <c r="F140">
        <f>1.2667</f>
        <v>1.2666999999999999</v>
      </c>
      <c r="G140">
        <f>13.5968</f>
        <v>13.5968</v>
      </c>
      <c r="H140">
        <f>0.7388</f>
        <v>0.73880000000000001</v>
      </c>
    </row>
    <row r="141" spans="1:8" x14ac:dyDescent="0.25">
      <c r="A141" s="1">
        <v>44596</v>
      </c>
      <c r="C141">
        <f>28.1098</f>
        <v>28.1098</v>
      </c>
      <c r="D141">
        <f>0.8733</f>
        <v>0.87329999999999997</v>
      </c>
      <c r="E141">
        <f>115.26</f>
        <v>115.26</v>
      </c>
      <c r="F141">
        <f>1.2757</f>
        <v>1.2757000000000001</v>
      </c>
      <c r="G141">
        <f>13.5484</f>
        <v>13.548400000000001</v>
      </c>
      <c r="H141">
        <f>0.7392</f>
        <v>0.73919999999999997</v>
      </c>
    </row>
    <row r="142" spans="1:8" x14ac:dyDescent="0.25">
      <c r="A142" s="1">
        <v>44595</v>
      </c>
      <c r="C142">
        <f>28.2494</f>
        <v>28.249400000000001</v>
      </c>
      <c r="D142">
        <f>0.8741</f>
        <v>0.87409999999999999</v>
      </c>
      <c r="E142">
        <f>114.97</f>
        <v>114.97</v>
      </c>
      <c r="F142">
        <f>1.2678</f>
        <v>1.2678</v>
      </c>
      <c r="G142">
        <f>13.5678</f>
        <v>13.5678</v>
      </c>
      <c r="H142">
        <f>0.7354</f>
        <v>0.73540000000000005</v>
      </c>
    </row>
    <row r="143" spans="1:8" x14ac:dyDescent="0.25">
      <c r="A143" s="1">
        <v>44594</v>
      </c>
      <c r="C143">
        <f>28.2907</f>
        <v>28.290700000000001</v>
      </c>
      <c r="D143">
        <f>0.8846</f>
        <v>0.88460000000000005</v>
      </c>
      <c r="E143">
        <f>114.46</f>
        <v>114.46</v>
      </c>
      <c r="F143">
        <f>1.2669</f>
        <v>1.2668999999999999</v>
      </c>
      <c r="G143">
        <f>13.4618</f>
        <v>13.4618</v>
      </c>
      <c r="H143">
        <f>0.7366</f>
        <v>0.73660000000000003</v>
      </c>
    </row>
    <row r="144" spans="1:8" x14ac:dyDescent="0.25">
      <c r="A144" s="1">
        <v>44593</v>
      </c>
      <c r="C144">
        <f>28.4246</f>
        <v>28.424600000000002</v>
      </c>
      <c r="D144">
        <f>0.887</f>
        <v>0.88700000000000001</v>
      </c>
      <c r="E144">
        <f>114.71</f>
        <v>114.71</v>
      </c>
      <c r="F144">
        <f>1.2687</f>
        <v>1.2686999999999999</v>
      </c>
      <c r="G144">
        <f>13.3794</f>
        <v>13.3794</v>
      </c>
      <c r="H144">
        <f>0.7394</f>
        <v>0.73939999999999995</v>
      </c>
    </row>
    <row r="145" spans="1:8" x14ac:dyDescent="0.25">
      <c r="A145" s="1">
        <v>44592</v>
      </c>
      <c r="C145">
        <f>28.3758</f>
        <v>28.375800000000002</v>
      </c>
      <c r="D145">
        <f>0.8902</f>
        <v>0.89019999999999999</v>
      </c>
      <c r="E145">
        <f>115.11</f>
        <v>115.11</v>
      </c>
      <c r="F145">
        <f>1.2708</f>
        <v>1.2707999999999999</v>
      </c>
      <c r="G145">
        <f>13.3042</f>
        <v>13.3042</v>
      </c>
      <c r="H145">
        <f>0.7437</f>
        <v>0.74370000000000003</v>
      </c>
    </row>
    <row r="146" spans="1:8" x14ac:dyDescent="0.25">
      <c r="A146" s="1">
        <v>44589</v>
      </c>
      <c r="C146">
        <f>28.7049</f>
        <v>28.704899999999999</v>
      </c>
      <c r="D146">
        <f>0.8971</f>
        <v>0.89710000000000001</v>
      </c>
      <c r="E146">
        <f>115.26</f>
        <v>115.26</v>
      </c>
      <c r="F146">
        <f>1.277</f>
        <v>1.2769999999999999</v>
      </c>
      <c r="G146">
        <f>13.5539</f>
        <v>13.553900000000001</v>
      </c>
      <c r="H146">
        <f>0.7462</f>
        <v>0.74619999999999997</v>
      </c>
    </row>
    <row r="147" spans="1:8" x14ac:dyDescent="0.25">
      <c r="A147" s="1">
        <v>44588</v>
      </c>
      <c r="C147">
        <f>28.9169</f>
        <v>28.916899999999998</v>
      </c>
      <c r="D147">
        <f>0.8972</f>
        <v>0.8972</v>
      </c>
      <c r="E147">
        <f>115.37</f>
        <v>115.37</v>
      </c>
      <c r="F147">
        <f>1.2742</f>
        <v>1.2742</v>
      </c>
      <c r="G147">
        <f>13.6109</f>
        <v>13.610900000000001</v>
      </c>
      <c r="H147">
        <f>0.7472</f>
        <v>0.74719999999999998</v>
      </c>
    </row>
    <row r="148" spans="1:8" x14ac:dyDescent="0.25">
      <c r="A148" s="1">
        <v>44587</v>
      </c>
      <c r="C148">
        <f>28.8819</f>
        <v>28.881900000000002</v>
      </c>
      <c r="D148">
        <f>0.8896</f>
        <v>0.88959999999999995</v>
      </c>
      <c r="E148">
        <f>114.64</f>
        <v>114.64</v>
      </c>
      <c r="F148">
        <f>1.267</f>
        <v>1.2669999999999999</v>
      </c>
      <c r="G148">
        <f>13.5775</f>
        <v>13.577500000000001</v>
      </c>
      <c r="H148">
        <f>0.7427</f>
        <v>0.74270000000000003</v>
      </c>
    </row>
    <row r="149" spans="1:8" x14ac:dyDescent="0.25">
      <c r="A149" s="1">
        <v>44586</v>
      </c>
      <c r="C149">
        <f>28.713</f>
        <v>28.713000000000001</v>
      </c>
      <c r="D149">
        <f>0.8848</f>
        <v>0.88480000000000003</v>
      </c>
      <c r="E149">
        <f>113.88</f>
        <v>113.88</v>
      </c>
      <c r="F149">
        <f>1.2629</f>
        <v>1.2628999999999999</v>
      </c>
      <c r="G149">
        <f>13.4832</f>
        <v>13.4832</v>
      </c>
      <c r="H149">
        <f>0.7406</f>
        <v>0.74060000000000004</v>
      </c>
    </row>
    <row r="150" spans="1:8" x14ac:dyDescent="0.25">
      <c r="A150" s="1">
        <v>44585</v>
      </c>
      <c r="C150">
        <f>28.6445</f>
        <v>28.644500000000001</v>
      </c>
      <c r="D150">
        <f>0.883</f>
        <v>0.88300000000000001</v>
      </c>
      <c r="E150">
        <f>113.95</f>
        <v>113.95</v>
      </c>
      <c r="F150">
        <f>1.2638</f>
        <v>1.2638</v>
      </c>
      <c r="G150">
        <f>13.4548</f>
        <v>13.454800000000001</v>
      </c>
      <c r="H150">
        <f>0.7413</f>
        <v>0.74129999999999996</v>
      </c>
    </row>
    <row r="151" spans="1:8" x14ac:dyDescent="0.25">
      <c r="A151" s="1">
        <v>44582</v>
      </c>
      <c r="C151">
        <f>28.2519</f>
        <v>28.251899999999999</v>
      </c>
      <c r="D151">
        <f>0.8815</f>
        <v>0.88149999999999995</v>
      </c>
      <c r="E151">
        <f>113.68</f>
        <v>113.68</v>
      </c>
      <c r="F151">
        <f>1.2581</f>
        <v>1.2581</v>
      </c>
      <c r="G151">
        <f>13.4541</f>
        <v>13.4541</v>
      </c>
      <c r="H151">
        <f>0.7378</f>
        <v>0.73780000000000001</v>
      </c>
    </row>
    <row r="152" spans="1:8" x14ac:dyDescent="0.25">
      <c r="A152" s="1">
        <v>44581</v>
      </c>
      <c r="C152">
        <f>28.3321</f>
        <v>28.332100000000001</v>
      </c>
      <c r="D152">
        <f>0.884</f>
        <v>0.88400000000000001</v>
      </c>
      <c r="E152">
        <f>114.11</f>
        <v>114.11</v>
      </c>
      <c r="F152">
        <f>1.2503</f>
        <v>1.2503</v>
      </c>
      <c r="G152">
        <f>13.3534</f>
        <v>13.353400000000001</v>
      </c>
      <c r="H152">
        <f>0.7353</f>
        <v>0.73529999999999995</v>
      </c>
    </row>
    <row r="153" spans="1:8" x14ac:dyDescent="0.25">
      <c r="A153" s="1">
        <v>44580</v>
      </c>
      <c r="C153">
        <f>28.3067</f>
        <v>28.306699999999999</v>
      </c>
      <c r="D153">
        <f>0.8816</f>
        <v>0.88160000000000005</v>
      </c>
      <c r="E153">
        <f>114.33</f>
        <v>114.33</v>
      </c>
      <c r="F153">
        <f>1.2515</f>
        <v>1.2515000000000001</v>
      </c>
      <c r="G153">
        <f>13.4276</f>
        <v>13.4276</v>
      </c>
      <c r="H153">
        <f>0.7346</f>
        <v>0.73460000000000003</v>
      </c>
    </row>
    <row r="154" spans="1:8" x14ac:dyDescent="0.25">
      <c r="A154" s="1">
        <v>44579</v>
      </c>
      <c r="C154">
        <f>28.3008</f>
        <v>28.300799999999999</v>
      </c>
      <c r="D154">
        <f>0.8828</f>
        <v>0.88280000000000003</v>
      </c>
      <c r="E154">
        <f>114.61</f>
        <v>114.61</v>
      </c>
      <c r="F154">
        <f>1.2514</f>
        <v>1.2514000000000001</v>
      </c>
      <c r="G154">
        <f>13.5321</f>
        <v>13.5321</v>
      </c>
      <c r="H154">
        <f>0.7355</f>
        <v>0.73550000000000004</v>
      </c>
    </row>
    <row r="155" spans="1:8" x14ac:dyDescent="0.25">
      <c r="A155" s="1">
        <v>44578</v>
      </c>
      <c r="C155">
        <f>28.2696</f>
        <v>28.269600000000001</v>
      </c>
      <c r="D155">
        <f>0.8767</f>
        <v>0.87670000000000003</v>
      </c>
      <c r="E155">
        <f>114.63</f>
        <v>114.63</v>
      </c>
      <c r="F155">
        <f>1.2516</f>
        <v>1.2516</v>
      </c>
      <c r="G155">
        <f>13.4407</f>
        <v>13.4407</v>
      </c>
      <c r="H155">
        <f>0.7328</f>
        <v>0.73280000000000001</v>
      </c>
    </row>
    <row r="156" spans="1:8" x14ac:dyDescent="0.25">
      <c r="A156" s="1">
        <v>44575</v>
      </c>
      <c r="C156">
        <f>28.0297</f>
        <v>28.029699999999998</v>
      </c>
      <c r="D156">
        <f>0.876</f>
        <v>0.876</v>
      </c>
      <c r="E156">
        <f>114.19</f>
        <v>114.19</v>
      </c>
      <c r="F156">
        <f>1.2552</f>
        <v>1.2552000000000001</v>
      </c>
      <c r="G156">
        <f>13.5302</f>
        <v>13.530200000000001</v>
      </c>
      <c r="H156">
        <f>0.7312</f>
        <v>0.73119999999999996</v>
      </c>
    </row>
    <row r="157" spans="1:8" x14ac:dyDescent="0.25">
      <c r="A157" s="1">
        <v>44574</v>
      </c>
      <c r="C157">
        <f>27.895</f>
        <v>27.895</v>
      </c>
      <c r="D157">
        <f>0.873</f>
        <v>0.873</v>
      </c>
      <c r="E157">
        <f>114.2</f>
        <v>114.2</v>
      </c>
      <c r="F157">
        <f>1.252</f>
        <v>1.252</v>
      </c>
      <c r="G157">
        <f>13.5912</f>
        <v>13.591200000000001</v>
      </c>
      <c r="H157">
        <f>0.7296</f>
        <v>0.72960000000000003</v>
      </c>
    </row>
    <row r="158" spans="1:8" x14ac:dyDescent="0.25">
      <c r="A158" s="1">
        <v>44573</v>
      </c>
      <c r="C158">
        <f>27.7979</f>
        <v>27.797899999999998</v>
      </c>
      <c r="D158">
        <f>0.8741</f>
        <v>0.87409999999999999</v>
      </c>
      <c r="E158">
        <f>114.64</f>
        <v>114.64</v>
      </c>
      <c r="F158">
        <f>1.2509</f>
        <v>1.2508999999999999</v>
      </c>
      <c r="G158">
        <f>13.2848</f>
        <v>13.284800000000001</v>
      </c>
      <c r="H158">
        <f>0.7298</f>
        <v>0.7298</v>
      </c>
    </row>
    <row r="159" spans="1:8" x14ac:dyDescent="0.25">
      <c r="A159" s="1">
        <v>44572</v>
      </c>
      <c r="C159">
        <f>27.6446</f>
        <v>27.644600000000001</v>
      </c>
      <c r="D159">
        <f>0.8796</f>
        <v>0.87960000000000005</v>
      </c>
      <c r="E159">
        <f>115.3</f>
        <v>115.3</v>
      </c>
      <c r="F159">
        <f>1.2575</f>
        <v>1.2575000000000001</v>
      </c>
      <c r="G159">
        <f>13.8039</f>
        <v>13.803900000000001</v>
      </c>
      <c r="H159">
        <f>0.7334</f>
        <v>0.73340000000000005</v>
      </c>
    </row>
    <row r="160" spans="1:8" x14ac:dyDescent="0.25">
      <c r="A160" s="1">
        <v>44571</v>
      </c>
      <c r="C160">
        <f>27.5243</f>
        <v>27.5243</v>
      </c>
      <c r="D160">
        <f>0.8828</f>
        <v>0.88280000000000003</v>
      </c>
      <c r="E160">
        <f>115.2</f>
        <v>115.2</v>
      </c>
      <c r="F160">
        <f>1.2679</f>
        <v>1.2679</v>
      </c>
      <c r="G160">
        <f>13.8148</f>
        <v>13.8148</v>
      </c>
      <c r="H160">
        <f>0.7366</f>
        <v>0.73660000000000003</v>
      </c>
    </row>
    <row r="161" spans="1:8" x14ac:dyDescent="0.25">
      <c r="A161" s="1">
        <v>44568</v>
      </c>
      <c r="C161" t="e">
        <f>NA()</f>
        <v>#N/A</v>
      </c>
      <c r="D161">
        <f>0.8801</f>
        <v>0.88009999999999999</v>
      </c>
      <c r="E161">
        <f>115.56</f>
        <v>115.56</v>
      </c>
      <c r="F161">
        <f>1.2643</f>
        <v>1.2643</v>
      </c>
      <c r="G161">
        <f>13.8697</f>
        <v>13.8697</v>
      </c>
      <c r="H161">
        <f>0.7358</f>
        <v>0.73580000000000001</v>
      </c>
    </row>
    <row r="162" spans="1:8" x14ac:dyDescent="0.25">
      <c r="A162" s="1">
        <v>44567</v>
      </c>
      <c r="C162">
        <f>27.4937</f>
        <v>27.4937</v>
      </c>
      <c r="D162">
        <f>0.885</f>
        <v>0.88500000000000001</v>
      </c>
      <c r="E162">
        <f>115.83</f>
        <v>115.83</v>
      </c>
      <c r="F162">
        <f>1.2729</f>
        <v>1.2728999999999999</v>
      </c>
      <c r="G162">
        <f>13.861</f>
        <v>13.861000000000001</v>
      </c>
      <c r="H162">
        <f>0.7389</f>
        <v>0.7389</v>
      </c>
    </row>
    <row r="163" spans="1:8" x14ac:dyDescent="0.25">
      <c r="A163" s="1">
        <v>44566</v>
      </c>
      <c r="C163">
        <f>27.4621</f>
        <v>27.4621</v>
      </c>
      <c r="D163">
        <f>0.8839</f>
        <v>0.88390000000000002</v>
      </c>
      <c r="E163">
        <f>116.11</f>
        <v>116.11</v>
      </c>
      <c r="F163">
        <f>1.2756</f>
        <v>1.2756000000000001</v>
      </c>
      <c r="G163">
        <f>13.6746</f>
        <v>13.6746</v>
      </c>
      <c r="H163">
        <f>0.7376</f>
        <v>0.73760000000000003</v>
      </c>
    </row>
    <row r="164" spans="1:8" x14ac:dyDescent="0.25">
      <c r="A164" s="1">
        <v>44565</v>
      </c>
      <c r="C164">
        <f>27.4317</f>
        <v>27.431699999999999</v>
      </c>
      <c r="D164">
        <f>0.886</f>
        <v>0.88600000000000001</v>
      </c>
      <c r="E164">
        <f>116.16</f>
        <v>116.16</v>
      </c>
      <c r="F164">
        <f>1.2708</f>
        <v>1.2707999999999999</v>
      </c>
      <c r="G164">
        <f>13.4082</f>
        <v>13.408200000000001</v>
      </c>
      <c r="H164">
        <f>0.7391</f>
        <v>0.73909999999999998</v>
      </c>
    </row>
    <row r="165" spans="1:8" x14ac:dyDescent="0.25">
      <c r="A165" s="1">
        <v>44564</v>
      </c>
      <c r="C165" t="e">
        <f>NA()</f>
        <v>#N/A</v>
      </c>
      <c r="D165">
        <f>0.8852</f>
        <v>0.88519999999999999</v>
      </c>
      <c r="E165">
        <f>115.32</f>
        <v>115.32</v>
      </c>
      <c r="F165">
        <f>1.2745</f>
        <v>1.2745</v>
      </c>
      <c r="G165">
        <f>13.1278</f>
        <v>13.127800000000001</v>
      </c>
      <c r="H165">
        <f>0.7418</f>
        <v>0.74180000000000001</v>
      </c>
    </row>
    <row r="166" spans="1:8" x14ac:dyDescent="0.25">
      <c r="A166" s="1">
        <v>44561</v>
      </c>
      <c r="C166">
        <f>27.285</f>
        <v>27.285</v>
      </c>
      <c r="D166">
        <f>0.8793</f>
        <v>0.87929999999999997</v>
      </c>
      <c r="E166">
        <f>115.08</f>
        <v>115.08</v>
      </c>
      <c r="F166">
        <f>1.2637</f>
        <v>1.2637</v>
      </c>
      <c r="G166">
        <f>13.304</f>
        <v>13.304</v>
      </c>
      <c r="H166">
        <f>0.7392</f>
        <v>0.73919999999999997</v>
      </c>
    </row>
    <row r="167" spans="1:8" x14ac:dyDescent="0.25">
      <c r="A167" s="1">
        <v>44560</v>
      </c>
      <c r="C167">
        <f>27.3007</f>
        <v>27.300699999999999</v>
      </c>
      <c r="D167">
        <f>0.8829</f>
        <v>0.88290000000000002</v>
      </c>
      <c r="E167">
        <f>115.08</f>
        <v>115.08</v>
      </c>
      <c r="F167">
        <f>1.2741</f>
        <v>1.2741</v>
      </c>
      <c r="G167">
        <f>13.149</f>
        <v>13.148999999999999</v>
      </c>
      <c r="H167">
        <f>0.7406</f>
        <v>0.74060000000000004</v>
      </c>
    </row>
    <row r="168" spans="1:8" x14ac:dyDescent="0.25">
      <c r="A168" s="1">
        <v>44559</v>
      </c>
      <c r="C168">
        <f>27.2133</f>
        <v>27.2133</v>
      </c>
      <c r="D168">
        <f>0.8813</f>
        <v>0.88129999999999997</v>
      </c>
      <c r="E168">
        <f>114.95</f>
        <v>114.95</v>
      </c>
      <c r="F168">
        <f>1.2791</f>
        <v>1.2790999999999999</v>
      </c>
      <c r="G168">
        <f>12.6373</f>
        <v>12.6373</v>
      </c>
      <c r="H168">
        <f>0.7412</f>
        <v>0.74119999999999997</v>
      </c>
    </row>
    <row r="169" spans="1:8" x14ac:dyDescent="0.25">
      <c r="A169" s="1">
        <v>44558</v>
      </c>
      <c r="C169">
        <f>27.2105</f>
        <v>27.2105</v>
      </c>
      <c r="D169">
        <f>0.8843</f>
        <v>0.88429999999999997</v>
      </c>
      <c r="E169">
        <f>114.82</f>
        <v>114.82</v>
      </c>
      <c r="F169">
        <f>1.2822</f>
        <v>1.2822</v>
      </c>
      <c r="G169">
        <f>11.7886</f>
        <v>11.788600000000001</v>
      </c>
      <c r="H169">
        <f>0.7445</f>
        <v>0.74450000000000005</v>
      </c>
    </row>
    <row r="170" spans="1:8" x14ac:dyDescent="0.25">
      <c r="A170" s="1">
        <v>44557</v>
      </c>
      <c r="C170" t="e">
        <f>NA()</f>
        <v>#N/A</v>
      </c>
      <c r="D170">
        <f>0.8828</f>
        <v>0.88280000000000003</v>
      </c>
      <c r="E170">
        <f>114.87</f>
        <v>114.87</v>
      </c>
      <c r="F170">
        <f>1.2789</f>
        <v>1.2788999999999999</v>
      </c>
      <c r="G170">
        <f>11.5205</f>
        <v>11.5205</v>
      </c>
      <c r="H170">
        <f>0.7439</f>
        <v>0.74390000000000001</v>
      </c>
    </row>
    <row r="171" spans="1:8" x14ac:dyDescent="0.25">
      <c r="A171" s="1">
        <v>44554</v>
      </c>
      <c r="C171">
        <f>27.2687</f>
        <v>27.268699999999999</v>
      </c>
      <c r="D171">
        <f>0.8834</f>
        <v>0.88339999999999996</v>
      </c>
      <c r="E171">
        <f>114.38</f>
        <v>114.38</v>
      </c>
      <c r="F171">
        <f>1.2815</f>
        <v>1.2815000000000001</v>
      </c>
      <c r="G171">
        <f>10.6386</f>
        <v>10.6386</v>
      </c>
      <c r="H171">
        <f>0.7469</f>
        <v>0.74690000000000001</v>
      </c>
    </row>
    <row r="172" spans="1:8" x14ac:dyDescent="0.25">
      <c r="A172" s="1">
        <v>44553</v>
      </c>
      <c r="C172">
        <f>27.1903</f>
        <v>27.190300000000001</v>
      </c>
      <c r="D172">
        <f>0.8828</f>
        <v>0.88280000000000003</v>
      </c>
      <c r="E172">
        <f>114.39</f>
        <v>114.39</v>
      </c>
      <c r="F172">
        <f>1.281</f>
        <v>1.2809999999999999</v>
      </c>
      <c r="G172">
        <f>11.3568</f>
        <v>11.3568</v>
      </c>
      <c r="H172">
        <f>0.7457</f>
        <v>0.74570000000000003</v>
      </c>
    </row>
    <row r="173" spans="1:8" x14ac:dyDescent="0.25">
      <c r="A173" s="1">
        <v>44552</v>
      </c>
      <c r="C173">
        <f>27.2716</f>
        <v>27.271599999999999</v>
      </c>
      <c r="D173">
        <f>0.8829</f>
        <v>0.88290000000000002</v>
      </c>
      <c r="E173">
        <f>114.1</f>
        <v>114.1</v>
      </c>
      <c r="F173">
        <f>1.2836</f>
        <v>1.2836000000000001</v>
      </c>
      <c r="G173">
        <f>12.0395</f>
        <v>12.0395</v>
      </c>
      <c r="H173">
        <f>0.7489</f>
        <v>0.74890000000000001</v>
      </c>
    </row>
    <row r="174" spans="1:8" x14ac:dyDescent="0.25">
      <c r="A174" s="1">
        <v>44551</v>
      </c>
      <c r="C174">
        <f>27.1683</f>
        <v>27.168299999999999</v>
      </c>
      <c r="D174">
        <f>0.886</f>
        <v>0.88600000000000001</v>
      </c>
      <c r="E174">
        <f>114.1</f>
        <v>114.1</v>
      </c>
      <c r="F174">
        <f>1.2914</f>
        <v>1.2914000000000001</v>
      </c>
      <c r="G174">
        <f>12.4883</f>
        <v>12.488300000000001</v>
      </c>
      <c r="H174">
        <f>0.7537</f>
        <v>0.75370000000000004</v>
      </c>
    </row>
    <row r="175" spans="1:8" x14ac:dyDescent="0.25">
      <c r="A175" s="1">
        <v>44550</v>
      </c>
      <c r="C175">
        <f>27.2773</f>
        <v>27.2773</v>
      </c>
      <c r="D175">
        <f>0.8868</f>
        <v>0.88680000000000003</v>
      </c>
      <c r="E175">
        <f>113.61</f>
        <v>113.61</v>
      </c>
      <c r="F175">
        <f>1.294</f>
        <v>1.294</v>
      </c>
      <c r="G175">
        <f>13.3274</f>
        <v>13.327400000000001</v>
      </c>
      <c r="H175">
        <f>0.7571</f>
        <v>0.7571</v>
      </c>
    </row>
    <row r="176" spans="1:8" x14ac:dyDescent="0.25">
      <c r="A176" s="1">
        <v>44547</v>
      </c>
      <c r="C176">
        <f>27.2525</f>
        <v>27.252500000000001</v>
      </c>
      <c r="D176">
        <f>0.8899</f>
        <v>0.88990000000000002</v>
      </c>
      <c r="E176">
        <f>113.63</f>
        <v>113.63</v>
      </c>
      <c r="F176">
        <f>1.2889</f>
        <v>1.2888999999999999</v>
      </c>
      <c r="G176">
        <f>16.41</f>
        <v>16.41</v>
      </c>
      <c r="H176">
        <f>0.7555</f>
        <v>0.75549999999999995</v>
      </c>
    </row>
    <row r="177" spans="1:8" x14ac:dyDescent="0.25">
      <c r="A177" s="1">
        <v>44546</v>
      </c>
      <c r="C177">
        <f>27.1803</f>
        <v>27.180299999999999</v>
      </c>
      <c r="D177">
        <f>0.8826</f>
        <v>0.88260000000000005</v>
      </c>
      <c r="E177">
        <f>113.67</f>
        <v>113.67</v>
      </c>
      <c r="F177">
        <f>1.2775</f>
        <v>1.2775000000000001</v>
      </c>
      <c r="G177">
        <f>15.6652</f>
        <v>15.6652</v>
      </c>
      <c r="H177">
        <f>0.7506</f>
        <v>0.75060000000000004</v>
      </c>
    </row>
    <row r="178" spans="1:8" x14ac:dyDescent="0.25">
      <c r="A178" s="1">
        <v>44545</v>
      </c>
      <c r="C178">
        <f>27.1851</f>
        <v>27.185099999999998</v>
      </c>
      <c r="D178">
        <f>0.8854</f>
        <v>0.88539999999999996</v>
      </c>
      <c r="E178">
        <f>114.04</f>
        <v>114.04</v>
      </c>
      <c r="F178">
        <f>1.2834</f>
        <v>1.2834000000000001</v>
      </c>
      <c r="G178">
        <f>14.8113</f>
        <v>14.811299999999999</v>
      </c>
      <c r="H178">
        <f>0.754</f>
        <v>0.754</v>
      </c>
    </row>
    <row r="179" spans="1:8" x14ac:dyDescent="0.25">
      <c r="A179" s="1">
        <v>44544</v>
      </c>
      <c r="C179">
        <f>27.0763</f>
        <v>27.0763</v>
      </c>
      <c r="D179">
        <f>0.8882</f>
        <v>0.88819999999999999</v>
      </c>
      <c r="E179">
        <f>113.7</f>
        <v>113.7</v>
      </c>
      <c r="F179">
        <f>1.2862</f>
        <v>1.2862</v>
      </c>
      <c r="G179">
        <f>14.3883</f>
        <v>14.388299999999999</v>
      </c>
      <c r="H179">
        <f>0.7559</f>
        <v>0.75590000000000002</v>
      </c>
    </row>
    <row r="180" spans="1:8" x14ac:dyDescent="0.25">
      <c r="A180" s="1">
        <v>44543</v>
      </c>
      <c r="C180">
        <f>26.9529</f>
        <v>26.9529</v>
      </c>
      <c r="D180">
        <f>0.8861</f>
        <v>0.8861</v>
      </c>
      <c r="E180">
        <f>113.54</f>
        <v>113.54</v>
      </c>
      <c r="F180">
        <f>1.2807</f>
        <v>1.2806999999999999</v>
      </c>
      <c r="G180">
        <f>13.8239</f>
        <v>13.8239</v>
      </c>
      <c r="H180">
        <f>0.7569</f>
        <v>0.75690000000000002</v>
      </c>
    </row>
    <row r="181" spans="1:8" x14ac:dyDescent="0.25">
      <c r="A181" s="1">
        <v>44540</v>
      </c>
      <c r="C181">
        <f>27.0368</f>
        <v>27.036799999999999</v>
      </c>
      <c r="D181">
        <f>0.8836</f>
        <v>0.88360000000000005</v>
      </c>
      <c r="E181">
        <f>113.44</f>
        <v>113.44</v>
      </c>
      <c r="F181">
        <f>1.2722</f>
        <v>1.2722</v>
      </c>
      <c r="G181">
        <f>13.8783</f>
        <v>13.878299999999999</v>
      </c>
      <c r="H181">
        <f>0.7534</f>
        <v>0.75339999999999996</v>
      </c>
    </row>
    <row r="182" spans="1:8" x14ac:dyDescent="0.25">
      <c r="A182" s="1">
        <v>44539</v>
      </c>
      <c r="C182">
        <f>27.0854</f>
        <v>27.0854</v>
      </c>
      <c r="D182">
        <f>0.8855</f>
        <v>0.88549999999999995</v>
      </c>
      <c r="E182">
        <f>113.49</f>
        <v>113.49</v>
      </c>
      <c r="F182">
        <f>1.2713</f>
        <v>1.2713000000000001</v>
      </c>
      <c r="G182">
        <f>13.7884</f>
        <v>13.788399999999999</v>
      </c>
      <c r="H182">
        <f>0.7565</f>
        <v>0.75649999999999995</v>
      </c>
    </row>
    <row r="183" spans="1:8" x14ac:dyDescent="0.25">
      <c r="A183" s="1">
        <v>44538</v>
      </c>
      <c r="C183">
        <f>27.1594</f>
        <v>27.159400000000002</v>
      </c>
      <c r="D183">
        <f>0.8817</f>
        <v>0.88170000000000004</v>
      </c>
      <c r="E183">
        <f>113.67</f>
        <v>113.67</v>
      </c>
      <c r="F183">
        <f>1.2654</f>
        <v>1.2654000000000001</v>
      </c>
      <c r="G183">
        <f>13.6765</f>
        <v>13.676500000000001</v>
      </c>
      <c r="H183">
        <f>0.7573</f>
        <v>0.75729999999999997</v>
      </c>
    </row>
    <row r="184" spans="1:8" x14ac:dyDescent="0.25">
      <c r="A184" s="1">
        <v>44537</v>
      </c>
      <c r="C184">
        <f>27.2901</f>
        <v>27.290099999999999</v>
      </c>
      <c r="D184">
        <f>0.8875</f>
        <v>0.88749999999999996</v>
      </c>
      <c r="E184">
        <f>113.6</f>
        <v>113.6</v>
      </c>
      <c r="F184">
        <f>1.2639</f>
        <v>1.2639</v>
      </c>
      <c r="G184">
        <f>13.4914</f>
        <v>13.491400000000001</v>
      </c>
      <c r="H184">
        <f>0.7551</f>
        <v>0.75509999999999999</v>
      </c>
    </row>
    <row r="185" spans="1:8" x14ac:dyDescent="0.25">
      <c r="A185" s="1">
        <v>44536</v>
      </c>
      <c r="C185">
        <f>27.2922</f>
        <v>27.292200000000001</v>
      </c>
      <c r="D185">
        <f>0.8861</f>
        <v>0.8861</v>
      </c>
      <c r="E185">
        <f>113.48</f>
        <v>113.48</v>
      </c>
      <c r="F185">
        <f>1.2756</f>
        <v>1.2756000000000001</v>
      </c>
      <c r="G185">
        <f>13.8047</f>
        <v>13.8047</v>
      </c>
      <c r="H185">
        <f>0.7539</f>
        <v>0.75390000000000001</v>
      </c>
    </row>
    <row r="186" spans="1:8" x14ac:dyDescent="0.25">
      <c r="A186" s="1">
        <v>44533</v>
      </c>
      <c r="C186">
        <f>27.3275</f>
        <v>27.327500000000001</v>
      </c>
      <c r="D186">
        <f>0.884</f>
        <v>0.88400000000000001</v>
      </c>
      <c r="E186">
        <f>112.8</f>
        <v>112.8</v>
      </c>
      <c r="F186">
        <f>1.2843</f>
        <v>1.2843</v>
      </c>
      <c r="G186">
        <f>13.703</f>
        <v>13.702999999999999</v>
      </c>
      <c r="H186">
        <f>0.7556</f>
        <v>0.75560000000000005</v>
      </c>
    </row>
    <row r="187" spans="1:8" x14ac:dyDescent="0.25">
      <c r="A187" s="1">
        <v>44532</v>
      </c>
      <c r="C187">
        <f>27.2367</f>
        <v>27.236699999999999</v>
      </c>
      <c r="D187">
        <f>0.8849</f>
        <v>0.88490000000000002</v>
      </c>
      <c r="E187">
        <f>113.11</f>
        <v>113.11</v>
      </c>
      <c r="F187">
        <f>1.281</f>
        <v>1.2809999999999999</v>
      </c>
      <c r="G187">
        <f>13.6831</f>
        <v>13.6831</v>
      </c>
      <c r="H187">
        <f>0.7517</f>
        <v>0.75170000000000003</v>
      </c>
    </row>
    <row r="188" spans="1:8" x14ac:dyDescent="0.25">
      <c r="A188" s="1">
        <v>44531</v>
      </c>
      <c r="C188">
        <f>27.3377</f>
        <v>27.337700000000002</v>
      </c>
      <c r="D188">
        <f>0.8834</f>
        <v>0.88339999999999996</v>
      </c>
      <c r="E188">
        <f>112.78</f>
        <v>112.78</v>
      </c>
      <c r="F188">
        <f>1.2818</f>
        <v>1.2818000000000001</v>
      </c>
      <c r="G188">
        <f>13.248</f>
        <v>13.247999999999999</v>
      </c>
      <c r="H188">
        <f>0.7533</f>
        <v>0.75329999999999997</v>
      </c>
    </row>
    <row r="189" spans="1:8" x14ac:dyDescent="0.25">
      <c r="A189" s="1">
        <v>44530</v>
      </c>
      <c r="C189">
        <f>27.1744</f>
        <v>27.174399999999999</v>
      </c>
      <c r="D189">
        <f>0.8819</f>
        <v>0.88190000000000002</v>
      </c>
      <c r="E189">
        <f>113.17</f>
        <v>113.17</v>
      </c>
      <c r="F189">
        <f>1.2779</f>
        <v>1.2779</v>
      </c>
      <c r="G189">
        <f>13.4776</f>
        <v>13.477600000000001</v>
      </c>
      <c r="H189">
        <f>0.7518</f>
        <v>0.75180000000000002</v>
      </c>
    </row>
    <row r="190" spans="1:8" x14ac:dyDescent="0.25">
      <c r="A190" s="1">
        <v>44529</v>
      </c>
      <c r="C190">
        <f>27.2825</f>
        <v>27.282499999999999</v>
      </c>
      <c r="D190">
        <f>0.8855</f>
        <v>0.88549999999999995</v>
      </c>
      <c r="E190">
        <f>113.53</f>
        <v>113.53</v>
      </c>
      <c r="F190">
        <f>1.2741</f>
        <v>1.2741</v>
      </c>
      <c r="G190">
        <f>12.8196</f>
        <v>12.819599999999999</v>
      </c>
      <c r="H190">
        <f>0.7511</f>
        <v>0.75109999999999999</v>
      </c>
    </row>
    <row r="191" spans="1:8" x14ac:dyDescent="0.25">
      <c r="A191" s="1">
        <v>44526</v>
      </c>
      <c r="C191">
        <f>27.1376</f>
        <v>27.137599999999999</v>
      </c>
      <c r="D191">
        <f>0.8834</f>
        <v>0.88339999999999996</v>
      </c>
      <c r="E191">
        <f>113.38</f>
        <v>113.38</v>
      </c>
      <c r="F191">
        <f>1.2791</f>
        <v>1.2790999999999999</v>
      </c>
      <c r="G191">
        <f>12.3373</f>
        <v>12.337300000000001</v>
      </c>
      <c r="H191">
        <f>0.7499</f>
        <v>0.74990000000000001</v>
      </c>
    </row>
    <row r="192" spans="1:8" x14ac:dyDescent="0.25">
      <c r="A192" s="1">
        <v>44525</v>
      </c>
      <c r="C192">
        <f>27.0652</f>
        <v>27.065200000000001</v>
      </c>
      <c r="D192">
        <f>0.8921</f>
        <v>0.8921</v>
      </c>
      <c r="E192">
        <f>115.36</f>
        <v>115.36</v>
      </c>
      <c r="F192">
        <f>1.2648</f>
        <v>1.2647999999999999</v>
      </c>
      <c r="G192">
        <f>11.9928</f>
        <v>11.992800000000001</v>
      </c>
      <c r="H192">
        <f>0.7506</f>
        <v>0.75060000000000004</v>
      </c>
    </row>
    <row r="193" spans="1:8" x14ac:dyDescent="0.25">
      <c r="A193" s="1">
        <v>44524</v>
      </c>
      <c r="C193">
        <f>26.9927</f>
        <v>26.992699999999999</v>
      </c>
      <c r="D193">
        <f>0.8929</f>
        <v>0.89290000000000003</v>
      </c>
      <c r="E193">
        <f>115.43</f>
        <v>115.43</v>
      </c>
      <c r="F193">
        <f>1.2668</f>
        <v>1.2667999999999999</v>
      </c>
      <c r="G193">
        <f>11.9535</f>
        <v>11.9535</v>
      </c>
      <c r="H193">
        <f>0.7503</f>
        <v>0.75029999999999997</v>
      </c>
    </row>
    <row r="194" spans="1:8" x14ac:dyDescent="0.25">
      <c r="A194" s="1">
        <v>44523</v>
      </c>
      <c r="C194">
        <f>26.8592</f>
        <v>26.859200000000001</v>
      </c>
      <c r="D194">
        <f>0.889</f>
        <v>0.88900000000000001</v>
      </c>
      <c r="E194">
        <f>115.14</f>
        <v>115.14</v>
      </c>
      <c r="F194">
        <f>1.267</f>
        <v>1.2669999999999999</v>
      </c>
      <c r="G194">
        <f>12.8238</f>
        <v>12.8238</v>
      </c>
      <c r="H194">
        <f>0.7475</f>
        <v>0.74750000000000005</v>
      </c>
    </row>
    <row r="195" spans="1:8" x14ac:dyDescent="0.25">
      <c r="A195" s="1">
        <v>44522</v>
      </c>
      <c r="C195">
        <f>26.7681</f>
        <v>26.7681</v>
      </c>
      <c r="D195">
        <f>0.8901</f>
        <v>0.8901</v>
      </c>
      <c r="E195">
        <f>114.88</f>
        <v>114.88</v>
      </c>
      <c r="F195">
        <f>1.27</f>
        <v>1.27</v>
      </c>
      <c r="G195">
        <f>11.3853</f>
        <v>11.385300000000001</v>
      </c>
      <c r="H195">
        <f>0.7466</f>
        <v>0.74660000000000004</v>
      </c>
    </row>
    <row r="196" spans="1:8" x14ac:dyDescent="0.25">
      <c r="A196" s="1">
        <v>44519</v>
      </c>
      <c r="C196">
        <f>26.5702</f>
        <v>26.5702</v>
      </c>
      <c r="D196">
        <f>0.8864</f>
        <v>0.88639999999999997</v>
      </c>
      <c r="E196">
        <f>113.99</f>
        <v>113.99</v>
      </c>
      <c r="F196">
        <f>1.264</f>
        <v>1.264</v>
      </c>
      <c r="G196">
        <f>11.2884</f>
        <v>11.288399999999999</v>
      </c>
      <c r="H196">
        <f>0.7436</f>
        <v>0.74360000000000004</v>
      </c>
    </row>
    <row r="197" spans="1:8" x14ac:dyDescent="0.25">
      <c r="A197" s="1">
        <v>44518</v>
      </c>
      <c r="C197">
        <f>26.5108</f>
        <v>26.5108</v>
      </c>
      <c r="D197">
        <f>0.8793</f>
        <v>0.87929999999999997</v>
      </c>
      <c r="E197">
        <f>114.26</f>
        <v>114.26</v>
      </c>
      <c r="F197">
        <f>1.2602</f>
        <v>1.2602</v>
      </c>
      <c r="G197">
        <f>11.0635</f>
        <v>11.063499999999999</v>
      </c>
      <c r="H197">
        <f>0.7408</f>
        <v>0.74080000000000001</v>
      </c>
    </row>
    <row r="198" spans="1:8" x14ac:dyDescent="0.25">
      <c r="A198" s="1">
        <v>44517</v>
      </c>
      <c r="C198">
        <f>26.4501</f>
        <v>26.450099999999999</v>
      </c>
      <c r="D198">
        <f>0.8835</f>
        <v>0.88349999999999995</v>
      </c>
      <c r="E198">
        <f>114.08</f>
        <v>114.08</v>
      </c>
      <c r="F198">
        <f>1.261</f>
        <v>1.2609999999999999</v>
      </c>
      <c r="G198">
        <f>10.6294</f>
        <v>10.6294</v>
      </c>
      <c r="H198">
        <f>0.7412</f>
        <v>0.74119999999999997</v>
      </c>
    </row>
    <row r="199" spans="1:8" x14ac:dyDescent="0.25">
      <c r="A199" s="1">
        <v>44516</v>
      </c>
      <c r="C199">
        <f>26.4928</f>
        <v>26.492799999999999</v>
      </c>
      <c r="D199">
        <f>0.8834</f>
        <v>0.88339999999999996</v>
      </c>
      <c r="E199">
        <f>114.82</f>
        <v>114.82</v>
      </c>
      <c r="F199">
        <f>1.2558</f>
        <v>1.2558</v>
      </c>
      <c r="G199">
        <f>10.3172</f>
        <v>10.3172</v>
      </c>
      <c r="H199">
        <f>0.7446</f>
        <v>0.74460000000000004</v>
      </c>
    </row>
    <row r="200" spans="1:8" x14ac:dyDescent="0.25">
      <c r="A200" s="1">
        <v>44515</v>
      </c>
      <c r="C200">
        <f>26.3364</f>
        <v>26.336400000000001</v>
      </c>
      <c r="D200">
        <f>0.8797</f>
        <v>0.87970000000000004</v>
      </c>
      <c r="E200">
        <f>114.12</f>
        <v>114.12</v>
      </c>
      <c r="F200">
        <f>1.2516</f>
        <v>1.2516</v>
      </c>
      <c r="G200">
        <f>10.0626</f>
        <v>10.0626</v>
      </c>
      <c r="H200">
        <f>0.7455</f>
        <v>0.74550000000000005</v>
      </c>
    </row>
    <row r="201" spans="1:8" x14ac:dyDescent="0.25">
      <c r="A201" s="1">
        <v>44512</v>
      </c>
      <c r="C201">
        <f>26.264</f>
        <v>26.263999999999999</v>
      </c>
      <c r="D201">
        <f>0.8739</f>
        <v>0.87390000000000001</v>
      </c>
      <c r="E201">
        <f>113.89</f>
        <v>113.89</v>
      </c>
      <c r="F201">
        <f>1.255</f>
        <v>1.2549999999999999</v>
      </c>
      <c r="G201">
        <f>9.9992</f>
        <v>9.9992000000000001</v>
      </c>
      <c r="H201">
        <f>0.7455</f>
        <v>0.74550000000000005</v>
      </c>
    </row>
    <row r="202" spans="1:8" x14ac:dyDescent="0.25">
      <c r="A202" s="1">
        <v>44511</v>
      </c>
      <c r="C202">
        <f>26.0837</f>
        <v>26.0837</v>
      </c>
      <c r="D202">
        <f>0.8734</f>
        <v>0.87339999999999995</v>
      </c>
      <c r="E202">
        <f>114.06</f>
        <v>114.06</v>
      </c>
      <c r="F202">
        <f>1.2579</f>
        <v>1.2579</v>
      </c>
      <c r="G202">
        <f>9.9062</f>
        <v>9.9062000000000001</v>
      </c>
      <c r="H202">
        <f>0.748</f>
        <v>0.748</v>
      </c>
    </row>
    <row r="203" spans="1:8" x14ac:dyDescent="0.25">
      <c r="A203" s="1">
        <v>44510</v>
      </c>
      <c r="C203">
        <f>26.058</f>
        <v>26.058</v>
      </c>
      <c r="D203">
        <f>0.8713</f>
        <v>0.87129999999999996</v>
      </c>
      <c r="E203">
        <f>113.91</f>
        <v>113.91</v>
      </c>
      <c r="F203">
        <f>1.2491</f>
        <v>1.2491000000000001</v>
      </c>
      <c r="G203">
        <f>9.847</f>
        <v>9.8469999999999995</v>
      </c>
      <c r="H203">
        <f>0.746</f>
        <v>0.746</v>
      </c>
    </row>
    <row r="204" spans="1:8" x14ac:dyDescent="0.25">
      <c r="A204" s="1">
        <v>44509</v>
      </c>
      <c r="C204">
        <f>26.0752</f>
        <v>26.075199999999999</v>
      </c>
      <c r="D204">
        <f>0.8625</f>
        <v>0.86250000000000004</v>
      </c>
      <c r="E204">
        <f>112.87</f>
        <v>112.87</v>
      </c>
      <c r="F204">
        <f>1.2438</f>
        <v>1.2438</v>
      </c>
      <c r="G204">
        <f>9.735</f>
        <v>9.7349999999999994</v>
      </c>
      <c r="H204">
        <f>0.7376</f>
        <v>0.73760000000000003</v>
      </c>
    </row>
    <row r="205" spans="1:8" x14ac:dyDescent="0.25">
      <c r="A205" s="1">
        <v>44508</v>
      </c>
      <c r="C205">
        <f>26.0802</f>
        <v>26.080200000000001</v>
      </c>
      <c r="D205">
        <f>0.863</f>
        <v>0.86299999999999999</v>
      </c>
      <c r="E205">
        <f>113.23</f>
        <v>113.23</v>
      </c>
      <c r="F205">
        <f>1.2442</f>
        <v>1.2442</v>
      </c>
      <c r="G205">
        <f>9.6853</f>
        <v>9.6852999999999998</v>
      </c>
      <c r="H205">
        <f>0.7371</f>
        <v>0.73709999999999998</v>
      </c>
    </row>
    <row r="206" spans="1:8" x14ac:dyDescent="0.25">
      <c r="A206" s="1">
        <v>44505</v>
      </c>
      <c r="C206">
        <f>26.0949</f>
        <v>26.094899999999999</v>
      </c>
      <c r="D206">
        <f>0.8644</f>
        <v>0.86439999999999995</v>
      </c>
      <c r="E206">
        <f>113.41</f>
        <v>113.41</v>
      </c>
      <c r="F206">
        <f>1.2457</f>
        <v>1.2457</v>
      </c>
      <c r="G206">
        <f>9.6922</f>
        <v>9.6921999999999997</v>
      </c>
      <c r="H206">
        <f>0.7409</f>
        <v>0.7409</v>
      </c>
    </row>
    <row r="207" spans="1:8" x14ac:dyDescent="0.25">
      <c r="A207" s="1">
        <v>44504</v>
      </c>
      <c r="C207">
        <f>26.1731</f>
        <v>26.173100000000002</v>
      </c>
      <c r="D207">
        <f>0.8654</f>
        <v>0.86539999999999995</v>
      </c>
      <c r="E207">
        <f>113.76</f>
        <v>113.76</v>
      </c>
      <c r="F207">
        <f>1.2456</f>
        <v>1.2456</v>
      </c>
      <c r="G207">
        <f>9.7039</f>
        <v>9.7039000000000009</v>
      </c>
      <c r="H207">
        <f>0.7407</f>
        <v>0.74070000000000003</v>
      </c>
    </row>
    <row r="208" spans="1:8" x14ac:dyDescent="0.25">
      <c r="A208" s="1">
        <v>44503</v>
      </c>
      <c r="C208">
        <f>26.2562</f>
        <v>26.2562</v>
      </c>
      <c r="D208">
        <f>0.8612</f>
        <v>0.86119999999999997</v>
      </c>
      <c r="E208">
        <f>114.01</f>
        <v>114.01</v>
      </c>
      <c r="F208">
        <f>1.2391</f>
        <v>1.2391000000000001</v>
      </c>
      <c r="G208">
        <f>9.6447</f>
        <v>9.6447000000000003</v>
      </c>
      <c r="H208">
        <f>0.7307</f>
        <v>0.73070000000000002</v>
      </c>
    </row>
    <row r="209" spans="1:8" x14ac:dyDescent="0.25">
      <c r="A209" s="1">
        <v>44502</v>
      </c>
      <c r="C209">
        <f>26.2738</f>
        <v>26.273800000000001</v>
      </c>
      <c r="D209">
        <f>0.8636</f>
        <v>0.86360000000000003</v>
      </c>
      <c r="E209">
        <f>113.96</f>
        <v>113.96</v>
      </c>
      <c r="F209">
        <f>1.2411</f>
        <v>1.2411000000000001</v>
      </c>
      <c r="G209">
        <f>9.6039</f>
        <v>9.6038999999999994</v>
      </c>
      <c r="H209">
        <f>0.7344</f>
        <v>0.73440000000000005</v>
      </c>
    </row>
    <row r="210" spans="1:8" x14ac:dyDescent="0.25">
      <c r="A210" s="1">
        <v>44501</v>
      </c>
      <c r="C210">
        <f>26.2948</f>
        <v>26.294799999999999</v>
      </c>
      <c r="D210">
        <f>0.8616</f>
        <v>0.86160000000000003</v>
      </c>
      <c r="E210">
        <f>114</f>
        <v>114</v>
      </c>
      <c r="F210">
        <f>1.2369</f>
        <v>1.2369000000000001</v>
      </c>
      <c r="G210">
        <f>9.5398</f>
        <v>9.5397999999999996</v>
      </c>
      <c r="H210">
        <f>0.7318</f>
        <v>0.73180000000000001</v>
      </c>
    </row>
    <row r="211" spans="1:8" x14ac:dyDescent="0.25">
      <c r="A211" s="1">
        <v>44498</v>
      </c>
      <c r="C211">
        <f>26.2888</f>
        <v>26.288799999999998</v>
      </c>
      <c r="D211">
        <f>0.865</f>
        <v>0.86499999999999999</v>
      </c>
      <c r="E211">
        <f>113.95</f>
        <v>113.95</v>
      </c>
      <c r="F211">
        <f>1.2388</f>
        <v>1.2387999999999999</v>
      </c>
      <c r="G211">
        <f>9.6069</f>
        <v>9.6068999999999996</v>
      </c>
      <c r="H211">
        <f>0.7305</f>
        <v>0.73050000000000004</v>
      </c>
    </row>
    <row r="212" spans="1:8" x14ac:dyDescent="0.25">
      <c r="A212" s="1">
        <v>44497</v>
      </c>
      <c r="C212">
        <f>26.3239</f>
        <v>26.323899999999998</v>
      </c>
      <c r="D212">
        <f>0.8559</f>
        <v>0.85589999999999999</v>
      </c>
      <c r="E212">
        <f>113.58</f>
        <v>113.58</v>
      </c>
      <c r="F212">
        <f>1.2346</f>
        <v>1.2345999999999999</v>
      </c>
      <c r="G212">
        <f>9.5449</f>
        <v>9.5449000000000002</v>
      </c>
      <c r="H212">
        <f>0.7249</f>
        <v>0.72489999999999999</v>
      </c>
    </row>
    <row r="213" spans="1:8" x14ac:dyDescent="0.25">
      <c r="A213" s="1">
        <v>44496</v>
      </c>
      <c r="C213">
        <f>26.3607</f>
        <v>26.360700000000001</v>
      </c>
      <c r="D213">
        <f>0.8618</f>
        <v>0.86180000000000001</v>
      </c>
      <c r="E213">
        <f>113.83</f>
        <v>113.83</v>
      </c>
      <c r="F213">
        <f>1.2359</f>
        <v>1.2359</v>
      </c>
      <c r="G213">
        <f>9.5018</f>
        <v>9.5017999999999994</v>
      </c>
      <c r="H213">
        <f>0.7279</f>
        <v>0.72789999999999999</v>
      </c>
    </row>
    <row r="214" spans="1:8" x14ac:dyDescent="0.25">
      <c r="A214" s="1">
        <v>44495</v>
      </c>
      <c r="C214">
        <f>26.424</f>
        <v>26.423999999999999</v>
      </c>
      <c r="D214">
        <f>0.8623</f>
        <v>0.86229999999999996</v>
      </c>
      <c r="E214">
        <f>114.16</f>
        <v>114.16</v>
      </c>
      <c r="F214">
        <f>1.239</f>
        <v>1.2390000000000001</v>
      </c>
      <c r="G214">
        <f>9.5432</f>
        <v>9.5432000000000006</v>
      </c>
      <c r="H214">
        <f>0.7264</f>
        <v>0.72640000000000005</v>
      </c>
    </row>
    <row r="215" spans="1:8" x14ac:dyDescent="0.25">
      <c r="A215" s="1">
        <v>44494</v>
      </c>
      <c r="C215">
        <f>26.4199</f>
        <v>26.419899999999998</v>
      </c>
      <c r="D215">
        <f>0.8613</f>
        <v>0.86129999999999995</v>
      </c>
      <c r="E215">
        <f>113.71</f>
        <v>113.71</v>
      </c>
      <c r="F215">
        <f>1.2382</f>
        <v>1.2382</v>
      </c>
      <c r="G215">
        <f>9.5929</f>
        <v>9.5929000000000002</v>
      </c>
      <c r="H215">
        <f>0.7265</f>
        <v>0.72650000000000003</v>
      </c>
    </row>
    <row r="216" spans="1:8" x14ac:dyDescent="0.25">
      <c r="A216" s="1">
        <v>44491</v>
      </c>
      <c r="C216">
        <f>26.2814</f>
        <v>26.281400000000001</v>
      </c>
      <c r="D216">
        <f>0.8587</f>
        <v>0.85870000000000002</v>
      </c>
      <c r="E216">
        <f>113.5</f>
        <v>113.5</v>
      </c>
      <c r="F216">
        <f>1.2366</f>
        <v>1.2365999999999999</v>
      </c>
      <c r="G216">
        <f>9.6085</f>
        <v>9.6084999999999994</v>
      </c>
      <c r="H216">
        <f>0.727</f>
        <v>0.72699999999999998</v>
      </c>
    </row>
    <row r="217" spans="1:8" x14ac:dyDescent="0.25">
      <c r="A217" s="1">
        <v>44490</v>
      </c>
      <c r="C217">
        <f>26.3696</f>
        <v>26.369599999999998</v>
      </c>
      <c r="D217">
        <f>0.8602</f>
        <v>0.86019999999999996</v>
      </c>
      <c r="E217">
        <f>113.99</f>
        <v>113.99</v>
      </c>
      <c r="F217">
        <f>1.2368</f>
        <v>1.2367999999999999</v>
      </c>
      <c r="G217">
        <f>9.5177</f>
        <v>9.5176999999999996</v>
      </c>
      <c r="H217">
        <f>0.725</f>
        <v>0.72499999999999998</v>
      </c>
    </row>
    <row r="218" spans="1:8" x14ac:dyDescent="0.25">
      <c r="A218" s="1">
        <v>44489</v>
      </c>
      <c r="C218">
        <f>26.1805</f>
        <v>26.180499999999999</v>
      </c>
      <c r="D218">
        <f>0.8583</f>
        <v>0.85829999999999995</v>
      </c>
      <c r="E218">
        <f>114.31</f>
        <v>114.31</v>
      </c>
      <c r="F218">
        <f>1.2321</f>
        <v>1.2321</v>
      </c>
      <c r="G218">
        <f>9.219</f>
        <v>9.2189999999999994</v>
      </c>
      <c r="H218">
        <f>0.7234</f>
        <v>0.72340000000000004</v>
      </c>
    </row>
    <row r="219" spans="1:8" x14ac:dyDescent="0.25">
      <c r="A219" s="1">
        <v>44488</v>
      </c>
      <c r="C219">
        <f>26.2441</f>
        <v>26.2441</v>
      </c>
      <c r="D219">
        <f>0.8596</f>
        <v>0.85960000000000003</v>
      </c>
      <c r="E219">
        <f>114.38</f>
        <v>114.38</v>
      </c>
      <c r="F219">
        <f>1.2363</f>
        <v>1.2363</v>
      </c>
      <c r="G219">
        <f>9.3011</f>
        <v>9.3010999999999999</v>
      </c>
      <c r="H219">
        <f>0.725</f>
        <v>0.72499999999999998</v>
      </c>
    </row>
    <row r="220" spans="1:8" x14ac:dyDescent="0.25">
      <c r="A220" s="1">
        <v>44487</v>
      </c>
      <c r="C220">
        <f>26.311</f>
        <v>26.311</v>
      </c>
      <c r="D220">
        <f>0.8612</f>
        <v>0.86119999999999997</v>
      </c>
      <c r="E220">
        <f>114.32</f>
        <v>114.32</v>
      </c>
      <c r="F220">
        <f>1.2379</f>
        <v>1.2379</v>
      </c>
      <c r="G220">
        <f>9.3344</f>
        <v>9.3344000000000005</v>
      </c>
      <c r="H220">
        <f>0.7285</f>
        <v>0.72850000000000004</v>
      </c>
    </row>
    <row r="221" spans="1:8" x14ac:dyDescent="0.25">
      <c r="A221" s="1">
        <v>44484</v>
      </c>
      <c r="C221" t="e">
        <f>NA()</f>
        <v>#N/A</v>
      </c>
      <c r="D221">
        <f>0.8621</f>
        <v>0.86209999999999998</v>
      </c>
      <c r="E221">
        <f>114.22</f>
        <v>114.22</v>
      </c>
      <c r="F221">
        <f>1.2368</f>
        <v>1.2367999999999999</v>
      </c>
      <c r="G221">
        <f>9.2595</f>
        <v>9.2594999999999992</v>
      </c>
      <c r="H221">
        <f>0.7273</f>
        <v>0.72729999999999995</v>
      </c>
    </row>
    <row r="222" spans="1:8" x14ac:dyDescent="0.25">
      <c r="A222" s="1">
        <v>44483</v>
      </c>
      <c r="C222" t="e">
        <f>NA()</f>
        <v>#N/A</v>
      </c>
      <c r="D222">
        <f>0.8623</f>
        <v>0.86229999999999996</v>
      </c>
      <c r="E222">
        <f>113.68</f>
        <v>113.68</v>
      </c>
      <c r="F222">
        <f>1.237</f>
        <v>1.2370000000000001</v>
      </c>
      <c r="G222">
        <f>9.187</f>
        <v>9.1869999999999994</v>
      </c>
      <c r="H222">
        <f>0.7314</f>
        <v>0.73140000000000005</v>
      </c>
    </row>
    <row r="223" spans="1:8" x14ac:dyDescent="0.25">
      <c r="A223" s="1">
        <v>44482</v>
      </c>
      <c r="C223">
        <f>26.3433</f>
        <v>26.343299999999999</v>
      </c>
      <c r="D223">
        <f>0.8623</f>
        <v>0.86229999999999996</v>
      </c>
      <c r="E223">
        <f>113.25</f>
        <v>113.25</v>
      </c>
      <c r="F223">
        <f>1.2443</f>
        <v>1.2443</v>
      </c>
      <c r="G223">
        <f>9.0884</f>
        <v>9.0884</v>
      </c>
      <c r="H223">
        <f>0.732</f>
        <v>0.73199999999999998</v>
      </c>
    </row>
    <row r="224" spans="1:8" x14ac:dyDescent="0.25">
      <c r="A224" s="1">
        <v>44481</v>
      </c>
      <c r="C224">
        <f>26.3354</f>
        <v>26.3354</v>
      </c>
      <c r="D224">
        <f>0.8673</f>
        <v>0.86729999999999996</v>
      </c>
      <c r="E224">
        <f>113.61</f>
        <v>113.61</v>
      </c>
      <c r="F224">
        <f>1.2468</f>
        <v>1.2467999999999999</v>
      </c>
      <c r="G224">
        <f>9.0425</f>
        <v>9.0425000000000004</v>
      </c>
      <c r="H224">
        <f>0.736</f>
        <v>0.73599999999999999</v>
      </c>
    </row>
    <row r="225" spans="1:8" x14ac:dyDescent="0.25">
      <c r="A225" s="1">
        <v>44480</v>
      </c>
      <c r="C225">
        <f>26.3599</f>
        <v>26.3599</v>
      </c>
      <c r="D225">
        <f>0.8655</f>
        <v>0.86550000000000005</v>
      </c>
      <c r="E225">
        <f>113.31</f>
        <v>113.31</v>
      </c>
      <c r="F225">
        <f>1.2483</f>
        <v>1.2483</v>
      </c>
      <c r="G225">
        <f>9.0024</f>
        <v>9.0023999999999997</v>
      </c>
      <c r="H225">
        <f>0.7356</f>
        <v>0.73560000000000003</v>
      </c>
    </row>
    <row r="226" spans="1:8" x14ac:dyDescent="0.25">
      <c r="A226" s="1">
        <v>44477</v>
      </c>
      <c r="C226">
        <f>26.3494</f>
        <v>26.349399999999999</v>
      </c>
      <c r="D226">
        <f>0.864</f>
        <v>0.86399999999999999</v>
      </c>
      <c r="E226">
        <f>112.24</f>
        <v>112.24</v>
      </c>
      <c r="F226">
        <f>1.2472</f>
        <v>1.2472000000000001</v>
      </c>
      <c r="G226">
        <f>8.9694</f>
        <v>8.9694000000000003</v>
      </c>
      <c r="H226">
        <f>0.7345</f>
        <v>0.73450000000000004</v>
      </c>
    </row>
    <row r="227" spans="1:8" x14ac:dyDescent="0.25">
      <c r="A227" s="1">
        <v>44476</v>
      </c>
      <c r="C227">
        <f>26.3063</f>
        <v>26.3063</v>
      </c>
      <c r="D227">
        <f>0.8656</f>
        <v>0.86560000000000004</v>
      </c>
      <c r="E227">
        <f>111.63</f>
        <v>111.63</v>
      </c>
      <c r="F227">
        <f>1.2551</f>
        <v>1.2551000000000001</v>
      </c>
      <c r="G227">
        <f>8.8785</f>
        <v>8.8785000000000007</v>
      </c>
      <c r="H227">
        <f>0.7345</f>
        <v>0.73450000000000004</v>
      </c>
    </row>
    <row r="228" spans="1:8" x14ac:dyDescent="0.25">
      <c r="A228" s="1">
        <v>44475</v>
      </c>
      <c r="C228">
        <f>26.3412</f>
        <v>26.341200000000001</v>
      </c>
      <c r="D228">
        <f>0.8653</f>
        <v>0.86529999999999996</v>
      </c>
      <c r="E228">
        <f>111.41</f>
        <v>111.41</v>
      </c>
      <c r="F228">
        <f>1.259</f>
        <v>1.2589999999999999</v>
      </c>
      <c r="G228">
        <f>8.8803</f>
        <v>8.8803000000000001</v>
      </c>
      <c r="H228">
        <f>0.7362</f>
        <v>0.73619999999999997</v>
      </c>
    </row>
    <row r="229" spans="1:8" x14ac:dyDescent="0.25">
      <c r="A229" s="1">
        <v>44474</v>
      </c>
      <c r="C229">
        <f>26.4275</f>
        <v>26.427499999999998</v>
      </c>
      <c r="D229">
        <f>0.8623</f>
        <v>0.86229999999999996</v>
      </c>
      <c r="E229">
        <f>111.46</f>
        <v>111.46</v>
      </c>
      <c r="F229">
        <f>1.2583</f>
        <v>1.2583</v>
      </c>
      <c r="G229">
        <f>8.8722</f>
        <v>8.8721999999999994</v>
      </c>
      <c r="H229">
        <f>0.7338</f>
        <v>0.73380000000000001</v>
      </c>
    </row>
    <row r="230" spans="1:8" x14ac:dyDescent="0.25">
      <c r="A230" s="1">
        <v>44473</v>
      </c>
      <c r="C230">
        <f>26.4749</f>
        <v>26.474900000000002</v>
      </c>
      <c r="D230">
        <f>0.8606</f>
        <v>0.86060000000000003</v>
      </c>
      <c r="E230">
        <f>110.93</f>
        <v>110.93</v>
      </c>
      <c r="F230">
        <f>1.2589</f>
        <v>1.2588999999999999</v>
      </c>
      <c r="G230">
        <f>8.858</f>
        <v>8.8580000000000005</v>
      </c>
      <c r="H230">
        <f>0.7349</f>
        <v>0.7349</v>
      </c>
    </row>
    <row r="231" spans="1:8" x14ac:dyDescent="0.25">
      <c r="A231" s="1">
        <v>44470</v>
      </c>
      <c r="C231">
        <f>26.6232</f>
        <v>26.623200000000001</v>
      </c>
      <c r="D231">
        <f>0.8626</f>
        <v>0.86260000000000003</v>
      </c>
      <c r="E231">
        <f>111.05</f>
        <v>111.05</v>
      </c>
      <c r="F231">
        <f>1.2648</f>
        <v>1.2647999999999999</v>
      </c>
      <c r="G231">
        <f>8.8587</f>
        <v>8.8587000000000007</v>
      </c>
      <c r="H231">
        <f>0.7383</f>
        <v>0.73829999999999996</v>
      </c>
    </row>
    <row r="232" spans="1:8" x14ac:dyDescent="0.25">
      <c r="A232" s="1">
        <v>44469</v>
      </c>
      <c r="C232">
        <f>26.575</f>
        <v>26.574999999999999</v>
      </c>
      <c r="D232">
        <f>0.8638</f>
        <v>0.86380000000000001</v>
      </c>
      <c r="E232">
        <f>111.29</f>
        <v>111.29</v>
      </c>
      <c r="F232">
        <f>1.268</f>
        <v>1.268</v>
      </c>
      <c r="G232">
        <f>8.8933</f>
        <v>8.8933</v>
      </c>
      <c r="H232">
        <f>0.7421</f>
        <v>0.74209999999999998</v>
      </c>
    </row>
    <row r="233" spans="1:8" x14ac:dyDescent="0.25">
      <c r="A233" s="1">
        <v>44468</v>
      </c>
      <c r="C233">
        <f>26.574</f>
        <v>26.574000000000002</v>
      </c>
      <c r="D233">
        <f>0.8622</f>
        <v>0.86219999999999997</v>
      </c>
      <c r="E233">
        <f>111.96</f>
        <v>111.96</v>
      </c>
      <c r="F233">
        <f>1.2757</f>
        <v>1.2757000000000001</v>
      </c>
      <c r="G233">
        <f>8.9236</f>
        <v>8.9236000000000004</v>
      </c>
      <c r="H233">
        <f>0.7447</f>
        <v>0.74470000000000003</v>
      </c>
    </row>
    <row r="234" spans="1:8" x14ac:dyDescent="0.25">
      <c r="A234" s="1">
        <v>44467</v>
      </c>
      <c r="C234">
        <f>26.5393</f>
        <v>26.539300000000001</v>
      </c>
      <c r="D234">
        <f>0.8559</f>
        <v>0.85589999999999999</v>
      </c>
      <c r="E234">
        <f>111.5</f>
        <v>111.5</v>
      </c>
      <c r="F234">
        <f>1.2687</f>
        <v>1.2686999999999999</v>
      </c>
      <c r="G234">
        <f>8.8749</f>
        <v>8.8749000000000002</v>
      </c>
      <c r="H234">
        <f>0.7387</f>
        <v>0.73870000000000002</v>
      </c>
    </row>
    <row r="235" spans="1:8" x14ac:dyDescent="0.25">
      <c r="A235" s="1">
        <v>44466</v>
      </c>
      <c r="C235">
        <f>26.6</f>
        <v>26.6</v>
      </c>
      <c r="D235">
        <f>0.8551</f>
        <v>0.85509999999999997</v>
      </c>
      <c r="E235">
        <f>111</f>
        <v>111</v>
      </c>
      <c r="F235">
        <f>1.2628</f>
        <v>1.2627999999999999</v>
      </c>
      <c r="G235">
        <f>8.822</f>
        <v>8.8219999999999992</v>
      </c>
      <c r="H235">
        <f>0.7299</f>
        <v>0.72989999999999999</v>
      </c>
    </row>
    <row r="236" spans="1:8" x14ac:dyDescent="0.25">
      <c r="A236" s="1">
        <v>44463</v>
      </c>
      <c r="C236">
        <f>26.7013</f>
        <v>26.7013</v>
      </c>
      <c r="D236">
        <f>0.8532</f>
        <v>0.85319999999999996</v>
      </c>
      <c r="E236">
        <f>110.73</f>
        <v>110.73</v>
      </c>
      <c r="F236">
        <f>1.2652</f>
        <v>1.2652000000000001</v>
      </c>
      <c r="G236">
        <f>8.8861</f>
        <v>8.8861000000000008</v>
      </c>
      <c r="H236">
        <f>0.7313</f>
        <v>0.73129999999999995</v>
      </c>
    </row>
    <row r="237" spans="1:8" x14ac:dyDescent="0.25">
      <c r="A237" s="1">
        <v>44462</v>
      </c>
      <c r="C237">
        <f>26.6339</f>
        <v>26.633900000000001</v>
      </c>
      <c r="D237">
        <f>0.8519</f>
        <v>0.85189999999999999</v>
      </c>
      <c r="E237">
        <f>110.33</f>
        <v>110.33</v>
      </c>
      <c r="F237">
        <f>1.2655</f>
        <v>1.2655000000000001</v>
      </c>
      <c r="G237">
        <f>8.7654</f>
        <v>8.7653999999999996</v>
      </c>
      <c r="H237">
        <f>0.7288</f>
        <v>0.7288</v>
      </c>
    </row>
    <row r="238" spans="1:8" x14ac:dyDescent="0.25">
      <c r="A238" s="1">
        <v>44461</v>
      </c>
      <c r="C238">
        <f>26.5824</f>
        <v>26.5824</v>
      </c>
      <c r="D238">
        <f>0.8556</f>
        <v>0.85560000000000003</v>
      </c>
      <c r="E238">
        <f>109.78</f>
        <v>109.78</v>
      </c>
      <c r="F238">
        <f>1.2772</f>
        <v>1.2771999999999999</v>
      </c>
      <c r="G238">
        <f>8.655</f>
        <v>8.6549999999999994</v>
      </c>
      <c r="H238">
        <f>0.7344</f>
        <v>0.73440000000000005</v>
      </c>
    </row>
    <row r="239" spans="1:8" x14ac:dyDescent="0.25">
      <c r="A239" s="1">
        <v>44460</v>
      </c>
      <c r="C239">
        <f>26.7048</f>
        <v>26.704799999999999</v>
      </c>
      <c r="D239">
        <f>0.8528</f>
        <v>0.8528</v>
      </c>
      <c r="E239">
        <f>109.23</f>
        <v>109.23</v>
      </c>
      <c r="F239">
        <f>1.282</f>
        <v>1.282</v>
      </c>
      <c r="G239">
        <f>8.6287</f>
        <v>8.6287000000000003</v>
      </c>
      <c r="H239">
        <f>0.732</f>
        <v>0.73199999999999998</v>
      </c>
    </row>
    <row r="240" spans="1:8" x14ac:dyDescent="0.25">
      <c r="A240" s="1">
        <v>44459</v>
      </c>
      <c r="C240">
        <f>26.6325</f>
        <v>26.6325</v>
      </c>
      <c r="D240">
        <f>0.8528</f>
        <v>0.8528</v>
      </c>
      <c r="E240">
        <f>109.44</f>
        <v>109.44</v>
      </c>
      <c r="F240">
        <f>1.2822</f>
        <v>1.2822</v>
      </c>
      <c r="G240">
        <f>8.6722</f>
        <v>8.6722000000000001</v>
      </c>
      <c r="H240">
        <f>0.7322</f>
        <v>0.73219999999999996</v>
      </c>
    </row>
    <row r="241" spans="1:8" x14ac:dyDescent="0.25">
      <c r="A241" s="1">
        <v>44456</v>
      </c>
      <c r="C241">
        <f>26.6393</f>
        <v>26.639299999999999</v>
      </c>
      <c r="D241">
        <f>0.8529</f>
        <v>0.85289999999999999</v>
      </c>
      <c r="E241">
        <f>109.93</f>
        <v>109.93</v>
      </c>
      <c r="F241">
        <f>1.2764</f>
        <v>1.2764</v>
      </c>
      <c r="G241">
        <f>8.641</f>
        <v>8.641</v>
      </c>
      <c r="H241">
        <f>0.7279</f>
        <v>0.72789999999999999</v>
      </c>
    </row>
    <row r="242" spans="1:8" x14ac:dyDescent="0.25">
      <c r="A242" s="1">
        <v>44455</v>
      </c>
      <c r="C242">
        <f>26.684</f>
        <v>26.684000000000001</v>
      </c>
      <c r="D242">
        <f>0.8497</f>
        <v>0.84970000000000001</v>
      </c>
      <c r="E242">
        <f>109.73</f>
        <v>109.73</v>
      </c>
      <c r="F242">
        <f>1.2683</f>
        <v>1.2683</v>
      </c>
      <c r="G242">
        <f>8.5332</f>
        <v>8.5332000000000008</v>
      </c>
      <c r="H242">
        <f>0.725</f>
        <v>0.72499999999999998</v>
      </c>
    </row>
    <row r="243" spans="1:8" x14ac:dyDescent="0.25">
      <c r="A243" s="1">
        <v>44454</v>
      </c>
      <c r="C243">
        <f>26.6386</f>
        <v>26.6386</v>
      </c>
      <c r="D243">
        <f>0.8463</f>
        <v>0.84630000000000005</v>
      </c>
      <c r="E243">
        <f>109.38</f>
        <v>109.38</v>
      </c>
      <c r="F243">
        <f>1.263</f>
        <v>1.2629999999999999</v>
      </c>
      <c r="G243">
        <f>8.435</f>
        <v>8.4350000000000005</v>
      </c>
      <c r="H243">
        <f>0.7225</f>
        <v>0.72250000000000003</v>
      </c>
    </row>
    <row r="244" spans="1:8" x14ac:dyDescent="0.25">
      <c r="A244" s="1">
        <v>44453</v>
      </c>
      <c r="C244">
        <f>26.6524</f>
        <v>26.6524</v>
      </c>
      <c r="D244">
        <f>0.8472</f>
        <v>0.84719999999999995</v>
      </c>
      <c r="E244">
        <f>109.69</f>
        <v>109.69</v>
      </c>
      <c r="F244">
        <f>1.2694</f>
        <v>1.2694000000000001</v>
      </c>
      <c r="G244">
        <f>8.4419</f>
        <v>8.4419000000000004</v>
      </c>
      <c r="H244">
        <f>0.7242</f>
        <v>0.72419999999999995</v>
      </c>
    </row>
    <row r="245" spans="1:8" x14ac:dyDescent="0.25">
      <c r="A245" s="1">
        <v>44452</v>
      </c>
      <c r="C245">
        <f>26.6672</f>
        <v>26.667200000000001</v>
      </c>
      <c r="D245">
        <f>0.8467</f>
        <v>0.84670000000000001</v>
      </c>
      <c r="E245">
        <f>109.99</f>
        <v>109.99</v>
      </c>
      <c r="F245">
        <f>1.2648</f>
        <v>1.2647999999999999</v>
      </c>
      <c r="G245">
        <f>8.4286</f>
        <v>8.4285999999999994</v>
      </c>
      <c r="H245">
        <f>0.7225</f>
        <v>0.72250000000000003</v>
      </c>
    </row>
    <row r="246" spans="1:8" x14ac:dyDescent="0.25">
      <c r="A246" s="1">
        <v>44449</v>
      </c>
      <c r="C246">
        <f>26.7316</f>
        <v>26.7316</v>
      </c>
      <c r="D246">
        <f>0.8467</f>
        <v>0.84670000000000001</v>
      </c>
      <c r="E246">
        <f>109.94</f>
        <v>109.94</v>
      </c>
      <c r="F246">
        <f>1.2692</f>
        <v>1.2692000000000001</v>
      </c>
      <c r="G246">
        <f>8.4722</f>
        <v>8.4722000000000008</v>
      </c>
      <c r="H246">
        <f>0.723</f>
        <v>0.72299999999999998</v>
      </c>
    </row>
    <row r="247" spans="1:8" x14ac:dyDescent="0.25">
      <c r="A247" s="1">
        <v>44448</v>
      </c>
      <c r="C247">
        <f>26.6605</f>
        <v>26.660499999999999</v>
      </c>
      <c r="D247">
        <f>0.8458</f>
        <v>0.8458</v>
      </c>
      <c r="E247">
        <f>109.72</f>
        <v>109.72</v>
      </c>
      <c r="F247">
        <f>1.2664</f>
        <v>1.2664</v>
      </c>
      <c r="G247">
        <f>8.4359</f>
        <v>8.4359000000000002</v>
      </c>
      <c r="H247">
        <f>0.7229</f>
        <v>0.72289999999999999</v>
      </c>
    </row>
    <row r="248" spans="1:8" x14ac:dyDescent="0.25">
      <c r="A248" s="1">
        <v>44447</v>
      </c>
      <c r="C248">
        <f>26.7361</f>
        <v>26.7361</v>
      </c>
      <c r="D248">
        <f>0.8463</f>
        <v>0.84630000000000005</v>
      </c>
      <c r="E248">
        <f>110.25</f>
        <v>110.25</v>
      </c>
      <c r="F248">
        <f>1.2691</f>
        <v>1.2690999999999999</v>
      </c>
      <c r="G248">
        <f>8.4734</f>
        <v>8.4733999999999998</v>
      </c>
      <c r="H248">
        <f>0.7261</f>
        <v>0.72609999999999997</v>
      </c>
    </row>
    <row r="249" spans="1:8" x14ac:dyDescent="0.25">
      <c r="A249" s="1">
        <v>44446</v>
      </c>
      <c r="C249">
        <f>26.6311</f>
        <v>26.6311</v>
      </c>
      <c r="D249">
        <f>0.8444</f>
        <v>0.84440000000000004</v>
      </c>
      <c r="E249">
        <f>110.28</f>
        <v>110.28</v>
      </c>
      <c r="F249">
        <f>1.2647</f>
        <v>1.2646999999999999</v>
      </c>
      <c r="G249">
        <f>8.3526</f>
        <v>8.3526000000000007</v>
      </c>
      <c r="H249">
        <f>0.7254</f>
        <v>0.72540000000000004</v>
      </c>
    </row>
    <row r="250" spans="1:8" x14ac:dyDescent="0.25">
      <c r="A250" s="1">
        <v>44445</v>
      </c>
      <c r="C250">
        <f>26.7762</f>
        <v>26.776199999999999</v>
      </c>
      <c r="D250">
        <f>0.8425</f>
        <v>0.84250000000000003</v>
      </c>
      <c r="E250">
        <f>109.86</f>
        <v>109.86</v>
      </c>
      <c r="F250">
        <f>1.2534</f>
        <v>1.2534000000000001</v>
      </c>
      <c r="G250">
        <f>8.2823</f>
        <v>8.2822999999999993</v>
      </c>
      <c r="H250">
        <f>0.7227</f>
        <v>0.72270000000000001</v>
      </c>
    </row>
    <row r="251" spans="1:8" x14ac:dyDescent="0.25">
      <c r="A251" s="1">
        <v>44442</v>
      </c>
      <c r="C251">
        <f>26.8852</f>
        <v>26.885200000000001</v>
      </c>
      <c r="D251">
        <f>0.8418</f>
        <v>0.84179999999999999</v>
      </c>
      <c r="E251">
        <f>109.71</f>
        <v>109.71</v>
      </c>
      <c r="F251">
        <f>1.2524</f>
        <v>1.2524</v>
      </c>
      <c r="G251">
        <f>8.3242</f>
        <v>8.3241999999999994</v>
      </c>
      <c r="H251">
        <f>0.7216</f>
        <v>0.72160000000000002</v>
      </c>
    </row>
    <row r="252" spans="1:8" x14ac:dyDescent="0.25">
      <c r="A252" s="1">
        <v>44441</v>
      </c>
      <c r="C252">
        <f>26.9688</f>
        <v>26.968800000000002</v>
      </c>
      <c r="D252">
        <f>0.8421</f>
        <v>0.84209999999999996</v>
      </c>
      <c r="E252">
        <f>109.94</f>
        <v>109.94</v>
      </c>
      <c r="F252">
        <f>1.2553</f>
        <v>1.2553000000000001</v>
      </c>
      <c r="G252">
        <f>8.2785</f>
        <v>8.2784999999999993</v>
      </c>
      <c r="H252">
        <f>0.7229</f>
        <v>0.72289999999999999</v>
      </c>
    </row>
    <row r="253" spans="1:8" x14ac:dyDescent="0.25">
      <c r="A253" s="1">
        <v>44440</v>
      </c>
      <c r="C253">
        <f>27.0288</f>
        <v>27.0288</v>
      </c>
      <c r="D253">
        <f>0.8446</f>
        <v>0.84460000000000002</v>
      </c>
      <c r="E253">
        <f>110.01</f>
        <v>110.01</v>
      </c>
      <c r="F253">
        <f>1.262</f>
        <v>1.262</v>
      </c>
      <c r="G253">
        <f>8.2955</f>
        <v>8.2955000000000005</v>
      </c>
      <c r="H253">
        <f>0.7263</f>
        <v>0.72629999999999995</v>
      </c>
    </row>
    <row r="254" spans="1:8" x14ac:dyDescent="0.25">
      <c r="A254" s="1">
        <v>44439</v>
      </c>
      <c r="C254">
        <f>26.9199</f>
        <v>26.919899999999998</v>
      </c>
      <c r="D254">
        <f>0.8468</f>
        <v>0.8468</v>
      </c>
      <c r="E254">
        <f>110.02</f>
        <v>110.02</v>
      </c>
      <c r="F254">
        <f>1.2616</f>
        <v>1.2616000000000001</v>
      </c>
      <c r="G254">
        <f>8.3179</f>
        <v>8.3178999999999998</v>
      </c>
      <c r="H254">
        <f>0.727</f>
        <v>0.72699999999999998</v>
      </c>
    </row>
    <row r="255" spans="1:8" x14ac:dyDescent="0.25">
      <c r="A255" s="1">
        <v>44438</v>
      </c>
      <c r="C255">
        <f>26.8395</f>
        <v>26.839500000000001</v>
      </c>
      <c r="D255">
        <f>0.8477</f>
        <v>0.84770000000000001</v>
      </c>
      <c r="E255">
        <f>109.92</f>
        <v>109.92</v>
      </c>
      <c r="F255">
        <f>1.2606</f>
        <v>1.2605999999999999</v>
      </c>
      <c r="G255">
        <f>8.3792</f>
        <v>8.3792000000000009</v>
      </c>
      <c r="H255">
        <f>0.7267</f>
        <v>0.72670000000000001</v>
      </c>
    </row>
    <row r="256" spans="1:8" x14ac:dyDescent="0.25">
      <c r="A256" s="1">
        <v>44435</v>
      </c>
      <c r="C256">
        <f>26.8921</f>
        <v>26.892099999999999</v>
      </c>
      <c r="D256">
        <f>0.8477</f>
        <v>0.84770000000000001</v>
      </c>
      <c r="E256">
        <f>109.84</f>
        <v>109.84</v>
      </c>
      <c r="F256">
        <f>1.262</f>
        <v>1.262</v>
      </c>
      <c r="G256">
        <f>8.3512</f>
        <v>8.3512000000000004</v>
      </c>
      <c r="H256">
        <f>0.7267</f>
        <v>0.72670000000000001</v>
      </c>
    </row>
    <row r="257" spans="1:8" x14ac:dyDescent="0.25">
      <c r="A257" s="1">
        <v>44434</v>
      </c>
      <c r="C257">
        <f>26.7998</f>
        <v>26.799800000000001</v>
      </c>
      <c r="D257">
        <f>0.8509</f>
        <v>0.85089999999999999</v>
      </c>
      <c r="E257">
        <f>110.09</f>
        <v>110.09</v>
      </c>
      <c r="F257">
        <f>1.2687</f>
        <v>1.2686999999999999</v>
      </c>
      <c r="G257">
        <f>8.3916</f>
        <v>8.3916000000000004</v>
      </c>
      <c r="H257">
        <f>0.7299</f>
        <v>0.72989999999999999</v>
      </c>
    </row>
    <row r="258" spans="1:8" x14ac:dyDescent="0.25">
      <c r="A258" s="1">
        <v>44433</v>
      </c>
      <c r="C258">
        <f>26.72</f>
        <v>26.72</v>
      </c>
      <c r="D258">
        <f>0.8495</f>
        <v>0.84950000000000003</v>
      </c>
      <c r="E258">
        <f>110.02</f>
        <v>110.02</v>
      </c>
      <c r="F258">
        <f>1.2591</f>
        <v>1.2591000000000001</v>
      </c>
      <c r="G258">
        <f>8.3784</f>
        <v>8.3783999999999992</v>
      </c>
      <c r="H258">
        <f>0.7266</f>
        <v>0.72660000000000002</v>
      </c>
    </row>
    <row r="259" spans="1:8" x14ac:dyDescent="0.25">
      <c r="A259" s="1">
        <v>44432</v>
      </c>
      <c r="C259" t="e">
        <f>NA()</f>
        <v>#N/A</v>
      </c>
      <c r="D259">
        <f>0.8505</f>
        <v>0.85050000000000003</v>
      </c>
      <c r="E259">
        <f>109.65</f>
        <v>109.65</v>
      </c>
      <c r="F259">
        <f>1.2589</f>
        <v>1.2588999999999999</v>
      </c>
      <c r="G259">
        <f>8.4113</f>
        <v>8.4113000000000007</v>
      </c>
      <c r="H259">
        <f>0.7284</f>
        <v>0.72840000000000005</v>
      </c>
    </row>
    <row r="260" spans="1:8" x14ac:dyDescent="0.25">
      <c r="A260" s="1">
        <v>44431</v>
      </c>
      <c r="C260">
        <f>26.6737</f>
        <v>26.6737</v>
      </c>
      <c r="D260">
        <f>0.8513</f>
        <v>0.85129999999999995</v>
      </c>
      <c r="E260">
        <f>109.7</f>
        <v>109.7</v>
      </c>
      <c r="F260">
        <f>1.2654</f>
        <v>1.2654000000000001</v>
      </c>
      <c r="G260">
        <f>8.4272</f>
        <v>8.4271999999999991</v>
      </c>
      <c r="H260">
        <f>0.7287</f>
        <v>0.72870000000000001</v>
      </c>
    </row>
    <row r="261" spans="1:8" x14ac:dyDescent="0.25">
      <c r="A261" s="1">
        <v>44428</v>
      </c>
      <c r="C261">
        <f>26.6861</f>
        <v>26.6861</v>
      </c>
      <c r="D261">
        <f>0.8547</f>
        <v>0.85470000000000002</v>
      </c>
      <c r="E261">
        <f>109.78</f>
        <v>109.78</v>
      </c>
      <c r="F261">
        <f>1.2821</f>
        <v>1.2821</v>
      </c>
      <c r="G261">
        <f>8.4956</f>
        <v>8.4955999999999996</v>
      </c>
      <c r="H261">
        <f>0.734</f>
        <v>0.73399999999999999</v>
      </c>
    </row>
    <row r="262" spans="1:8" x14ac:dyDescent="0.25">
      <c r="A262" s="1">
        <v>44427</v>
      </c>
      <c r="C262">
        <f>26.6139</f>
        <v>26.613900000000001</v>
      </c>
      <c r="D262">
        <f>0.8564</f>
        <v>0.85640000000000005</v>
      </c>
      <c r="E262">
        <f>109.74</f>
        <v>109.74</v>
      </c>
      <c r="F262">
        <f>1.2828</f>
        <v>1.2827999999999999</v>
      </c>
      <c r="G262">
        <f>8.5282</f>
        <v>8.5282</v>
      </c>
      <c r="H262">
        <f>0.7334</f>
        <v>0.73340000000000005</v>
      </c>
    </row>
    <row r="263" spans="1:8" x14ac:dyDescent="0.25">
      <c r="A263" s="1">
        <v>44426</v>
      </c>
      <c r="C263">
        <f>26.6189</f>
        <v>26.6189</v>
      </c>
      <c r="D263">
        <f>0.8541</f>
        <v>0.85409999999999997</v>
      </c>
      <c r="E263">
        <f>109.77</f>
        <v>109.77</v>
      </c>
      <c r="F263">
        <f>1.2658</f>
        <v>1.2658</v>
      </c>
      <c r="G263">
        <f>8.4642</f>
        <v>8.4641999999999999</v>
      </c>
      <c r="H263">
        <f>0.727</f>
        <v>0.72699999999999998</v>
      </c>
    </row>
    <row r="264" spans="1:8" x14ac:dyDescent="0.25">
      <c r="A264" s="1">
        <v>44425</v>
      </c>
      <c r="C264">
        <f>26.6751</f>
        <v>26.6751</v>
      </c>
      <c r="D264">
        <f>0.8541</f>
        <v>0.85409999999999997</v>
      </c>
      <c r="E264">
        <f>109.6</f>
        <v>109.6</v>
      </c>
      <c r="F264">
        <f>1.2629</f>
        <v>1.2628999999999999</v>
      </c>
      <c r="G264">
        <f>8.4331</f>
        <v>8.4330999999999996</v>
      </c>
      <c r="H264">
        <f>0.7278</f>
        <v>0.7278</v>
      </c>
    </row>
    <row r="265" spans="1:8" x14ac:dyDescent="0.25">
      <c r="A265" s="1">
        <v>44424</v>
      </c>
      <c r="C265">
        <f>26.7487</f>
        <v>26.748699999999999</v>
      </c>
      <c r="D265">
        <f>0.8492</f>
        <v>0.84919999999999995</v>
      </c>
      <c r="E265">
        <f>109.24</f>
        <v>109.24</v>
      </c>
      <c r="F265">
        <f>1.2574</f>
        <v>1.2574000000000001</v>
      </c>
      <c r="G265">
        <f>8.4609</f>
        <v>8.4609000000000005</v>
      </c>
      <c r="H265">
        <f>0.7225</f>
        <v>0.72250000000000003</v>
      </c>
    </row>
    <row r="266" spans="1:8" x14ac:dyDescent="0.25">
      <c r="A266" s="1">
        <v>44421</v>
      </c>
      <c r="C266">
        <f>26.67</f>
        <v>26.67</v>
      </c>
      <c r="D266">
        <f>0.8478</f>
        <v>0.8478</v>
      </c>
      <c r="E266">
        <f>109.59</f>
        <v>109.59</v>
      </c>
      <c r="F266">
        <f>1.2515</f>
        <v>1.2515000000000001</v>
      </c>
      <c r="G266">
        <f>8.5237</f>
        <v>8.5236999999999998</v>
      </c>
      <c r="H266">
        <f>0.7212</f>
        <v>0.72119999999999995</v>
      </c>
    </row>
    <row r="267" spans="1:8" x14ac:dyDescent="0.25">
      <c r="A267" s="1">
        <v>44420</v>
      </c>
      <c r="C267">
        <f>26.7405</f>
        <v>26.740500000000001</v>
      </c>
      <c r="D267">
        <f>0.8525</f>
        <v>0.85250000000000004</v>
      </c>
      <c r="E267">
        <f>110.41</f>
        <v>110.41</v>
      </c>
      <c r="F267">
        <f>1.2526</f>
        <v>1.2525999999999999</v>
      </c>
      <c r="G267">
        <f>8.5634</f>
        <v>8.5633999999999997</v>
      </c>
      <c r="H267">
        <f>0.7243</f>
        <v>0.72430000000000005</v>
      </c>
    </row>
    <row r="268" spans="1:8" x14ac:dyDescent="0.25">
      <c r="A268" s="1">
        <v>44419</v>
      </c>
      <c r="C268">
        <f>26.8037</f>
        <v>26.803699999999999</v>
      </c>
      <c r="D268">
        <f>0.8519</f>
        <v>0.85189999999999999</v>
      </c>
      <c r="E268">
        <f>110.43</f>
        <v>110.43</v>
      </c>
      <c r="F268">
        <f>1.2504</f>
        <v>1.2504</v>
      </c>
      <c r="G268">
        <f>8.6315</f>
        <v>8.6315000000000008</v>
      </c>
      <c r="H268">
        <f>0.7211</f>
        <v>0.72109999999999996</v>
      </c>
    </row>
    <row r="269" spans="1:8" x14ac:dyDescent="0.25">
      <c r="A269" s="1">
        <v>44418</v>
      </c>
      <c r="C269">
        <f>26.7901</f>
        <v>26.790099999999999</v>
      </c>
      <c r="D269">
        <f>0.8532</f>
        <v>0.85319999999999996</v>
      </c>
      <c r="E269">
        <f>110.57</f>
        <v>110.57</v>
      </c>
      <c r="F269">
        <f>1.252</f>
        <v>1.252</v>
      </c>
      <c r="G269">
        <f>8.609</f>
        <v>8.609</v>
      </c>
      <c r="H269">
        <f>0.7226</f>
        <v>0.72260000000000002</v>
      </c>
    </row>
    <row r="270" spans="1:8" x14ac:dyDescent="0.25">
      <c r="A270" s="1">
        <v>44417</v>
      </c>
      <c r="C270">
        <f>26.7201</f>
        <v>26.720099999999999</v>
      </c>
      <c r="D270">
        <f>0.8521</f>
        <v>0.85209999999999997</v>
      </c>
      <c r="E270">
        <f>110.29</f>
        <v>110.29</v>
      </c>
      <c r="F270">
        <f>1.2577</f>
        <v>1.2577</v>
      </c>
      <c r="G270">
        <f>8.6603</f>
        <v>8.6602999999999994</v>
      </c>
      <c r="H270">
        <f>0.7222</f>
        <v>0.72219999999999995</v>
      </c>
    </row>
    <row r="271" spans="1:8" x14ac:dyDescent="0.25">
      <c r="A271" s="1">
        <v>44414</v>
      </c>
      <c r="C271">
        <f>26.7899</f>
        <v>26.789899999999999</v>
      </c>
      <c r="D271">
        <f>0.8502</f>
        <v>0.85019999999999996</v>
      </c>
      <c r="E271">
        <f>110.25</f>
        <v>110.25</v>
      </c>
      <c r="F271">
        <f>1.2554</f>
        <v>1.2554000000000001</v>
      </c>
      <c r="G271">
        <f>8.6317</f>
        <v>8.6317000000000004</v>
      </c>
      <c r="H271">
        <f>0.7208</f>
        <v>0.7208</v>
      </c>
    </row>
    <row r="272" spans="1:8" x14ac:dyDescent="0.25">
      <c r="A272" s="1">
        <v>44413</v>
      </c>
      <c r="C272">
        <f>26.8948</f>
        <v>26.8948</v>
      </c>
      <c r="D272">
        <f>0.8451</f>
        <v>0.84509999999999996</v>
      </c>
      <c r="E272">
        <f>109.77</f>
        <v>109.77</v>
      </c>
      <c r="F272">
        <f>1.2506</f>
        <v>1.2505999999999999</v>
      </c>
      <c r="G272">
        <f>8.5311</f>
        <v>8.5311000000000003</v>
      </c>
      <c r="H272">
        <f>0.7179</f>
        <v>0.71789999999999998</v>
      </c>
    </row>
    <row r="273" spans="1:8" x14ac:dyDescent="0.25">
      <c r="A273" s="1">
        <v>44412</v>
      </c>
      <c r="C273">
        <f>26.9149</f>
        <v>26.914899999999999</v>
      </c>
      <c r="D273">
        <f>0.8448</f>
        <v>0.8448</v>
      </c>
      <c r="E273">
        <f>109.48</f>
        <v>109.48</v>
      </c>
      <c r="F273">
        <f>1.254</f>
        <v>1.254</v>
      </c>
      <c r="G273">
        <f>8.4789</f>
        <v>8.4788999999999994</v>
      </c>
      <c r="H273">
        <f>0.72</f>
        <v>0.72</v>
      </c>
    </row>
    <row r="274" spans="1:8" x14ac:dyDescent="0.25">
      <c r="A274" s="1">
        <v>44411</v>
      </c>
      <c r="C274">
        <f>26.8887</f>
        <v>26.8887</v>
      </c>
      <c r="D274">
        <f>0.8428</f>
        <v>0.84279999999999999</v>
      </c>
      <c r="E274">
        <f>109.04</f>
        <v>109.04</v>
      </c>
      <c r="F274">
        <f>1.2539</f>
        <v>1.2539</v>
      </c>
      <c r="G274">
        <f>8.4093</f>
        <v>8.4093</v>
      </c>
      <c r="H274">
        <f>0.7187</f>
        <v>0.71870000000000001</v>
      </c>
    </row>
    <row r="275" spans="1:8" x14ac:dyDescent="0.25">
      <c r="A275" s="1">
        <v>44410</v>
      </c>
      <c r="C275">
        <f>26.89</f>
        <v>26.89</v>
      </c>
      <c r="D275">
        <f>0.8423</f>
        <v>0.84230000000000005</v>
      </c>
      <c r="E275">
        <f>109.31</f>
        <v>109.31</v>
      </c>
      <c r="F275">
        <f>1.251</f>
        <v>1.2509999999999999</v>
      </c>
      <c r="G275">
        <f>8.3545</f>
        <v>8.3544999999999998</v>
      </c>
      <c r="H275">
        <f>0.7202</f>
        <v>0.72019999999999995</v>
      </c>
    </row>
    <row r="276" spans="1:8" x14ac:dyDescent="0.25">
      <c r="A276" s="1">
        <v>44407</v>
      </c>
      <c r="C276">
        <f>26.7555</f>
        <v>26.755500000000001</v>
      </c>
      <c r="D276">
        <f>0.8427</f>
        <v>0.8427</v>
      </c>
      <c r="E276">
        <f>109.72</f>
        <v>109.72</v>
      </c>
      <c r="F276">
        <f>1.2475</f>
        <v>1.2475000000000001</v>
      </c>
      <c r="G276">
        <f>8.4539</f>
        <v>8.4539000000000009</v>
      </c>
      <c r="H276">
        <f>0.7193</f>
        <v>0.71930000000000005</v>
      </c>
    </row>
    <row r="277" spans="1:8" x14ac:dyDescent="0.25">
      <c r="A277" s="1">
        <v>44406</v>
      </c>
      <c r="C277">
        <f>26.8699</f>
        <v>26.869900000000001</v>
      </c>
      <c r="D277">
        <f>0.8413</f>
        <v>0.84130000000000005</v>
      </c>
      <c r="E277">
        <f>109.48</f>
        <v>109.48</v>
      </c>
      <c r="F277">
        <f>1.2448</f>
        <v>1.2447999999999999</v>
      </c>
      <c r="G277">
        <f>8.4585</f>
        <v>8.4585000000000008</v>
      </c>
      <c r="H277">
        <f>0.7163</f>
        <v>0.71630000000000005</v>
      </c>
    </row>
    <row r="278" spans="1:8" x14ac:dyDescent="0.25">
      <c r="A278" s="1">
        <v>44405</v>
      </c>
      <c r="C278">
        <f>26.918</f>
        <v>26.917999999999999</v>
      </c>
      <c r="D278">
        <f>0.8444</f>
        <v>0.84440000000000004</v>
      </c>
      <c r="E278">
        <f>109.91</f>
        <v>109.91</v>
      </c>
      <c r="F278">
        <f>1.2528</f>
        <v>1.2527999999999999</v>
      </c>
      <c r="G278">
        <f>8.5542</f>
        <v>8.5541999999999998</v>
      </c>
      <c r="H278">
        <f>0.7193</f>
        <v>0.71930000000000005</v>
      </c>
    </row>
    <row r="279" spans="1:8" x14ac:dyDescent="0.25">
      <c r="A279" s="1">
        <v>44404</v>
      </c>
      <c r="C279">
        <f>26.9737</f>
        <v>26.973700000000001</v>
      </c>
      <c r="D279">
        <f>0.8463</f>
        <v>0.84630000000000005</v>
      </c>
      <c r="E279">
        <f>109.78</f>
        <v>109.78</v>
      </c>
      <c r="F279">
        <f>1.2602</f>
        <v>1.2602</v>
      </c>
      <c r="G279">
        <f>8.5649</f>
        <v>8.5648999999999997</v>
      </c>
      <c r="H279">
        <f>0.7205</f>
        <v>0.72050000000000003</v>
      </c>
    </row>
    <row r="280" spans="1:8" x14ac:dyDescent="0.25">
      <c r="A280" s="1">
        <v>44403</v>
      </c>
      <c r="C280">
        <f>26.9499</f>
        <v>26.9499</v>
      </c>
      <c r="D280">
        <f>0.8472</f>
        <v>0.84719999999999995</v>
      </c>
      <c r="E280">
        <f>110.39</f>
        <v>110.39</v>
      </c>
      <c r="F280">
        <f>1.2551</f>
        <v>1.2551000000000001</v>
      </c>
      <c r="G280">
        <f>8.5586</f>
        <v>8.5586000000000002</v>
      </c>
      <c r="H280">
        <f>0.7237</f>
        <v>0.72370000000000001</v>
      </c>
    </row>
    <row r="281" spans="1:8" x14ac:dyDescent="0.25">
      <c r="A281" s="1">
        <v>44400</v>
      </c>
      <c r="C281">
        <f>27.0457</f>
        <v>27.0457</v>
      </c>
      <c r="D281">
        <f>0.8495</f>
        <v>0.84950000000000003</v>
      </c>
      <c r="E281">
        <f>110.55</f>
        <v>110.55</v>
      </c>
      <c r="F281">
        <f>1.2564</f>
        <v>1.2564</v>
      </c>
      <c r="G281">
        <f>8.5529</f>
        <v>8.5528999999999993</v>
      </c>
      <c r="H281">
        <f>0.7273</f>
        <v>0.72729999999999995</v>
      </c>
    </row>
    <row r="282" spans="1:8" x14ac:dyDescent="0.25">
      <c r="A282" s="1">
        <v>44399</v>
      </c>
      <c r="C282">
        <f>27.1182</f>
        <v>27.118200000000002</v>
      </c>
      <c r="D282">
        <f>0.8496</f>
        <v>0.84960000000000002</v>
      </c>
      <c r="E282">
        <f>110.14</f>
        <v>110.14</v>
      </c>
      <c r="F282">
        <f>1.2563</f>
        <v>1.2563</v>
      </c>
      <c r="G282">
        <f>8.5609</f>
        <v>8.5609000000000002</v>
      </c>
      <c r="H282">
        <f>0.7263</f>
        <v>0.72629999999999995</v>
      </c>
    </row>
    <row r="283" spans="1:8" x14ac:dyDescent="0.25">
      <c r="A283" s="1">
        <v>44398</v>
      </c>
      <c r="C283">
        <f>27.24</f>
        <v>27.24</v>
      </c>
      <c r="D283">
        <f>0.8478</f>
        <v>0.8478</v>
      </c>
      <c r="E283">
        <f>110.29</f>
        <v>110.29</v>
      </c>
      <c r="F283">
        <f>1.2556</f>
        <v>1.2556</v>
      </c>
      <c r="G283">
        <f>8.5654</f>
        <v>8.5654000000000003</v>
      </c>
      <c r="H283">
        <f>0.729</f>
        <v>0.72899999999999998</v>
      </c>
    </row>
    <row r="284" spans="1:8" x14ac:dyDescent="0.25">
      <c r="A284" s="1">
        <v>44397</v>
      </c>
      <c r="C284">
        <f>27.22</f>
        <v>27.22</v>
      </c>
      <c r="D284">
        <f>0.8489</f>
        <v>0.84889999999999999</v>
      </c>
      <c r="E284">
        <f>109.85</f>
        <v>109.85</v>
      </c>
      <c r="F284">
        <f>1.2682</f>
        <v>1.2682</v>
      </c>
      <c r="G284">
        <f>8.5753</f>
        <v>8.5753000000000004</v>
      </c>
      <c r="H284">
        <f>0.7338</f>
        <v>0.73380000000000001</v>
      </c>
    </row>
    <row r="285" spans="1:8" x14ac:dyDescent="0.25">
      <c r="A285" s="1">
        <v>44396</v>
      </c>
      <c r="C285">
        <f>27.215</f>
        <v>27.215</v>
      </c>
      <c r="D285">
        <f>0.8475</f>
        <v>0.84750000000000003</v>
      </c>
      <c r="E285">
        <f>109.46</f>
        <v>109.46</v>
      </c>
      <c r="F285">
        <f>1.275</f>
        <v>1.2749999999999999</v>
      </c>
      <c r="G285">
        <f>8.5885</f>
        <v>8.5884999999999998</v>
      </c>
      <c r="H285">
        <f>0.7312</f>
        <v>0.73119999999999996</v>
      </c>
    </row>
    <row r="286" spans="1:8" x14ac:dyDescent="0.25">
      <c r="A286" s="1">
        <v>44393</v>
      </c>
      <c r="C286">
        <f>27.2325</f>
        <v>27.232500000000002</v>
      </c>
      <c r="D286">
        <f>0.8471</f>
        <v>0.84709999999999996</v>
      </c>
      <c r="E286">
        <f>110.07</f>
        <v>110.07</v>
      </c>
      <c r="F286">
        <f>1.2613</f>
        <v>1.2613000000000001</v>
      </c>
      <c r="G286">
        <f>8.5277</f>
        <v>8.5276999999999994</v>
      </c>
      <c r="H286">
        <f>0.7264</f>
        <v>0.72640000000000005</v>
      </c>
    </row>
    <row r="287" spans="1:8" x14ac:dyDescent="0.25">
      <c r="A287" s="1">
        <v>44392</v>
      </c>
      <c r="C287">
        <f>27.2655</f>
        <v>27.265499999999999</v>
      </c>
      <c r="D287">
        <f>0.8467</f>
        <v>0.84670000000000001</v>
      </c>
      <c r="E287">
        <f>109.83</f>
        <v>109.83</v>
      </c>
      <c r="F287">
        <f>1.2595</f>
        <v>1.2595000000000001</v>
      </c>
      <c r="G287">
        <f>8.5676</f>
        <v>8.5676000000000005</v>
      </c>
      <c r="H287">
        <f>0.7232</f>
        <v>0.72319999999999995</v>
      </c>
    </row>
    <row r="288" spans="1:8" x14ac:dyDescent="0.25">
      <c r="A288" s="1">
        <v>44391</v>
      </c>
      <c r="C288">
        <f>27.2936</f>
        <v>27.293600000000001</v>
      </c>
      <c r="D288">
        <f>0.8449</f>
        <v>0.84489999999999998</v>
      </c>
      <c r="E288">
        <f>109.97</f>
        <v>109.97</v>
      </c>
      <c r="F288">
        <f>1.2509</f>
        <v>1.2508999999999999</v>
      </c>
      <c r="G288">
        <f>8.5908</f>
        <v>8.5907999999999998</v>
      </c>
      <c r="H288">
        <f>0.7216</f>
        <v>0.72160000000000002</v>
      </c>
    </row>
    <row r="289" spans="1:8" x14ac:dyDescent="0.25">
      <c r="A289" s="1">
        <v>44390</v>
      </c>
      <c r="C289">
        <f>27.2849</f>
        <v>27.2849</v>
      </c>
      <c r="D289">
        <f>0.8491</f>
        <v>0.84909999999999997</v>
      </c>
      <c r="E289">
        <f>110.63</f>
        <v>110.63</v>
      </c>
      <c r="F289">
        <f>1.2513</f>
        <v>1.2513000000000001</v>
      </c>
      <c r="G289">
        <f>8.6262</f>
        <v>8.6262000000000008</v>
      </c>
      <c r="H289">
        <f>0.7239</f>
        <v>0.72389999999999999</v>
      </c>
    </row>
    <row r="290" spans="1:8" x14ac:dyDescent="0.25">
      <c r="A290" s="1">
        <v>44389</v>
      </c>
      <c r="C290">
        <f>27.2938</f>
        <v>27.293800000000001</v>
      </c>
      <c r="D290">
        <f>0.8432</f>
        <v>0.84319999999999995</v>
      </c>
      <c r="E290">
        <f>110.37</f>
        <v>110.37</v>
      </c>
      <c r="F290">
        <f>1.2453</f>
        <v>1.2453000000000001</v>
      </c>
      <c r="G290">
        <f>8.6398</f>
        <v>8.6397999999999993</v>
      </c>
      <c r="H290">
        <f>0.7202</f>
        <v>0.72019999999999995</v>
      </c>
    </row>
    <row r="291" spans="1:8" x14ac:dyDescent="0.25">
      <c r="A291" s="1">
        <v>44386</v>
      </c>
      <c r="C291">
        <f>27.2878</f>
        <v>27.287800000000001</v>
      </c>
      <c r="D291">
        <f>0.8419</f>
        <v>0.84189999999999998</v>
      </c>
      <c r="E291">
        <f>110.14</f>
        <v>110.14</v>
      </c>
      <c r="F291">
        <f>1.2447</f>
        <v>1.2446999999999999</v>
      </c>
      <c r="G291">
        <f>8.6615</f>
        <v>8.6615000000000002</v>
      </c>
      <c r="H291">
        <f>0.7191</f>
        <v>0.71909999999999996</v>
      </c>
    </row>
    <row r="292" spans="1:8" x14ac:dyDescent="0.25">
      <c r="A292" s="1">
        <v>44385</v>
      </c>
      <c r="C292">
        <f>27.3074</f>
        <v>27.307400000000001</v>
      </c>
      <c r="D292">
        <f>0.8442</f>
        <v>0.84419999999999995</v>
      </c>
      <c r="E292">
        <f>109.72</f>
        <v>109.72</v>
      </c>
      <c r="F292">
        <f>1.2534</f>
        <v>1.2534000000000001</v>
      </c>
      <c r="G292">
        <f>8.6904</f>
        <v>8.6904000000000003</v>
      </c>
      <c r="H292">
        <f>0.7253</f>
        <v>0.72529999999999994</v>
      </c>
    </row>
    <row r="293" spans="1:8" x14ac:dyDescent="0.25">
      <c r="A293" s="1">
        <v>44384</v>
      </c>
      <c r="C293">
        <f>27.2449</f>
        <v>27.244900000000001</v>
      </c>
      <c r="D293">
        <f>0.8481</f>
        <v>0.84809999999999997</v>
      </c>
      <c r="E293">
        <f>110.66</f>
        <v>110.66</v>
      </c>
      <c r="F293">
        <f>1.2481</f>
        <v>1.2481</v>
      </c>
      <c r="G293">
        <f>8.6907</f>
        <v>8.6906999999999996</v>
      </c>
      <c r="H293">
        <f>0.7246</f>
        <v>0.72460000000000002</v>
      </c>
    </row>
    <row r="294" spans="1:8" x14ac:dyDescent="0.25">
      <c r="A294" s="1">
        <v>44383</v>
      </c>
      <c r="C294">
        <f>27.3152</f>
        <v>27.315200000000001</v>
      </c>
      <c r="D294">
        <f>0.8458</f>
        <v>0.8458</v>
      </c>
      <c r="E294">
        <f>110.63</f>
        <v>110.63</v>
      </c>
      <c r="F294">
        <f>1.2461</f>
        <v>1.2461</v>
      </c>
      <c r="G294">
        <f>8.6893</f>
        <v>8.6892999999999994</v>
      </c>
      <c r="H294">
        <f>0.7246</f>
        <v>0.72460000000000002</v>
      </c>
    </row>
    <row r="295" spans="1:8" x14ac:dyDescent="0.25">
      <c r="A295" s="1">
        <v>44382</v>
      </c>
      <c r="C295">
        <f>27.3001</f>
        <v>27.3001</v>
      </c>
      <c r="D295">
        <f>0.8429</f>
        <v>0.84289999999999998</v>
      </c>
      <c r="E295">
        <f>110.97</f>
        <v>110.97</v>
      </c>
      <c r="F295">
        <f>1.2342</f>
        <v>1.2342</v>
      </c>
      <c r="G295">
        <f>8.6709</f>
        <v>8.6708999999999996</v>
      </c>
      <c r="H295">
        <f>0.7223</f>
        <v>0.72230000000000005</v>
      </c>
    </row>
    <row r="296" spans="1:8" x14ac:dyDescent="0.25">
      <c r="A296" s="1">
        <v>44379</v>
      </c>
      <c r="C296">
        <f>27.3925</f>
        <v>27.392499999999998</v>
      </c>
      <c r="D296">
        <f>0.8428</f>
        <v>0.84279999999999999</v>
      </c>
      <c r="E296">
        <f>111.05</f>
        <v>111.05</v>
      </c>
      <c r="F296">
        <f>1.2322</f>
        <v>1.2322</v>
      </c>
      <c r="G296">
        <f>8.6924</f>
        <v>8.6923999999999992</v>
      </c>
      <c r="H296">
        <f>0.7233</f>
        <v>0.72330000000000005</v>
      </c>
    </row>
    <row r="297" spans="1:8" x14ac:dyDescent="0.25">
      <c r="A297" s="1">
        <v>44378</v>
      </c>
      <c r="C297">
        <f>27.3418</f>
        <v>27.341799999999999</v>
      </c>
      <c r="D297">
        <f>0.8439</f>
        <v>0.84389999999999998</v>
      </c>
      <c r="E297">
        <f>111.53</f>
        <v>111.53</v>
      </c>
      <c r="F297">
        <f>1.2437</f>
        <v>1.2437</v>
      </c>
      <c r="G297">
        <f>8.665</f>
        <v>8.6649999999999991</v>
      </c>
      <c r="H297">
        <f>0.7266</f>
        <v>0.72660000000000002</v>
      </c>
    </row>
    <row r="298" spans="1:8" x14ac:dyDescent="0.25">
      <c r="A298" s="1">
        <v>44377</v>
      </c>
      <c r="C298">
        <f>27.2799</f>
        <v>27.279900000000001</v>
      </c>
      <c r="D298">
        <f>0.8434</f>
        <v>0.84340000000000004</v>
      </c>
      <c r="E298">
        <f>111.11</f>
        <v>111.11</v>
      </c>
      <c r="F298">
        <f>1.2398</f>
        <v>1.2398</v>
      </c>
      <c r="G298">
        <f>8.7076</f>
        <v>8.7075999999999993</v>
      </c>
      <c r="H298">
        <f>0.7229</f>
        <v>0.72289999999999999</v>
      </c>
    </row>
    <row r="299" spans="1:8" x14ac:dyDescent="0.25">
      <c r="A299" s="1">
        <v>44376</v>
      </c>
      <c r="C299">
        <f>27.2299</f>
        <v>27.229900000000001</v>
      </c>
      <c r="D299">
        <f>0.8406</f>
        <v>0.84060000000000001</v>
      </c>
      <c r="E299">
        <f>110.53</f>
        <v>110.53</v>
      </c>
      <c r="F299">
        <f>1.2401</f>
        <v>1.2401</v>
      </c>
      <c r="G299">
        <f>8.7388</f>
        <v>8.7387999999999995</v>
      </c>
      <c r="H299">
        <f>0.7227</f>
        <v>0.72270000000000001</v>
      </c>
    </row>
    <row r="300" spans="1:8" x14ac:dyDescent="0.25">
      <c r="A300" s="1">
        <v>44375</v>
      </c>
      <c r="C300">
        <f>27.3178</f>
        <v>27.317799999999998</v>
      </c>
      <c r="D300">
        <f>0.8386</f>
        <v>0.83860000000000001</v>
      </c>
      <c r="E300">
        <f>110.63</f>
        <v>110.63</v>
      </c>
      <c r="F300">
        <f>1.2337</f>
        <v>1.2337</v>
      </c>
      <c r="G300">
        <f>8.6915</f>
        <v>8.6914999999999996</v>
      </c>
      <c r="H300">
        <f>0.7204</f>
        <v>0.72040000000000004</v>
      </c>
    </row>
    <row r="301" spans="1:8" x14ac:dyDescent="0.25">
      <c r="A301" s="1">
        <v>44372</v>
      </c>
      <c r="C301">
        <f>27.3301</f>
        <v>27.330100000000002</v>
      </c>
      <c r="D301">
        <f>0.8378</f>
        <v>0.83779999999999999</v>
      </c>
      <c r="E301">
        <f>110.75</f>
        <v>110.75</v>
      </c>
      <c r="F301">
        <f>1.2292</f>
        <v>1.2292000000000001</v>
      </c>
      <c r="G301">
        <f>8.7652</f>
        <v>8.7652000000000001</v>
      </c>
      <c r="H301">
        <f>0.7204</f>
        <v>0.72040000000000004</v>
      </c>
    </row>
    <row r="302" spans="1:8" x14ac:dyDescent="0.25">
      <c r="A302" s="1">
        <v>44371</v>
      </c>
      <c r="C302">
        <f>27.535</f>
        <v>27.535</v>
      </c>
      <c r="D302">
        <f>0.8381</f>
        <v>0.83809999999999996</v>
      </c>
      <c r="E302">
        <f>110.87</f>
        <v>110.87</v>
      </c>
      <c r="F302">
        <f>1.2324</f>
        <v>1.2323999999999999</v>
      </c>
      <c r="G302">
        <f>8.7077</f>
        <v>8.7077000000000009</v>
      </c>
      <c r="H302">
        <f>0.7182</f>
        <v>0.71819999999999995</v>
      </c>
    </row>
    <row r="303" spans="1:8" x14ac:dyDescent="0.25">
      <c r="A303" s="1">
        <v>44370</v>
      </c>
      <c r="C303">
        <f>27.3776</f>
        <v>27.377600000000001</v>
      </c>
      <c r="D303">
        <f>0.8384</f>
        <v>0.83840000000000003</v>
      </c>
      <c r="E303">
        <f>110.96</f>
        <v>110.96</v>
      </c>
      <c r="F303">
        <f>1.2306</f>
        <v>1.2305999999999999</v>
      </c>
      <c r="G303">
        <f>8.6431</f>
        <v>8.6431000000000004</v>
      </c>
      <c r="H303">
        <f>0.7162</f>
        <v>0.71619999999999995</v>
      </c>
    </row>
    <row r="304" spans="1:8" x14ac:dyDescent="0.25">
      <c r="A304" s="1">
        <v>44369</v>
      </c>
      <c r="C304">
        <f>27.3649</f>
        <v>27.364899999999999</v>
      </c>
      <c r="D304">
        <f>0.8374</f>
        <v>0.83740000000000003</v>
      </c>
      <c r="E304">
        <f>110.65</f>
        <v>110.65</v>
      </c>
      <c r="F304">
        <f>1.2306</f>
        <v>1.2305999999999999</v>
      </c>
      <c r="G304">
        <f>8.6531</f>
        <v>8.6531000000000002</v>
      </c>
      <c r="H304">
        <f>0.7169</f>
        <v>0.71689999999999998</v>
      </c>
    </row>
    <row r="305" spans="1:8" x14ac:dyDescent="0.25">
      <c r="A305" s="1">
        <v>44368</v>
      </c>
      <c r="C305">
        <f>27.2582</f>
        <v>27.258199999999999</v>
      </c>
      <c r="D305">
        <f>0.8391</f>
        <v>0.83909999999999996</v>
      </c>
      <c r="E305">
        <f>110.27</f>
        <v>110.27</v>
      </c>
      <c r="F305">
        <f>1.2363</f>
        <v>1.2363</v>
      </c>
      <c r="G305">
        <f>8.7722</f>
        <v>8.7721999999999998</v>
      </c>
      <c r="H305">
        <f>0.7177</f>
        <v>0.7177</v>
      </c>
    </row>
    <row r="306" spans="1:8" x14ac:dyDescent="0.25">
      <c r="A306" s="1">
        <v>44365</v>
      </c>
      <c r="C306">
        <f>27.2708</f>
        <v>27.270800000000001</v>
      </c>
      <c r="D306">
        <f>0.8429</f>
        <v>0.84289999999999998</v>
      </c>
      <c r="E306">
        <f>110.21</f>
        <v>110.21</v>
      </c>
      <c r="F306">
        <f>1.2465</f>
        <v>1.2464999999999999</v>
      </c>
      <c r="G306">
        <f>8.7352</f>
        <v>8.7352000000000007</v>
      </c>
      <c r="H306">
        <f>0.7243</f>
        <v>0.72430000000000005</v>
      </c>
    </row>
    <row r="307" spans="1:8" x14ac:dyDescent="0.25">
      <c r="A307" s="1">
        <v>44364</v>
      </c>
      <c r="C307">
        <f>27.1517</f>
        <v>27.151700000000002</v>
      </c>
      <c r="D307">
        <f>0.8399</f>
        <v>0.83989999999999998</v>
      </c>
      <c r="E307">
        <f>110.21</f>
        <v>110.21</v>
      </c>
      <c r="F307">
        <f>1.2358</f>
        <v>1.2358</v>
      </c>
      <c r="G307">
        <f>8.721</f>
        <v>8.7210000000000001</v>
      </c>
      <c r="H307">
        <f>0.7181</f>
        <v>0.71809999999999996</v>
      </c>
    </row>
    <row r="308" spans="1:8" x14ac:dyDescent="0.25">
      <c r="A308" s="1">
        <v>44363</v>
      </c>
      <c r="C308">
        <f>27.1001</f>
        <v>27.100100000000001</v>
      </c>
      <c r="D308">
        <f>0.8337</f>
        <v>0.8337</v>
      </c>
      <c r="E308">
        <f>110.71</f>
        <v>110.71</v>
      </c>
      <c r="F308">
        <f>1.2277</f>
        <v>1.2277</v>
      </c>
      <c r="G308">
        <f>8.6074</f>
        <v>8.6074000000000002</v>
      </c>
      <c r="H308">
        <f>0.7124</f>
        <v>0.71240000000000003</v>
      </c>
    </row>
    <row r="309" spans="1:8" x14ac:dyDescent="0.25">
      <c r="A309" s="1">
        <v>44362</v>
      </c>
      <c r="C309">
        <f>27.045</f>
        <v>27.045000000000002</v>
      </c>
      <c r="D309">
        <f>0.8247</f>
        <v>0.82469999999999999</v>
      </c>
      <c r="E309">
        <f>110.08</f>
        <v>110.08</v>
      </c>
      <c r="F309">
        <f>1.2184</f>
        <v>1.2183999999999999</v>
      </c>
      <c r="G309">
        <f>8.5567</f>
        <v>8.5566999999999993</v>
      </c>
      <c r="H309">
        <f>0.71</f>
        <v>0.71</v>
      </c>
    </row>
    <row r="310" spans="1:8" x14ac:dyDescent="0.25">
      <c r="A310" s="1">
        <v>44361</v>
      </c>
      <c r="C310">
        <f>26.5601</f>
        <v>26.560099999999998</v>
      </c>
      <c r="D310">
        <f>0.8251</f>
        <v>0.82509999999999994</v>
      </c>
      <c r="E310">
        <f>110.07</f>
        <v>110.07</v>
      </c>
      <c r="F310">
        <f>1.2144</f>
        <v>1.2143999999999999</v>
      </c>
      <c r="G310">
        <f>8.4657</f>
        <v>8.4657</v>
      </c>
      <c r="H310">
        <f>0.7088</f>
        <v>0.70879999999999999</v>
      </c>
    </row>
    <row r="311" spans="1:8" x14ac:dyDescent="0.25">
      <c r="A311" s="1">
        <v>44358</v>
      </c>
      <c r="C311">
        <f>26.9708</f>
        <v>26.970800000000001</v>
      </c>
      <c r="D311">
        <f>0.8259</f>
        <v>0.82589999999999997</v>
      </c>
      <c r="E311">
        <f>109.66</f>
        <v>109.66</v>
      </c>
      <c r="F311">
        <f>1.2158</f>
        <v>1.2158</v>
      </c>
      <c r="G311">
        <f>8.3931</f>
        <v>8.3931000000000004</v>
      </c>
      <c r="H311">
        <f>0.7088</f>
        <v>0.70879999999999999</v>
      </c>
    </row>
    <row r="312" spans="1:8" x14ac:dyDescent="0.25">
      <c r="A312" s="1">
        <v>44357</v>
      </c>
      <c r="C312">
        <f>27.1066</f>
        <v>27.1066</v>
      </c>
      <c r="D312">
        <f>0.8213</f>
        <v>0.82130000000000003</v>
      </c>
      <c r="E312">
        <f>109.33</f>
        <v>109.33</v>
      </c>
      <c r="F312">
        <f>1.2096</f>
        <v>1.2096</v>
      </c>
      <c r="G312">
        <f>8.4261</f>
        <v>8.4260999999999999</v>
      </c>
      <c r="H312">
        <f>0.7054</f>
        <v>0.70540000000000003</v>
      </c>
    </row>
    <row r="313" spans="1:8" x14ac:dyDescent="0.25">
      <c r="A313" s="1">
        <v>44356</v>
      </c>
      <c r="C313">
        <f>27.0962</f>
        <v>27.0962</v>
      </c>
      <c r="D313">
        <f>0.821</f>
        <v>0.82099999999999995</v>
      </c>
      <c r="E313">
        <f>109.63</f>
        <v>109.63</v>
      </c>
      <c r="F313">
        <f>1.2111</f>
        <v>1.2111000000000001</v>
      </c>
      <c r="G313">
        <f>8.5872</f>
        <v>8.5871999999999993</v>
      </c>
      <c r="H313">
        <f>0.7085</f>
        <v>0.70850000000000002</v>
      </c>
    </row>
    <row r="314" spans="1:8" x14ac:dyDescent="0.25">
      <c r="A314" s="1">
        <v>44355</v>
      </c>
      <c r="C314">
        <f>27.105</f>
        <v>27.105</v>
      </c>
      <c r="D314">
        <f>0.8215</f>
        <v>0.82150000000000001</v>
      </c>
      <c r="E314">
        <f>109.5</f>
        <v>109.5</v>
      </c>
      <c r="F314">
        <f>1.2111</f>
        <v>1.2111000000000001</v>
      </c>
      <c r="G314">
        <f>8.605</f>
        <v>8.6050000000000004</v>
      </c>
      <c r="H314">
        <f>0.7065</f>
        <v>0.70650000000000002</v>
      </c>
    </row>
    <row r="315" spans="1:8" x14ac:dyDescent="0.25">
      <c r="A315" s="1">
        <v>44354</v>
      </c>
      <c r="C315">
        <f>27.2162</f>
        <v>27.216200000000001</v>
      </c>
      <c r="D315">
        <f>0.8204</f>
        <v>0.82040000000000002</v>
      </c>
      <c r="E315">
        <f>109.25</f>
        <v>109.25</v>
      </c>
      <c r="F315">
        <f>1.2082</f>
        <v>1.2081999999999999</v>
      </c>
      <c r="G315">
        <f>8.6139</f>
        <v>8.6138999999999992</v>
      </c>
      <c r="H315">
        <f>0.7054</f>
        <v>0.70540000000000003</v>
      </c>
    </row>
    <row r="316" spans="1:8" x14ac:dyDescent="0.25">
      <c r="A316" s="1">
        <v>44351</v>
      </c>
      <c r="C316">
        <f>27.2388</f>
        <v>27.238800000000001</v>
      </c>
      <c r="D316">
        <f>0.8219</f>
        <v>0.82189999999999996</v>
      </c>
      <c r="E316">
        <f>109.52</f>
        <v>109.52</v>
      </c>
      <c r="F316">
        <f>1.2084</f>
        <v>1.2083999999999999</v>
      </c>
      <c r="G316">
        <f>8.6685</f>
        <v>8.6684999999999999</v>
      </c>
      <c r="H316">
        <f>0.7064</f>
        <v>0.70640000000000003</v>
      </c>
    </row>
    <row r="317" spans="1:8" x14ac:dyDescent="0.25">
      <c r="A317" s="1">
        <v>44350</v>
      </c>
      <c r="C317">
        <f>27.3012</f>
        <v>27.301200000000001</v>
      </c>
      <c r="D317">
        <f>0.8246</f>
        <v>0.8246</v>
      </c>
      <c r="E317">
        <f>110.29</f>
        <v>110.29</v>
      </c>
      <c r="F317">
        <f>1.2107</f>
        <v>1.2107000000000001</v>
      </c>
      <c r="G317">
        <f>8.7023</f>
        <v>8.7022999999999993</v>
      </c>
      <c r="H317">
        <f>0.7089</f>
        <v>0.70889999999999997</v>
      </c>
    </row>
    <row r="318" spans="1:8" x14ac:dyDescent="0.25">
      <c r="A318" s="1">
        <v>44349</v>
      </c>
      <c r="C318">
        <f>27.3251</f>
        <v>27.325099999999999</v>
      </c>
      <c r="D318">
        <f>0.819</f>
        <v>0.81899999999999995</v>
      </c>
      <c r="E318">
        <f>109.56</f>
        <v>109.56</v>
      </c>
      <c r="F318">
        <f>1.2035</f>
        <v>1.2035</v>
      </c>
      <c r="G318">
        <f>8.592</f>
        <v>8.5920000000000005</v>
      </c>
      <c r="H318">
        <f>0.7057</f>
        <v>0.70569999999999999</v>
      </c>
    </row>
    <row r="319" spans="1:8" x14ac:dyDescent="0.25">
      <c r="A319" s="1">
        <v>44348</v>
      </c>
      <c r="C319">
        <f>27.4221</f>
        <v>27.4221</v>
      </c>
      <c r="D319">
        <f>0.8188</f>
        <v>0.81879999999999997</v>
      </c>
      <c r="E319">
        <f>109.48</f>
        <v>109.48</v>
      </c>
      <c r="F319">
        <f>1.2071</f>
        <v>1.2071000000000001</v>
      </c>
      <c r="G319">
        <f>8.5381</f>
        <v>8.5381</v>
      </c>
      <c r="H319">
        <f>0.7067</f>
        <v>0.70669999999999999</v>
      </c>
    </row>
    <row r="320" spans="1:8" x14ac:dyDescent="0.25">
      <c r="A320" s="1">
        <v>44347</v>
      </c>
      <c r="C320">
        <f>27.4603</f>
        <v>27.4603</v>
      </c>
      <c r="D320">
        <f>0.8179</f>
        <v>0.81789999999999996</v>
      </c>
      <c r="E320">
        <f>109.58</f>
        <v>109.58</v>
      </c>
      <c r="F320">
        <f>1.2064</f>
        <v>1.2063999999999999</v>
      </c>
      <c r="G320">
        <f>8.4918</f>
        <v>8.4917999999999996</v>
      </c>
      <c r="H320">
        <f>0.7036</f>
        <v>0.7036</v>
      </c>
    </row>
    <row r="321" spans="1:8" x14ac:dyDescent="0.25">
      <c r="A321" s="1">
        <v>44344</v>
      </c>
      <c r="C321">
        <f>27.5054</f>
        <v>27.505400000000002</v>
      </c>
      <c r="D321">
        <f>0.8202</f>
        <v>0.82020000000000004</v>
      </c>
      <c r="E321">
        <f>109.85</f>
        <v>109.85</v>
      </c>
      <c r="F321">
        <f>1.2076</f>
        <v>1.2076</v>
      </c>
      <c r="G321">
        <f>8.5625</f>
        <v>8.5625</v>
      </c>
      <c r="H321">
        <f>0.7047</f>
        <v>0.70469999999999999</v>
      </c>
    </row>
    <row r="322" spans="1:8" x14ac:dyDescent="0.25">
      <c r="A322" s="1">
        <v>44343</v>
      </c>
      <c r="C322">
        <f>27.525</f>
        <v>27.524999999999999</v>
      </c>
      <c r="D322">
        <f>0.8201</f>
        <v>0.82010000000000005</v>
      </c>
      <c r="E322">
        <f>109.81</f>
        <v>109.81</v>
      </c>
      <c r="F322">
        <f>1.2066</f>
        <v>1.2065999999999999</v>
      </c>
      <c r="G322">
        <f>8.5015</f>
        <v>8.5015000000000001</v>
      </c>
      <c r="H322">
        <f>0.704</f>
        <v>0.70399999999999996</v>
      </c>
    </row>
    <row r="323" spans="1:8" x14ac:dyDescent="0.25">
      <c r="A323" s="1">
        <v>44342</v>
      </c>
      <c r="C323">
        <f>27.5144</f>
        <v>27.514399999999998</v>
      </c>
      <c r="D323">
        <f>0.8202</f>
        <v>0.82020000000000004</v>
      </c>
      <c r="E323">
        <f>109.15</f>
        <v>109.15</v>
      </c>
      <c r="F323">
        <f>1.2123</f>
        <v>1.2122999999999999</v>
      </c>
      <c r="G323">
        <f>8.458</f>
        <v>8.4580000000000002</v>
      </c>
      <c r="H323">
        <f>0.7083</f>
        <v>0.70830000000000004</v>
      </c>
    </row>
    <row r="324" spans="1:8" x14ac:dyDescent="0.25">
      <c r="A324" s="1">
        <v>44341</v>
      </c>
      <c r="C324">
        <f>27.4601</f>
        <v>27.460100000000001</v>
      </c>
      <c r="D324">
        <f>0.8162</f>
        <v>0.81620000000000004</v>
      </c>
      <c r="E324">
        <f>108.78</f>
        <v>108.78</v>
      </c>
      <c r="F324">
        <f>1.2067</f>
        <v>1.2067000000000001</v>
      </c>
      <c r="G324">
        <f>8.4655</f>
        <v>8.4655000000000005</v>
      </c>
      <c r="H324">
        <f>0.7067</f>
        <v>0.70669999999999999</v>
      </c>
    </row>
    <row r="325" spans="1:8" x14ac:dyDescent="0.25">
      <c r="A325" s="1">
        <v>44340</v>
      </c>
      <c r="C325">
        <f>27.3998</f>
        <v>27.399799999999999</v>
      </c>
      <c r="D325">
        <f>0.8185</f>
        <v>0.81850000000000001</v>
      </c>
      <c r="E325">
        <f>108.75</f>
        <v>108.75</v>
      </c>
      <c r="F325">
        <f>1.2044</f>
        <v>1.2043999999999999</v>
      </c>
      <c r="G325">
        <f>8.3876</f>
        <v>8.3876000000000008</v>
      </c>
      <c r="H325">
        <f>0.7064</f>
        <v>0.70640000000000003</v>
      </c>
    </row>
    <row r="326" spans="1:8" x14ac:dyDescent="0.25">
      <c r="A326" s="1">
        <v>44337</v>
      </c>
      <c r="C326">
        <f>27.4325</f>
        <v>27.432500000000001</v>
      </c>
      <c r="D326">
        <f>0.8209</f>
        <v>0.82089999999999996</v>
      </c>
      <c r="E326">
        <f>108.96</f>
        <v>108.96</v>
      </c>
      <c r="F326">
        <f>1.2066</f>
        <v>1.2065999999999999</v>
      </c>
      <c r="G326">
        <f>8.4162</f>
        <v>8.4161999999999999</v>
      </c>
      <c r="H326">
        <f>0.7067</f>
        <v>0.70669999999999999</v>
      </c>
    </row>
    <row r="327" spans="1:8" x14ac:dyDescent="0.25">
      <c r="A327" s="1">
        <v>44336</v>
      </c>
      <c r="C327">
        <f>27.4898</f>
        <v>27.489799999999999</v>
      </c>
      <c r="D327">
        <f>0.8178</f>
        <v>0.81779999999999997</v>
      </c>
      <c r="E327">
        <f>108.78</f>
        <v>108.78</v>
      </c>
      <c r="F327">
        <f>1.2061</f>
        <v>1.2060999999999999</v>
      </c>
      <c r="G327">
        <f>8.3806</f>
        <v>8.3805999999999994</v>
      </c>
      <c r="H327">
        <f>0.7047</f>
        <v>0.70469999999999999</v>
      </c>
    </row>
    <row r="328" spans="1:8" x14ac:dyDescent="0.25">
      <c r="A328" s="1">
        <v>44335</v>
      </c>
      <c r="C328">
        <f>27.4474</f>
        <v>27.447399999999998</v>
      </c>
      <c r="D328">
        <f>0.8213</f>
        <v>0.82130000000000003</v>
      </c>
      <c r="E328">
        <f>109.22</f>
        <v>109.22</v>
      </c>
      <c r="F328">
        <f>1.2133</f>
        <v>1.2133</v>
      </c>
      <c r="G328">
        <f>8.4139</f>
        <v>8.4138999999999999</v>
      </c>
      <c r="H328">
        <f>0.7085</f>
        <v>0.70850000000000002</v>
      </c>
    </row>
    <row r="329" spans="1:8" x14ac:dyDescent="0.25">
      <c r="A329" s="1">
        <v>44334</v>
      </c>
      <c r="C329">
        <f>27.4194</f>
        <v>27.4194</v>
      </c>
      <c r="D329">
        <f>0.8181</f>
        <v>0.81810000000000005</v>
      </c>
      <c r="E329">
        <f>108.9</f>
        <v>108.9</v>
      </c>
      <c r="F329">
        <f>1.2066</f>
        <v>1.2065999999999999</v>
      </c>
      <c r="G329">
        <f>8.3563</f>
        <v>8.3562999999999992</v>
      </c>
      <c r="H329">
        <f>0.7048</f>
        <v>0.70479999999999998</v>
      </c>
    </row>
    <row r="330" spans="1:8" x14ac:dyDescent="0.25">
      <c r="A330" s="1">
        <v>44333</v>
      </c>
      <c r="C330">
        <f>27.5325</f>
        <v>27.532499999999999</v>
      </c>
      <c r="D330">
        <f>0.8229</f>
        <v>0.82289999999999996</v>
      </c>
      <c r="E330">
        <f>109.21</f>
        <v>109.21</v>
      </c>
      <c r="F330">
        <f>1.2068</f>
        <v>1.2068000000000001</v>
      </c>
      <c r="G330">
        <f>8.3137</f>
        <v>8.3137000000000008</v>
      </c>
      <c r="H330">
        <f>0.7073</f>
        <v>0.70730000000000004</v>
      </c>
    </row>
    <row r="331" spans="1:8" x14ac:dyDescent="0.25">
      <c r="A331" s="1">
        <v>44330</v>
      </c>
      <c r="C331">
        <f>27.5626</f>
        <v>27.5626</v>
      </c>
      <c r="D331">
        <f>0.8234</f>
        <v>0.82340000000000002</v>
      </c>
      <c r="E331">
        <f>109.35</f>
        <v>109.35</v>
      </c>
      <c r="F331">
        <f>1.2104</f>
        <v>1.2103999999999999</v>
      </c>
      <c r="G331">
        <f>8.451</f>
        <v>8.4510000000000005</v>
      </c>
      <c r="H331">
        <f>0.7094</f>
        <v>0.70940000000000003</v>
      </c>
    </row>
    <row r="332" spans="1:8" x14ac:dyDescent="0.25">
      <c r="A332" s="1">
        <v>44329</v>
      </c>
      <c r="C332">
        <f>27.6203</f>
        <v>27.6203</v>
      </c>
      <c r="D332">
        <f>0.8279</f>
        <v>0.82789999999999997</v>
      </c>
      <c r="E332">
        <f>109.47</f>
        <v>109.47</v>
      </c>
      <c r="F332">
        <f>1.2162</f>
        <v>1.2161999999999999</v>
      </c>
      <c r="G332">
        <f>8.505</f>
        <v>8.5050000000000008</v>
      </c>
      <c r="H332">
        <f>0.7117</f>
        <v>0.7117</v>
      </c>
    </row>
    <row r="333" spans="1:8" x14ac:dyDescent="0.25">
      <c r="A333" s="1">
        <v>44328</v>
      </c>
      <c r="C333">
        <f>27.6186</f>
        <v>27.618600000000001</v>
      </c>
      <c r="D333">
        <f>0.8284</f>
        <v>0.82840000000000003</v>
      </c>
      <c r="E333">
        <f>109.67</f>
        <v>109.67</v>
      </c>
      <c r="F333">
        <f>1.2134</f>
        <v>1.2134</v>
      </c>
      <c r="G333">
        <f>8.4311</f>
        <v>8.4311000000000007</v>
      </c>
      <c r="H333">
        <f>0.7115</f>
        <v>0.71150000000000002</v>
      </c>
    </row>
    <row r="334" spans="1:8" x14ac:dyDescent="0.25">
      <c r="A334" s="1">
        <v>44327</v>
      </c>
      <c r="C334">
        <f>27.5752</f>
        <v>27.575199999999999</v>
      </c>
      <c r="D334">
        <f>0.8232</f>
        <v>0.82320000000000004</v>
      </c>
      <c r="E334">
        <f>108.62</f>
        <v>108.62</v>
      </c>
      <c r="F334">
        <f>1.2102</f>
        <v>1.2101999999999999</v>
      </c>
      <c r="G334">
        <f>8.2846</f>
        <v>8.2845999999999993</v>
      </c>
      <c r="H334">
        <f>0.7071</f>
        <v>0.70709999999999995</v>
      </c>
    </row>
    <row r="335" spans="1:8" x14ac:dyDescent="0.25">
      <c r="A335" s="1">
        <v>44326</v>
      </c>
      <c r="C335">
        <f>27.7386</f>
        <v>27.738600000000002</v>
      </c>
      <c r="D335">
        <f>0.8245</f>
        <v>0.82450000000000001</v>
      </c>
      <c r="E335">
        <f>108.81</f>
        <v>108.81</v>
      </c>
      <c r="F335">
        <f>1.2102</f>
        <v>1.2101999999999999</v>
      </c>
      <c r="G335">
        <f>8.2761</f>
        <v>8.2760999999999996</v>
      </c>
      <c r="H335">
        <f>0.7083</f>
        <v>0.70830000000000004</v>
      </c>
    </row>
    <row r="336" spans="1:8" x14ac:dyDescent="0.25">
      <c r="A336" s="1">
        <v>44323</v>
      </c>
      <c r="C336">
        <f>27.7536</f>
        <v>27.753599999999999</v>
      </c>
      <c r="D336">
        <f>0.8221</f>
        <v>0.82210000000000005</v>
      </c>
      <c r="E336">
        <f>108.6</f>
        <v>108.6</v>
      </c>
      <c r="F336">
        <f>1.2133</f>
        <v>1.2133</v>
      </c>
      <c r="G336">
        <f>8.2409</f>
        <v>8.2408999999999999</v>
      </c>
      <c r="H336">
        <f>0.7149</f>
        <v>0.71489999999999998</v>
      </c>
    </row>
    <row r="337" spans="1:8" x14ac:dyDescent="0.25">
      <c r="A337" s="1">
        <v>44322</v>
      </c>
      <c r="C337">
        <f>27.7497</f>
        <v>27.749700000000001</v>
      </c>
      <c r="D337">
        <f>0.8289</f>
        <v>0.82889999999999997</v>
      </c>
      <c r="E337">
        <f>109.09</f>
        <v>109.09</v>
      </c>
      <c r="F337">
        <f>1.2149</f>
        <v>1.2149000000000001</v>
      </c>
      <c r="G337">
        <f>8.2821</f>
        <v>8.2820999999999998</v>
      </c>
      <c r="H337">
        <f>0.7198</f>
        <v>0.7198</v>
      </c>
    </row>
    <row r="338" spans="1:8" x14ac:dyDescent="0.25">
      <c r="A338" s="1">
        <v>44321</v>
      </c>
      <c r="C338">
        <f>27.7393</f>
        <v>27.7393</v>
      </c>
      <c r="D338">
        <f>0.8329</f>
        <v>0.83289999999999997</v>
      </c>
      <c r="E338">
        <f>109.21</f>
        <v>109.21</v>
      </c>
      <c r="F338">
        <f>1.2267</f>
        <v>1.2266999999999999</v>
      </c>
      <c r="G338">
        <f>8.326</f>
        <v>8.3260000000000005</v>
      </c>
      <c r="H338">
        <f>0.719</f>
        <v>0.71899999999999997</v>
      </c>
    </row>
    <row r="339" spans="1:8" x14ac:dyDescent="0.25">
      <c r="A339" s="1">
        <v>44320</v>
      </c>
      <c r="C339">
        <f>27.7964</f>
        <v>27.796399999999998</v>
      </c>
      <c r="D339">
        <f>0.8324</f>
        <v>0.83240000000000003</v>
      </c>
      <c r="E339">
        <f>109.33</f>
        <v>109.33</v>
      </c>
      <c r="F339">
        <f>1.2309</f>
        <v>1.2309000000000001</v>
      </c>
      <c r="G339">
        <f>8.3281</f>
        <v>8.3280999999999992</v>
      </c>
      <c r="H339">
        <f>0.7201</f>
        <v>0.72009999999999996</v>
      </c>
    </row>
    <row r="340" spans="1:8" x14ac:dyDescent="0.25">
      <c r="A340" s="1">
        <v>44319</v>
      </c>
      <c r="C340">
        <f>27.8026</f>
        <v>27.802600000000002</v>
      </c>
      <c r="D340">
        <f>0.829</f>
        <v>0.82899999999999996</v>
      </c>
      <c r="E340">
        <f>109.07</f>
        <v>109.07</v>
      </c>
      <c r="F340">
        <f>1.2279</f>
        <v>1.2279</v>
      </c>
      <c r="G340">
        <f>8.2506</f>
        <v>8.2506000000000004</v>
      </c>
      <c r="H340">
        <f>0.719</f>
        <v>0.71899999999999997</v>
      </c>
    </row>
    <row r="341" spans="1:8" x14ac:dyDescent="0.25">
      <c r="A341" s="1">
        <v>44316</v>
      </c>
      <c r="C341">
        <f>27.815</f>
        <v>27.815000000000001</v>
      </c>
      <c r="D341">
        <f>0.832</f>
        <v>0.83199999999999996</v>
      </c>
      <c r="E341">
        <f>109.31</f>
        <v>109.31</v>
      </c>
      <c r="F341">
        <f>1.2287</f>
        <v>1.2286999999999999</v>
      </c>
      <c r="G341">
        <f>8.2948</f>
        <v>8.2948000000000004</v>
      </c>
      <c r="H341">
        <f>0.7239</f>
        <v>0.72389999999999999</v>
      </c>
    </row>
    <row r="342" spans="1:8" x14ac:dyDescent="0.25">
      <c r="A342" s="1">
        <v>44315</v>
      </c>
      <c r="C342">
        <f>27.7024</f>
        <v>27.702400000000001</v>
      </c>
      <c r="D342">
        <f>0.8251</f>
        <v>0.82509999999999994</v>
      </c>
      <c r="E342">
        <f>108.93</f>
        <v>108.93</v>
      </c>
      <c r="F342">
        <f>1.2283</f>
        <v>1.2282999999999999</v>
      </c>
      <c r="G342">
        <f>8.219</f>
        <v>8.2189999999999994</v>
      </c>
      <c r="H342">
        <f>0.7173</f>
        <v>0.71730000000000005</v>
      </c>
    </row>
    <row r="343" spans="1:8" x14ac:dyDescent="0.25">
      <c r="A343" s="1">
        <v>44314</v>
      </c>
      <c r="C343">
        <f>27.7757</f>
        <v>27.775700000000001</v>
      </c>
      <c r="D343">
        <f>0.8247</f>
        <v>0.82469999999999999</v>
      </c>
      <c r="E343">
        <f>108.6</f>
        <v>108.6</v>
      </c>
      <c r="F343">
        <f>1.2314</f>
        <v>1.2314000000000001</v>
      </c>
      <c r="G343">
        <f>8.1995</f>
        <v>8.1995000000000005</v>
      </c>
      <c r="H343">
        <f>0.7174</f>
        <v>0.71740000000000004</v>
      </c>
    </row>
    <row r="344" spans="1:8" x14ac:dyDescent="0.25">
      <c r="A344" s="1">
        <v>44313</v>
      </c>
      <c r="C344">
        <f>27.7526</f>
        <v>27.752600000000001</v>
      </c>
      <c r="D344">
        <f>0.827</f>
        <v>0.82699999999999996</v>
      </c>
      <c r="E344">
        <f>108.7</f>
        <v>108.7</v>
      </c>
      <c r="F344">
        <f>1.2399</f>
        <v>1.2399</v>
      </c>
      <c r="G344">
        <f>8.2196</f>
        <v>8.2195999999999998</v>
      </c>
      <c r="H344">
        <f>0.719</f>
        <v>0.71899999999999997</v>
      </c>
    </row>
    <row r="345" spans="1:8" x14ac:dyDescent="0.25">
      <c r="A345" s="1">
        <v>44312</v>
      </c>
      <c r="C345">
        <f>27.835</f>
        <v>27.835000000000001</v>
      </c>
      <c r="D345">
        <f>0.8274</f>
        <v>0.82740000000000002</v>
      </c>
      <c r="E345">
        <f>108.08</f>
        <v>108.08</v>
      </c>
      <c r="F345">
        <f>1.2398</f>
        <v>1.2398</v>
      </c>
      <c r="G345">
        <f>8.2846</f>
        <v>8.2845999999999993</v>
      </c>
      <c r="H345">
        <f>0.7194</f>
        <v>0.71940000000000004</v>
      </c>
    </row>
    <row r="346" spans="1:8" x14ac:dyDescent="0.25">
      <c r="A346" s="1">
        <v>44309</v>
      </c>
      <c r="C346">
        <f>27.9186</f>
        <v>27.918600000000001</v>
      </c>
      <c r="D346">
        <f>0.8266</f>
        <v>0.8266</v>
      </c>
      <c r="E346">
        <f>107.88</f>
        <v>107.88</v>
      </c>
      <c r="F346">
        <f>1.2476</f>
        <v>1.2476</v>
      </c>
      <c r="G346">
        <f>8.3907</f>
        <v>8.3907000000000007</v>
      </c>
      <c r="H346">
        <f>0.7207</f>
        <v>0.72070000000000001</v>
      </c>
    </row>
    <row r="347" spans="1:8" x14ac:dyDescent="0.25">
      <c r="A347" s="1">
        <v>44308</v>
      </c>
      <c r="C347">
        <f>27.9447</f>
        <v>27.944700000000001</v>
      </c>
      <c r="D347">
        <f>0.8322</f>
        <v>0.83220000000000005</v>
      </c>
      <c r="E347">
        <f>107.97</f>
        <v>107.97</v>
      </c>
      <c r="F347">
        <f>1.2507</f>
        <v>1.2506999999999999</v>
      </c>
      <c r="G347">
        <f>8.3215</f>
        <v>8.3215000000000003</v>
      </c>
      <c r="H347">
        <f>0.7225</f>
        <v>0.72250000000000003</v>
      </c>
    </row>
    <row r="348" spans="1:8" x14ac:dyDescent="0.25">
      <c r="A348" s="1">
        <v>44307</v>
      </c>
      <c r="C348">
        <f>28.1052</f>
        <v>28.1052</v>
      </c>
      <c r="D348">
        <f>0.8309</f>
        <v>0.83089999999999997</v>
      </c>
      <c r="E348">
        <f>108.08</f>
        <v>108.08</v>
      </c>
      <c r="F348">
        <f>1.2497</f>
        <v>1.2497</v>
      </c>
      <c r="G348">
        <f>8.1892</f>
        <v>8.1891999999999996</v>
      </c>
      <c r="H348">
        <f>0.7179</f>
        <v>0.71789999999999998</v>
      </c>
    </row>
    <row r="349" spans="1:8" x14ac:dyDescent="0.25">
      <c r="A349" s="1">
        <v>44306</v>
      </c>
      <c r="C349">
        <f>28.055</f>
        <v>28.055</v>
      </c>
      <c r="D349">
        <f>0.8308</f>
        <v>0.83079999999999998</v>
      </c>
      <c r="E349">
        <f>108.11</f>
        <v>108.11</v>
      </c>
      <c r="F349">
        <f>1.2609</f>
        <v>1.2608999999999999</v>
      </c>
      <c r="G349">
        <f>8.1153</f>
        <v>8.1152999999999995</v>
      </c>
      <c r="H349">
        <f>0.7175</f>
        <v>0.71750000000000003</v>
      </c>
    </row>
    <row r="350" spans="1:8" x14ac:dyDescent="0.25">
      <c r="A350" s="1">
        <v>44305</v>
      </c>
      <c r="C350">
        <f>27.9799</f>
        <v>27.979900000000001</v>
      </c>
      <c r="D350">
        <f>0.8308</f>
        <v>0.83079999999999998</v>
      </c>
      <c r="E350">
        <f>108.17</f>
        <v>108.17</v>
      </c>
      <c r="F350">
        <f>1.2535</f>
        <v>1.2535000000000001</v>
      </c>
      <c r="G350">
        <f>8.0971</f>
        <v>8.0970999999999993</v>
      </c>
      <c r="H350">
        <f>0.715</f>
        <v>0.71499999999999997</v>
      </c>
    </row>
    <row r="351" spans="1:8" x14ac:dyDescent="0.25">
      <c r="A351" s="1">
        <v>44302</v>
      </c>
      <c r="C351">
        <f>27.9987</f>
        <v>27.998699999999999</v>
      </c>
      <c r="D351">
        <f>0.8346</f>
        <v>0.83460000000000001</v>
      </c>
      <c r="E351">
        <f>108.8</f>
        <v>108.8</v>
      </c>
      <c r="F351">
        <f>1.2508</f>
        <v>1.2507999999999999</v>
      </c>
      <c r="G351">
        <f>8.0656</f>
        <v>8.0655999999999999</v>
      </c>
      <c r="H351">
        <f>0.7227</f>
        <v>0.72270000000000001</v>
      </c>
    </row>
    <row r="352" spans="1:8" x14ac:dyDescent="0.25">
      <c r="A352" s="1">
        <v>44301</v>
      </c>
      <c r="C352">
        <f>28.0375</f>
        <v>28.037500000000001</v>
      </c>
      <c r="D352">
        <f>0.8357</f>
        <v>0.8357</v>
      </c>
      <c r="E352">
        <f>108.76</f>
        <v>108.76</v>
      </c>
      <c r="F352">
        <f>1.2543</f>
        <v>1.2543</v>
      </c>
      <c r="G352">
        <f>8.0178</f>
        <v>8.0177999999999994</v>
      </c>
      <c r="H352">
        <f>0.7257</f>
        <v>0.72570000000000001</v>
      </c>
    </row>
    <row r="353" spans="1:8" x14ac:dyDescent="0.25">
      <c r="A353" s="1">
        <v>44300</v>
      </c>
      <c r="C353">
        <f>27.9261</f>
        <v>27.926100000000002</v>
      </c>
      <c r="D353">
        <f>0.8348</f>
        <v>0.83479999999999999</v>
      </c>
      <c r="E353">
        <f>108.93</f>
        <v>108.93</v>
      </c>
      <c r="F353">
        <f>1.2521</f>
        <v>1.2521</v>
      </c>
      <c r="G353">
        <f>8.0829</f>
        <v>8.0829000000000004</v>
      </c>
      <c r="H353">
        <f>0.7258</f>
        <v>0.7258</v>
      </c>
    </row>
    <row r="354" spans="1:8" x14ac:dyDescent="0.25">
      <c r="A354" s="1">
        <v>44299</v>
      </c>
      <c r="C354">
        <f>28.1817</f>
        <v>28.181699999999999</v>
      </c>
      <c r="D354">
        <f>0.8369</f>
        <v>0.83689999999999998</v>
      </c>
      <c r="E354">
        <f>109.06</f>
        <v>109.06</v>
      </c>
      <c r="F354">
        <f>1.2535</f>
        <v>1.2535000000000001</v>
      </c>
      <c r="G354">
        <f>8.1198</f>
        <v>8.1197999999999997</v>
      </c>
      <c r="H354">
        <f>0.7272</f>
        <v>0.72719999999999996</v>
      </c>
    </row>
    <row r="355" spans="1:8" x14ac:dyDescent="0.25">
      <c r="A355" s="1">
        <v>44298</v>
      </c>
      <c r="C355">
        <f>27.9572</f>
        <v>27.9572</v>
      </c>
      <c r="D355">
        <f>0.8395</f>
        <v>0.83950000000000002</v>
      </c>
      <c r="E355">
        <f>109.38</f>
        <v>109.38</v>
      </c>
      <c r="F355">
        <f>1.2563</f>
        <v>1.2563</v>
      </c>
      <c r="G355">
        <f>8.157</f>
        <v>8.157</v>
      </c>
      <c r="H355">
        <f>0.7276</f>
        <v>0.72760000000000002</v>
      </c>
    </row>
    <row r="356" spans="1:8" x14ac:dyDescent="0.25">
      <c r="A356" s="1">
        <v>44295</v>
      </c>
      <c r="C356">
        <f>27.9425</f>
        <v>27.942499999999999</v>
      </c>
      <c r="D356">
        <f>0.8403</f>
        <v>0.84030000000000005</v>
      </c>
      <c r="E356">
        <f>109.67</f>
        <v>109.67</v>
      </c>
      <c r="F356">
        <f>1.253</f>
        <v>1.2529999999999999</v>
      </c>
      <c r="G356">
        <f>8.1747</f>
        <v>8.1746999999999996</v>
      </c>
      <c r="H356">
        <f>0.7296</f>
        <v>0.72960000000000003</v>
      </c>
    </row>
    <row r="357" spans="1:8" x14ac:dyDescent="0.25">
      <c r="A357" s="1">
        <v>44294</v>
      </c>
      <c r="C357">
        <f>27.8926</f>
        <v>27.892600000000002</v>
      </c>
      <c r="D357">
        <f>0.8392</f>
        <v>0.83919999999999995</v>
      </c>
      <c r="E357">
        <f>109.26</f>
        <v>109.26</v>
      </c>
      <c r="F357">
        <f>1.2562</f>
        <v>1.2562</v>
      </c>
      <c r="G357">
        <f>8.1415</f>
        <v>8.1415000000000006</v>
      </c>
      <c r="H357">
        <f>0.7281</f>
        <v>0.72809999999999997</v>
      </c>
    </row>
    <row r="358" spans="1:8" x14ac:dyDescent="0.25">
      <c r="A358" s="1">
        <v>44293</v>
      </c>
      <c r="C358">
        <f>27.9401</f>
        <v>27.940100000000001</v>
      </c>
      <c r="D358">
        <f>0.8423</f>
        <v>0.84230000000000005</v>
      </c>
      <c r="E358">
        <f>109.85</f>
        <v>109.85</v>
      </c>
      <c r="F358">
        <f>1.2609</f>
        <v>1.2608999999999999</v>
      </c>
      <c r="G358">
        <f>8.1605</f>
        <v>8.1605000000000008</v>
      </c>
      <c r="H358">
        <f>0.7279</f>
        <v>0.72789999999999999</v>
      </c>
    </row>
    <row r="359" spans="1:8" x14ac:dyDescent="0.25">
      <c r="A359" s="1">
        <v>44292</v>
      </c>
      <c r="C359">
        <f>27.7998</f>
        <v>27.799800000000001</v>
      </c>
      <c r="D359">
        <f>0.842</f>
        <v>0.84199999999999997</v>
      </c>
      <c r="E359">
        <f>109.75</f>
        <v>109.75</v>
      </c>
      <c r="F359">
        <f>1.2566</f>
        <v>1.2565999999999999</v>
      </c>
      <c r="G359">
        <f>8.1444</f>
        <v>8.1443999999999992</v>
      </c>
      <c r="H359">
        <f>0.7234</f>
        <v>0.72340000000000004</v>
      </c>
    </row>
    <row r="360" spans="1:8" x14ac:dyDescent="0.25">
      <c r="A360" s="1">
        <v>44291</v>
      </c>
      <c r="C360">
        <f>27.8601</f>
        <v>27.860099999999999</v>
      </c>
      <c r="D360">
        <f>0.8466</f>
        <v>0.84660000000000002</v>
      </c>
      <c r="E360">
        <f>110.18</f>
        <v>110.18</v>
      </c>
      <c r="F360">
        <f>1.2525</f>
        <v>1.2524999999999999</v>
      </c>
      <c r="G360">
        <f>8.1145</f>
        <v>8.1144999999999996</v>
      </c>
      <c r="H360">
        <f>0.7193</f>
        <v>0.71930000000000005</v>
      </c>
    </row>
    <row r="361" spans="1:8" x14ac:dyDescent="0.25">
      <c r="A361" s="1">
        <v>44288</v>
      </c>
      <c r="C361">
        <f>28.0275</f>
        <v>28.0275</v>
      </c>
      <c r="D361">
        <f>0.8504</f>
        <v>0.85040000000000004</v>
      </c>
      <c r="E361">
        <f>110.69</f>
        <v>110.69</v>
      </c>
      <c r="F361">
        <f>1.2578</f>
        <v>1.2578</v>
      </c>
      <c r="G361">
        <f>8.1672</f>
        <v>8.1671999999999993</v>
      </c>
      <c r="H361">
        <f>0.7229</f>
        <v>0.72289999999999999</v>
      </c>
    </row>
    <row r="362" spans="1:8" x14ac:dyDescent="0.25">
      <c r="A362" s="1">
        <v>44287</v>
      </c>
      <c r="C362">
        <f>27.8588</f>
        <v>27.858799999999999</v>
      </c>
      <c r="D362">
        <f>0.8491</f>
        <v>0.84909999999999997</v>
      </c>
      <c r="E362">
        <f>110.62</f>
        <v>110.62</v>
      </c>
      <c r="F362">
        <f>1.2548</f>
        <v>1.2547999999999999</v>
      </c>
      <c r="G362">
        <f>8.1233</f>
        <v>8.1233000000000004</v>
      </c>
      <c r="H362">
        <f>0.7229</f>
        <v>0.72289999999999999</v>
      </c>
    </row>
    <row r="363" spans="1:8" x14ac:dyDescent="0.25">
      <c r="A363" s="1">
        <v>44286</v>
      </c>
      <c r="C363">
        <f>27.8472</f>
        <v>27.847200000000001</v>
      </c>
      <c r="D363">
        <f>0.8525</f>
        <v>0.85250000000000004</v>
      </c>
      <c r="E363">
        <f>110.72</f>
        <v>110.72</v>
      </c>
      <c r="F363">
        <f>1.2562</f>
        <v>1.2562</v>
      </c>
      <c r="G363">
        <f>8.2519</f>
        <v>8.2518999999999991</v>
      </c>
      <c r="H363">
        <f>0.7255</f>
        <v>0.72550000000000003</v>
      </c>
    </row>
    <row r="364" spans="1:8" x14ac:dyDescent="0.25">
      <c r="A364" s="1">
        <v>44285</v>
      </c>
      <c r="C364">
        <f>27.8349</f>
        <v>27.834900000000001</v>
      </c>
      <c r="D364">
        <f>0.8536</f>
        <v>0.85360000000000003</v>
      </c>
      <c r="E364">
        <f>110.36</f>
        <v>110.36</v>
      </c>
      <c r="F364">
        <f>1.2634</f>
        <v>1.2634000000000001</v>
      </c>
      <c r="G364">
        <f>8.336</f>
        <v>8.3360000000000003</v>
      </c>
      <c r="H364">
        <f>0.7278</f>
        <v>0.7278</v>
      </c>
    </row>
    <row r="365" spans="1:8" x14ac:dyDescent="0.25">
      <c r="A365" s="1">
        <v>44284</v>
      </c>
      <c r="C365">
        <f>27.9501</f>
        <v>27.950099999999999</v>
      </c>
      <c r="D365">
        <f>0.85</f>
        <v>0.85</v>
      </c>
      <c r="E365">
        <f>109.81</f>
        <v>109.81</v>
      </c>
      <c r="F365">
        <f>1.2591</f>
        <v>1.2591000000000001</v>
      </c>
      <c r="G365">
        <f>8.2104</f>
        <v>8.2103999999999999</v>
      </c>
      <c r="H365">
        <f>0.7266</f>
        <v>0.72660000000000002</v>
      </c>
    </row>
    <row r="366" spans="1:8" x14ac:dyDescent="0.25">
      <c r="A366" s="1">
        <v>44281</v>
      </c>
      <c r="C366">
        <f>27.9748</f>
        <v>27.974799999999998</v>
      </c>
      <c r="D366">
        <f>0.8479</f>
        <v>0.84789999999999999</v>
      </c>
      <c r="E366">
        <f>109.64</f>
        <v>109.64</v>
      </c>
      <c r="F366">
        <f>1.2577</f>
        <v>1.2577</v>
      </c>
      <c r="G366">
        <f>8.1076</f>
        <v>8.1075999999999997</v>
      </c>
      <c r="H366">
        <f>0.7252</f>
        <v>0.72519999999999996</v>
      </c>
    </row>
    <row r="367" spans="1:8" x14ac:dyDescent="0.25">
      <c r="A367" s="1">
        <v>44280</v>
      </c>
      <c r="C367">
        <f>28.1832</f>
        <v>28.183199999999999</v>
      </c>
      <c r="D367">
        <f>0.8501</f>
        <v>0.85009999999999997</v>
      </c>
      <c r="E367">
        <f>109.19</f>
        <v>109.19</v>
      </c>
      <c r="F367">
        <f>1.2613</f>
        <v>1.2613000000000001</v>
      </c>
      <c r="G367">
        <f>7.9446</f>
        <v>7.9446000000000003</v>
      </c>
      <c r="H367">
        <f>0.7282</f>
        <v>0.72819999999999996</v>
      </c>
    </row>
    <row r="368" spans="1:8" x14ac:dyDescent="0.25">
      <c r="A368" s="1">
        <v>44279</v>
      </c>
      <c r="C368">
        <f>27.9478</f>
        <v>27.947800000000001</v>
      </c>
      <c r="D368">
        <f>0.8465</f>
        <v>0.84650000000000003</v>
      </c>
      <c r="E368">
        <f>108.73</f>
        <v>108.73</v>
      </c>
      <c r="F368">
        <f>1.2579</f>
        <v>1.2579</v>
      </c>
      <c r="G368">
        <f>7.9377</f>
        <v>7.9377000000000004</v>
      </c>
      <c r="H368">
        <f>0.7307</f>
        <v>0.73070000000000002</v>
      </c>
    </row>
    <row r="369" spans="1:8" x14ac:dyDescent="0.25">
      <c r="A369" s="1">
        <v>44278</v>
      </c>
      <c r="C369">
        <f>27.7526</f>
        <v>27.752600000000001</v>
      </c>
      <c r="D369">
        <f>0.8439</f>
        <v>0.84389999999999998</v>
      </c>
      <c r="E369">
        <f>108.59</f>
        <v>108.59</v>
      </c>
      <c r="F369">
        <f>1.2588</f>
        <v>1.2587999999999999</v>
      </c>
      <c r="G369">
        <f>7.9336</f>
        <v>7.9336000000000002</v>
      </c>
      <c r="H369">
        <f>0.7271</f>
        <v>0.72709999999999997</v>
      </c>
    </row>
    <row r="370" spans="1:8" x14ac:dyDescent="0.25">
      <c r="A370" s="1">
        <v>44277</v>
      </c>
      <c r="C370">
        <f>27.6849</f>
        <v>27.684899999999999</v>
      </c>
      <c r="D370">
        <f>0.838</f>
        <v>0.83799999999999997</v>
      </c>
      <c r="E370">
        <f>108.85</f>
        <v>108.85</v>
      </c>
      <c r="F370">
        <f>1.2522</f>
        <v>1.2522</v>
      </c>
      <c r="G370">
        <f>7.8016</f>
        <v>7.8015999999999996</v>
      </c>
      <c r="H370">
        <f>0.7213</f>
        <v>0.72130000000000005</v>
      </c>
    </row>
    <row r="371" spans="1:8" x14ac:dyDescent="0.25">
      <c r="A371" s="1">
        <v>44274</v>
      </c>
      <c r="C371">
        <f>27.715</f>
        <v>27.715</v>
      </c>
      <c r="D371">
        <f>0.84</f>
        <v>0.84</v>
      </c>
      <c r="E371">
        <f>108.88</f>
        <v>108.88</v>
      </c>
      <c r="F371">
        <f>1.25</f>
        <v>1.25</v>
      </c>
      <c r="G371">
        <f>7.2185</f>
        <v>7.2184999999999997</v>
      </c>
      <c r="H371">
        <f>0.7209</f>
        <v>0.72089999999999999</v>
      </c>
    </row>
    <row r="372" spans="1:8" x14ac:dyDescent="0.25">
      <c r="A372" s="1">
        <v>44273</v>
      </c>
      <c r="C372">
        <f>27.6902</f>
        <v>27.690200000000001</v>
      </c>
      <c r="D372">
        <f>0.8392</f>
        <v>0.83919999999999995</v>
      </c>
      <c r="E372">
        <f>108.89</f>
        <v>108.89</v>
      </c>
      <c r="F372">
        <f>1.2487</f>
        <v>1.2486999999999999</v>
      </c>
      <c r="G372">
        <f>7.3226</f>
        <v>7.3226000000000004</v>
      </c>
      <c r="H372">
        <f>0.718</f>
        <v>0.71799999999999997</v>
      </c>
    </row>
    <row r="373" spans="1:8" x14ac:dyDescent="0.25">
      <c r="A373" s="1">
        <v>44272</v>
      </c>
      <c r="C373">
        <f>27.705</f>
        <v>27.704999999999998</v>
      </c>
      <c r="D373">
        <f>0.8347</f>
        <v>0.8347</v>
      </c>
      <c r="E373">
        <f>108.84</f>
        <v>108.84</v>
      </c>
      <c r="F373">
        <f>1.2405</f>
        <v>1.2404999999999999</v>
      </c>
      <c r="G373">
        <f>7.5029</f>
        <v>7.5029000000000003</v>
      </c>
      <c r="H373">
        <f>0.7161</f>
        <v>0.71609999999999996</v>
      </c>
    </row>
    <row r="374" spans="1:8" x14ac:dyDescent="0.25">
      <c r="A374" s="1">
        <v>44271</v>
      </c>
      <c r="C374">
        <f>27.71</f>
        <v>27.71</v>
      </c>
      <c r="D374">
        <f>0.8402</f>
        <v>0.84019999999999995</v>
      </c>
      <c r="E374">
        <f>109</f>
        <v>109</v>
      </c>
      <c r="F374">
        <f>1.2448</f>
        <v>1.2447999999999999</v>
      </c>
      <c r="G374">
        <f>7.4933</f>
        <v>7.4932999999999996</v>
      </c>
      <c r="H374">
        <f>0.7198</f>
        <v>0.7198</v>
      </c>
    </row>
    <row r="375" spans="1:8" x14ac:dyDescent="0.25">
      <c r="A375" s="1">
        <v>44270</v>
      </c>
      <c r="C375">
        <f>27.615</f>
        <v>27.614999999999998</v>
      </c>
      <c r="D375">
        <f>0.8382</f>
        <v>0.83819999999999995</v>
      </c>
      <c r="E375">
        <f>109.13</f>
        <v>109.13</v>
      </c>
      <c r="F375">
        <f>1.2472</f>
        <v>1.2472000000000001</v>
      </c>
      <c r="G375">
        <f>7.5375</f>
        <v>7.5374999999999996</v>
      </c>
      <c r="H375">
        <f>0.7193</f>
        <v>0.71930000000000005</v>
      </c>
    </row>
    <row r="376" spans="1:8" x14ac:dyDescent="0.25">
      <c r="A376" s="1">
        <v>44267</v>
      </c>
      <c r="C376">
        <f>27.6689</f>
        <v>27.668900000000001</v>
      </c>
      <c r="D376">
        <f>0.8366</f>
        <v>0.83660000000000001</v>
      </c>
      <c r="E376">
        <f>109.03</f>
        <v>109.03</v>
      </c>
      <c r="F376">
        <f>1.2475</f>
        <v>1.2475000000000001</v>
      </c>
      <c r="G376">
        <f>7.5602</f>
        <v>7.5602</v>
      </c>
      <c r="H376">
        <f>0.7183</f>
        <v>0.71830000000000005</v>
      </c>
    </row>
    <row r="377" spans="1:8" x14ac:dyDescent="0.25">
      <c r="A377" s="1">
        <v>44266</v>
      </c>
      <c r="C377">
        <f>27.7291</f>
        <v>27.729099999999999</v>
      </c>
      <c r="D377">
        <f>0.8344</f>
        <v>0.83440000000000003</v>
      </c>
      <c r="E377">
        <f>108.51</f>
        <v>108.51</v>
      </c>
      <c r="F377">
        <f>1.2533</f>
        <v>1.2533000000000001</v>
      </c>
      <c r="G377">
        <f>7.4832</f>
        <v>7.4832000000000001</v>
      </c>
      <c r="H377">
        <f>0.7147</f>
        <v>0.7147</v>
      </c>
    </row>
    <row r="378" spans="1:8" x14ac:dyDescent="0.25">
      <c r="A378" s="1">
        <v>44265</v>
      </c>
      <c r="C378">
        <f>27.75</f>
        <v>27.75</v>
      </c>
      <c r="D378">
        <f>0.8383</f>
        <v>0.83830000000000005</v>
      </c>
      <c r="E378">
        <f>108.38</f>
        <v>108.38</v>
      </c>
      <c r="F378">
        <f>1.2618</f>
        <v>1.2618</v>
      </c>
      <c r="G378">
        <f>7.5029</f>
        <v>7.5029000000000003</v>
      </c>
      <c r="H378">
        <f>0.7176</f>
        <v>0.71760000000000002</v>
      </c>
    </row>
    <row r="379" spans="1:8" x14ac:dyDescent="0.25">
      <c r="A379" s="1">
        <v>44264</v>
      </c>
      <c r="C379">
        <f>27.7137</f>
        <v>27.713699999999999</v>
      </c>
      <c r="D379">
        <f>0.8402</f>
        <v>0.84019999999999995</v>
      </c>
      <c r="E379">
        <f>108.48</f>
        <v>108.48</v>
      </c>
      <c r="F379">
        <f>1.2638</f>
        <v>1.2638</v>
      </c>
      <c r="G379">
        <f>7.6195</f>
        <v>7.6195000000000004</v>
      </c>
      <c r="H379">
        <f>0.72</f>
        <v>0.72</v>
      </c>
    </row>
    <row r="380" spans="1:8" x14ac:dyDescent="0.25">
      <c r="A380" s="1">
        <v>44263</v>
      </c>
      <c r="C380" t="e">
        <f>NA()</f>
        <v>#N/A</v>
      </c>
      <c r="D380">
        <f>0.8441</f>
        <v>0.84409999999999996</v>
      </c>
      <c r="E380">
        <f>108.89</f>
        <v>108.89</v>
      </c>
      <c r="F380">
        <f>1.2665</f>
        <v>1.2665</v>
      </c>
      <c r="G380">
        <f>7.7633</f>
        <v>7.7633000000000001</v>
      </c>
      <c r="H380">
        <f>0.7235</f>
        <v>0.72350000000000003</v>
      </c>
    </row>
    <row r="381" spans="1:8" x14ac:dyDescent="0.25">
      <c r="A381" s="1">
        <v>44260</v>
      </c>
      <c r="C381">
        <f>27.769</f>
        <v>27.768999999999998</v>
      </c>
      <c r="D381">
        <f>0.8396</f>
        <v>0.83960000000000001</v>
      </c>
      <c r="E381">
        <f>108.31</f>
        <v>108.31</v>
      </c>
      <c r="F381">
        <f>1.2659</f>
        <v>1.2659</v>
      </c>
      <c r="G381">
        <f>7.5325</f>
        <v>7.5324999999999998</v>
      </c>
      <c r="H381">
        <f>0.7227</f>
        <v>0.72270000000000001</v>
      </c>
    </row>
    <row r="382" spans="1:8" x14ac:dyDescent="0.25">
      <c r="A382" s="1">
        <v>44259</v>
      </c>
      <c r="C382">
        <f>27.7036</f>
        <v>27.703600000000002</v>
      </c>
      <c r="D382">
        <f>0.8352</f>
        <v>0.83520000000000005</v>
      </c>
      <c r="E382">
        <f>107.98</f>
        <v>107.98</v>
      </c>
      <c r="F382">
        <f>1.2667</f>
        <v>1.2666999999999999</v>
      </c>
      <c r="G382">
        <f>7.5172</f>
        <v>7.5171999999999999</v>
      </c>
      <c r="H382">
        <f>0.7198</f>
        <v>0.7198</v>
      </c>
    </row>
    <row r="383" spans="1:8" x14ac:dyDescent="0.25">
      <c r="A383" s="1">
        <v>44258</v>
      </c>
      <c r="C383">
        <f>27.7799</f>
        <v>27.779900000000001</v>
      </c>
      <c r="D383">
        <f>0.829</f>
        <v>0.82899999999999996</v>
      </c>
      <c r="E383">
        <f>107.01</f>
        <v>107.01</v>
      </c>
      <c r="F383">
        <f>1.2655</f>
        <v>1.2655000000000001</v>
      </c>
      <c r="G383">
        <f>7.4612</f>
        <v>7.4611999999999998</v>
      </c>
      <c r="H383">
        <f>0.7169</f>
        <v>0.71689999999999998</v>
      </c>
    </row>
    <row r="384" spans="1:8" x14ac:dyDescent="0.25">
      <c r="A384" s="1">
        <v>44257</v>
      </c>
      <c r="C384">
        <f>27.8989</f>
        <v>27.898900000000001</v>
      </c>
      <c r="D384">
        <f>0.8271</f>
        <v>0.82709999999999995</v>
      </c>
      <c r="E384">
        <f>106.69</f>
        <v>106.69</v>
      </c>
      <c r="F384">
        <f>1.2635</f>
        <v>1.2635000000000001</v>
      </c>
      <c r="G384">
        <f>7.3584</f>
        <v>7.3583999999999996</v>
      </c>
      <c r="H384">
        <f>0.7165</f>
        <v>0.71650000000000003</v>
      </c>
    </row>
    <row r="385" spans="1:8" x14ac:dyDescent="0.25">
      <c r="A385" s="1">
        <v>44256</v>
      </c>
      <c r="C385">
        <f>27.9689</f>
        <v>27.968900000000001</v>
      </c>
      <c r="D385">
        <f>0.8299</f>
        <v>0.82989999999999997</v>
      </c>
      <c r="E385">
        <f>106.76</f>
        <v>106.76</v>
      </c>
      <c r="F385">
        <f>1.2646</f>
        <v>1.2645999999999999</v>
      </c>
      <c r="G385">
        <f>7.2895</f>
        <v>7.2895000000000003</v>
      </c>
      <c r="H385">
        <f>0.7181</f>
        <v>0.71809999999999996</v>
      </c>
    </row>
    <row r="386" spans="1:8" x14ac:dyDescent="0.25">
      <c r="A386" s="1">
        <v>44253</v>
      </c>
      <c r="C386">
        <f>27.97</f>
        <v>27.97</v>
      </c>
      <c r="D386">
        <f>0.8283</f>
        <v>0.82830000000000004</v>
      </c>
      <c r="E386">
        <f>106.57</f>
        <v>106.57</v>
      </c>
      <c r="F386">
        <f>1.2738</f>
        <v>1.2738</v>
      </c>
      <c r="G386">
        <f>7.4273</f>
        <v>7.4272999999999998</v>
      </c>
      <c r="H386">
        <f>0.718</f>
        <v>0.71799999999999997</v>
      </c>
    </row>
    <row r="387" spans="1:8" x14ac:dyDescent="0.25">
      <c r="A387" s="1">
        <v>44252</v>
      </c>
      <c r="C387">
        <f>27.9046</f>
        <v>27.904599999999999</v>
      </c>
      <c r="D387">
        <f>0.8214</f>
        <v>0.82140000000000002</v>
      </c>
      <c r="E387">
        <f>106.21</f>
        <v>106.21</v>
      </c>
      <c r="F387">
        <f>1.2603</f>
        <v>1.2603</v>
      </c>
      <c r="G387">
        <f>7.3515</f>
        <v>7.3514999999999997</v>
      </c>
      <c r="H387">
        <f>0.7138</f>
        <v>0.71379999999999999</v>
      </c>
    </row>
    <row r="388" spans="1:8" x14ac:dyDescent="0.25">
      <c r="A388" s="1">
        <v>44251</v>
      </c>
      <c r="C388">
        <f>27.967</f>
        <v>27.966999999999999</v>
      </c>
      <c r="D388">
        <f>0.8217</f>
        <v>0.82169999999999999</v>
      </c>
      <c r="E388">
        <f>105.87</f>
        <v>105.87</v>
      </c>
      <c r="F388">
        <f>1.2513</f>
        <v>1.2513000000000001</v>
      </c>
      <c r="G388">
        <f>7.1655</f>
        <v>7.1654999999999998</v>
      </c>
      <c r="H388">
        <f>0.7071</f>
        <v>0.70709999999999995</v>
      </c>
    </row>
    <row r="389" spans="1:8" x14ac:dyDescent="0.25">
      <c r="A389" s="1">
        <v>44250</v>
      </c>
      <c r="C389">
        <f>27.9301</f>
        <v>27.930099999999999</v>
      </c>
      <c r="D389">
        <f>0.823</f>
        <v>0.82299999999999995</v>
      </c>
      <c r="E389">
        <f>105.25</f>
        <v>105.25</v>
      </c>
      <c r="F389">
        <f>1.2587</f>
        <v>1.2586999999999999</v>
      </c>
      <c r="G389">
        <f>7.1083</f>
        <v>7.1082999999999998</v>
      </c>
      <c r="H389">
        <f>0.7085</f>
        <v>0.70850000000000002</v>
      </c>
    </row>
    <row r="390" spans="1:8" x14ac:dyDescent="0.25">
      <c r="A390" s="1">
        <v>44249</v>
      </c>
      <c r="C390">
        <f>27.8899</f>
        <v>27.889900000000001</v>
      </c>
      <c r="D390">
        <f>0.8225</f>
        <v>0.82250000000000001</v>
      </c>
      <c r="E390">
        <f>105.08</f>
        <v>105.08</v>
      </c>
      <c r="F390">
        <f>1.2615</f>
        <v>1.2615000000000001</v>
      </c>
      <c r="G390">
        <f>7.0189</f>
        <v>7.0189000000000004</v>
      </c>
      <c r="H390">
        <f>0.711</f>
        <v>0.71099999999999997</v>
      </c>
    </row>
    <row r="391" spans="1:8" x14ac:dyDescent="0.25">
      <c r="A391" s="1">
        <v>44246</v>
      </c>
      <c r="C391">
        <f>27.864</f>
        <v>27.864000000000001</v>
      </c>
      <c r="D391">
        <f>0.8252</f>
        <v>0.82520000000000004</v>
      </c>
      <c r="E391">
        <f>105.45</f>
        <v>105.45</v>
      </c>
      <c r="F391">
        <f>1.2615</f>
        <v>1.2615000000000001</v>
      </c>
      <c r="G391">
        <f>6.9652</f>
        <v>6.9652000000000003</v>
      </c>
      <c r="H391">
        <f>0.7137</f>
        <v>0.7137</v>
      </c>
    </row>
    <row r="392" spans="1:8" x14ac:dyDescent="0.25">
      <c r="A392" s="1">
        <v>44245</v>
      </c>
      <c r="C392">
        <f>27.8444</f>
        <v>27.8444</v>
      </c>
      <c r="D392">
        <f>0.8269</f>
        <v>0.82689999999999997</v>
      </c>
      <c r="E392">
        <f>105.69</f>
        <v>105.69</v>
      </c>
      <c r="F392">
        <f>1.2679</f>
        <v>1.2679</v>
      </c>
      <c r="G392">
        <f>6.9803</f>
        <v>6.9802999999999997</v>
      </c>
      <c r="H392">
        <f>0.7156</f>
        <v>0.71560000000000001</v>
      </c>
    </row>
    <row r="393" spans="1:8" x14ac:dyDescent="0.25">
      <c r="A393" s="1">
        <v>44244</v>
      </c>
      <c r="C393">
        <f>27.8196</f>
        <v>27.819600000000001</v>
      </c>
      <c r="D393">
        <f>0.8306</f>
        <v>0.8306</v>
      </c>
      <c r="E393">
        <f>105.87</f>
        <v>105.87</v>
      </c>
      <c r="F393">
        <f>1.2702</f>
        <v>1.2702</v>
      </c>
      <c r="G393">
        <f>6.9794</f>
        <v>6.9794</v>
      </c>
      <c r="H393">
        <f>0.7213</f>
        <v>0.72130000000000005</v>
      </c>
    </row>
    <row r="394" spans="1:8" x14ac:dyDescent="0.25">
      <c r="A394" s="1">
        <v>44243</v>
      </c>
      <c r="C394">
        <f>27.9085</f>
        <v>27.9085</v>
      </c>
      <c r="D394">
        <f>0.8262</f>
        <v>0.82620000000000005</v>
      </c>
      <c r="E394">
        <f>106.04</f>
        <v>106.04</v>
      </c>
      <c r="F394">
        <f>1.269</f>
        <v>1.2689999999999999</v>
      </c>
      <c r="G394">
        <f>6.985</f>
        <v>6.9850000000000003</v>
      </c>
      <c r="H394">
        <f>0.7193</f>
        <v>0.71930000000000005</v>
      </c>
    </row>
    <row r="395" spans="1:8" x14ac:dyDescent="0.25">
      <c r="A395" s="1">
        <v>44242</v>
      </c>
      <c r="C395">
        <f>27.7761</f>
        <v>27.7761</v>
      </c>
      <c r="D395">
        <f>0.8245</f>
        <v>0.82450000000000001</v>
      </c>
      <c r="E395">
        <f>105.38</f>
        <v>105.38</v>
      </c>
      <c r="F395">
        <f>1.2639</f>
        <v>1.2639</v>
      </c>
      <c r="G395">
        <f>6.9642</f>
        <v>6.9641999999999999</v>
      </c>
      <c r="H395">
        <f>0.7192</f>
        <v>0.71919999999999995</v>
      </c>
    </row>
    <row r="396" spans="1:8" x14ac:dyDescent="0.25">
      <c r="A396" s="1">
        <v>44239</v>
      </c>
      <c r="C396">
        <f>27.9379</f>
        <v>27.937899999999999</v>
      </c>
      <c r="D396">
        <f>0.8251</f>
        <v>0.82509999999999994</v>
      </c>
      <c r="E396">
        <f>104.94</f>
        <v>104.94</v>
      </c>
      <c r="F396">
        <f>1.2696</f>
        <v>1.2696000000000001</v>
      </c>
      <c r="G396">
        <f>7.0349</f>
        <v>7.0349000000000004</v>
      </c>
      <c r="H396">
        <f>0.7218</f>
        <v>0.7218</v>
      </c>
    </row>
    <row r="397" spans="1:8" x14ac:dyDescent="0.25">
      <c r="A397" s="1">
        <v>44238</v>
      </c>
      <c r="C397">
        <f>27.4891</f>
        <v>27.489100000000001</v>
      </c>
      <c r="D397">
        <f>0.8243</f>
        <v>0.82430000000000003</v>
      </c>
      <c r="E397">
        <f>104.75</f>
        <v>104.75</v>
      </c>
      <c r="F397">
        <f>1.2705</f>
        <v>1.2705</v>
      </c>
      <c r="G397">
        <f>7.0224</f>
        <v>7.0224000000000002</v>
      </c>
      <c r="H397">
        <f>0.7238</f>
        <v>0.7238</v>
      </c>
    </row>
    <row r="398" spans="1:8" x14ac:dyDescent="0.25">
      <c r="A398" s="1">
        <v>44237</v>
      </c>
      <c r="C398">
        <f>27.8848</f>
        <v>27.884799999999998</v>
      </c>
      <c r="D398">
        <f>0.8252</f>
        <v>0.82520000000000004</v>
      </c>
      <c r="E398">
        <f>104.59</f>
        <v>104.59</v>
      </c>
      <c r="F398">
        <f>1.2701</f>
        <v>1.2701</v>
      </c>
      <c r="G398">
        <f>7.0589</f>
        <v>7.0589000000000004</v>
      </c>
      <c r="H398">
        <f>0.7228</f>
        <v>0.7228</v>
      </c>
    </row>
    <row r="399" spans="1:8" x14ac:dyDescent="0.25">
      <c r="A399" s="1">
        <v>44236</v>
      </c>
      <c r="C399">
        <f>27.7005</f>
        <v>27.700500000000002</v>
      </c>
      <c r="D399">
        <f>0.8251</f>
        <v>0.82509999999999994</v>
      </c>
      <c r="E399">
        <f>104.59</f>
        <v>104.59</v>
      </c>
      <c r="F399">
        <f>1.2693</f>
        <v>1.2693000000000001</v>
      </c>
      <c r="G399">
        <f>7.0667</f>
        <v>7.0667</v>
      </c>
      <c r="H399">
        <f>0.7238</f>
        <v>0.7238</v>
      </c>
    </row>
    <row r="400" spans="1:8" x14ac:dyDescent="0.25">
      <c r="A400" s="1">
        <v>44235</v>
      </c>
      <c r="C400">
        <f>27.6429</f>
        <v>27.642900000000001</v>
      </c>
      <c r="D400">
        <f>0.8298</f>
        <v>0.82979999999999998</v>
      </c>
      <c r="E400">
        <f>105.23</f>
        <v>105.23</v>
      </c>
      <c r="F400">
        <f>1.2739</f>
        <v>1.2739</v>
      </c>
      <c r="G400">
        <f>7.0731</f>
        <v>7.0731000000000002</v>
      </c>
      <c r="H400">
        <f>0.7277</f>
        <v>0.72770000000000001</v>
      </c>
    </row>
    <row r="401" spans="1:8" x14ac:dyDescent="0.25">
      <c r="A401" s="1">
        <v>44232</v>
      </c>
      <c r="C401">
        <f>27.6915</f>
        <v>27.691500000000001</v>
      </c>
      <c r="D401">
        <f>0.83</f>
        <v>0.83</v>
      </c>
      <c r="E401">
        <f>105.39</f>
        <v>105.39</v>
      </c>
      <c r="F401">
        <f>1.2756</f>
        <v>1.2756000000000001</v>
      </c>
      <c r="G401">
        <f>7.058</f>
        <v>7.0579999999999998</v>
      </c>
      <c r="H401">
        <f>0.7281</f>
        <v>0.72809999999999997</v>
      </c>
    </row>
    <row r="402" spans="1:8" x14ac:dyDescent="0.25">
      <c r="A402" s="1">
        <v>44231</v>
      </c>
      <c r="C402">
        <f>27.7638</f>
        <v>27.7638</v>
      </c>
      <c r="D402">
        <f>0.836</f>
        <v>0.83599999999999997</v>
      </c>
      <c r="E402">
        <f>105.54</f>
        <v>105.54</v>
      </c>
      <c r="F402">
        <f>1.2827</f>
        <v>1.2827</v>
      </c>
      <c r="G402">
        <f>7.138</f>
        <v>7.1379999999999999</v>
      </c>
      <c r="H402">
        <f>0.7315</f>
        <v>0.73150000000000004</v>
      </c>
    </row>
    <row r="403" spans="1:8" x14ac:dyDescent="0.25">
      <c r="A403" s="1">
        <v>44230</v>
      </c>
      <c r="C403">
        <f>27.9499</f>
        <v>27.9499</v>
      </c>
      <c r="D403">
        <f>0.8309</f>
        <v>0.83089999999999997</v>
      </c>
      <c r="E403">
        <f>105.03</f>
        <v>105.03</v>
      </c>
      <c r="F403">
        <f>1.2786</f>
        <v>1.2786</v>
      </c>
      <c r="G403">
        <f>7.1573</f>
        <v>7.1573000000000002</v>
      </c>
      <c r="H403">
        <f>0.7328</f>
        <v>0.73280000000000001</v>
      </c>
    </row>
    <row r="404" spans="1:8" x14ac:dyDescent="0.25">
      <c r="A404" s="1">
        <v>44229</v>
      </c>
      <c r="C404">
        <f>28.0443</f>
        <v>28.0443</v>
      </c>
      <c r="D404">
        <f>0.8303</f>
        <v>0.83030000000000004</v>
      </c>
      <c r="E404">
        <f>104.98</f>
        <v>104.98</v>
      </c>
      <c r="F404">
        <f>1.2781</f>
        <v>1.2781</v>
      </c>
      <c r="G404">
        <f>7.1866</f>
        <v>7.1866000000000003</v>
      </c>
      <c r="H404">
        <f>0.7316</f>
        <v>0.73160000000000003</v>
      </c>
    </row>
    <row r="405" spans="1:8" x14ac:dyDescent="0.25">
      <c r="A405" s="1">
        <v>44228</v>
      </c>
      <c r="C405">
        <f>28.0514</f>
        <v>28.051400000000001</v>
      </c>
      <c r="D405">
        <f>0.8291</f>
        <v>0.82909999999999995</v>
      </c>
      <c r="E405">
        <f>104.93</f>
        <v>104.93</v>
      </c>
      <c r="F405">
        <f>1.2851</f>
        <v>1.2850999999999999</v>
      </c>
      <c r="G405">
        <f>7.1929</f>
        <v>7.1928999999999998</v>
      </c>
      <c r="H405">
        <f>0.732</f>
        <v>0.73199999999999998</v>
      </c>
    </row>
    <row r="406" spans="1:8" x14ac:dyDescent="0.25">
      <c r="A406" s="1">
        <v>44225</v>
      </c>
      <c r="C406">
        <f>28.13</f>
        <v>28.13</v>
      </c>
      <c r="D406">
        <f>0.8239</f>
        <v>0.82389999999999997</v>
      </c>
      <c r="E406">
        <f>104.68</f>
        <v>104.68</v>
      </c>
      <c r="F406">
        <f>1.2777</f>
        <v>1.2777000000000001</v>
      </c>
      <c r="G406">
        <f>7.3075</f>
        <v>7.3075000000000001</v>
      </c>
      <c r="H406">
        <f>0.7297</f>
        <v>0.72970000000000002</v>
      </c>
    </row>
    <row r="407" spans="1:8" x14ac:dyDescent="0.25">
      <c r="A407" s="1">
        <v>44224</v>
      </c>
      <c r="C407">
        <f>28.1593</f>
        <v>28.159300000000002</v>
      </c>
      <c r="D407">
        <f>0.825</f>
        <v>0.82499999999999996</v>
      </c>
      <c r="E407">
        <f>104.24</f>
        <v>104.24</v>
      </c>
      <c r="F407">
        <f>1.283</f>
        <v>1.2829999999999999</v>
      </c>
      <c r="G407">
        <f>7.3463</f>
        <v>7.3463000000000003</v>
      </c>
      <c r="H407">
        <f>0.7288</f>
        <v>0.7288</v>
      </c>
    </row>
    <row r="408" spans="1:8" x14ac:dyDescent="0.25">
      <c r="A408" s="1">
        <v>44223</v>
      </c>
      <c r="C408">
        <f>28.1543</f>
        <v>28.154299999999999</v>
      </c>
      <c r="D408">
        <f>0.8256</f>
        <v>0.8256</v>
      </c>
      <c r="E408">
        <f>104.11</f>
        <v>104.11</v>
      </c>
      <c r="F408">
        <f>1.2799</f>
        <v>1.2799</v>
      </c>
      <c r="G408">
        <f>7.3987</f>
        <v>7.3986999999999998</v>
      </c>
      <c r="H408">
        <f>0.7305</f>
        <v>0.73050000000000004</v>
      </c>
    </row>
    <row r="409" spans="1:8" x14ac:dyDescent="0.25">
      <c r="A409" s="1">
        <v>44222</v>
      </c>
      <c r="C409">
        <f>28.0641</f>
        <v>28.0641</v>
      </c>
      <c r="D409">
        <f>0.8224</f>
        <v>0.82240000000000002</v>
      </c>
      <c r="E409">
        <f>103.62</f>
        <v>103.62</v>
      </c>
      <c r="F409">
        <f>1.2694</f>
        <v>1.2694000000000001</v>
      </c>
      <c r="G409">
        <f>7.3478</f>
        <v>7.3478000000000003</v>
      </c>
      <c r="H409">
        <f>0.7281</f>
        <v>0.72809999999999997</v>
      </c>
    </row>
    <row r="410" spans="1:8" x14ac:dyDescent="0.25">
      <c r="A410" s="1">
        <v>44221</v>
      </c>
      <c r="C410">
        <f>28.1556</f>
        <v>28.1556</v>
      </c>
      <c r="D410">
        <f>0.8236</f>
        <v>0.8236</v>
      </c>
      <c r="E410">
        <f>103.75</f>
        <v>103.75</v>
      </c>
      <c r="F410">
        <f>1.274</f>
        <v>1.274</v>
      </c>
      <c r="G410">
        <f>7.4064</f>
        <v>7.4063999999999997</v>
      </c>
      <c r="H410">
        <f>0.7312</f>
        <v>0.73119999999999996</v>
      </c>
    </row>
    <row r="411" spans="1:8" x14ac:dyDescent="0.25">
      <c r="A411" s="1">
        <v>44218</v>
      </c>
      <c r="C411">
        <f>28.1612</f>
        <v>28.161200000000001</v>
      </c>
      <c r="D411">
        <f>0.8215</f>
        <v>0.82150000000000001</v>
      </c>
      <c r="E411">
        <f>103.78</f>
        <v>103.78</v>
      </c>
      <c r="F411">
        <f>1.2733</f>
        <v>1.2733000000000001</v>
      </c>
      <c r="G411">
        <f>7.417</f>
        <v>7.4169999999999998</v>
      </c>
      <c r="H411">
        <f>0.7308</f>
        <v>0.73080000000000001</v>
      </c>
    </row>
    <row r="412" spans="1:8" x14ac:dyDescent="0.25">
      <c r="A412" s="1">
        <v>44217</v>
      </c>
      <c r="C412">
        <f>28.2375</f>
        <v>28.237500000000001</v>
      </c>
      <c r="D412">
        <f>0.8218</f>
        <v>0.82179999999999997</v>
      </c>
      <c r="E412">
        <f>103.5</f>
        <v>103.5</v>
      </c>
      <c r="F412">
        <f>1.2637</f>
        <v>1.2637</v>
      </c>
      <c r="G412">
        <f>7.371</f>
        <v>7.3710000000000004</v>
      </c>
      <c r="H412">
        <f>0.7281</f>
        <v>0.72809999999999997</v>
      </c>
    </row>
    <row r="413" spans="1:8" x14ac:dyDescent="0.25">
      <c r="A413" s="1">
        <v>44216</v>
      </c>
      <c r="C413">
        <f>28.245</f>
        <v>28.245000000000001</v>
      </c>
      <c r="D413">
        <f>0.8261</f>
        <v>0.82609999999999995</v>
      </c>
      <c r="E413">
        <f>103.54</f>
        <v>103.54</v>
      </c>
      <c r="F413">
        <f>1.2636</f>
        <v>1.2636000000000001</v>
      </c>
      <c r="G413">
        <f>7.4248</f>
        <v>7.4248000000000003</v>
      </c>
      <c r="H413">
        <f>0.7324</f>
        <v>0.73240000000000005</v>
      </c>
    </row>
    <row r="414" spans="1:8" x14ac:dyDescent="0.25">
      <c r="A414" s="1">
        <v>44215</v>
      </c>
      <c r="C414">
        <f>28.155</f>
        <v>28.155000000000001</v>
      </c>
      <c r="D414">
        <f>0.8245</f>
        <v>0.82450000000000001</v>
      </c>
      <c r="E414">
        <f>103.9</f>
        <v>103.9</v>
      </c>
      <c r="F414">
        <f>1.2735</f>
        <v>1.2735000000000001</v>
      </c>
      <c r="G414">
        <f>7.4718</f>
        <v>7.4718</v>
      </c>
      <c r="H414">
        <f>0.7335</f>
        <v>0.73350000000000004</v>
      </c>
    </row>
    <row r="415" spans="1:8" x14ac:dyDescent="0.25">
      <c r="A415" s="1">
        <v>44214</v>
      </c>
      <c r="C415">
        <f>28.2638</f>
        <v>28.2638</v>
      </c>
      <c r="D415">
        <f>0.828</f>
        <v>0.82799999999999996</v>
      </c>
      <c r="E415">
        <f>103.69</f>
        <v>103.69</v>
      </c>
      <c r="F415">
        <f>1.2757</f>
        <v>1.2757000000000001</v>
      </c>
      <c r="G415">
        <f>7.479</f>
        <v>7.4790000000000001</v>
      </c>
      <c r="H415">
        <f>0.7359</f>
        <v>0.7359</v>
      </c>
    </row>
    <row r="416" spans="1:8" x14ac:dyDescent="0.25">
      <c r="A416" s="1">
        <v>44211</v>
      </c>
      <c r="C416">
        <f>28.145</f>
        <v>28.145</v>
      </c>
      <c r="D416">
        <f>0.8281</f>
        <v>0.82809999999999995</v>
      </c>
      <c r="E416">
        <f>103.85</f>
        <v>103.85</v>
      </c>
      <c r="F416">
        <f>1.2732</f>
        <v>1.2732000000000001</v>
      </c>
      <c r="G416">
        <f>7.4726</f>
        <v>7.4725999999999999</v>
      </c>
      <c r="H416">
        <f>0.7361</f>
        <v>0.73609999999999998</v>
      </c>
    </row>
    <row r="417" spans="1:8" x14ac:dyDescent="0.25">
      <c r="A417" s="1">
        <v>44210</v>
      </c>
      <c r="C417">
        <f>28.0784</f>
        <v>28.078399999999998</v>
      </c>
      <c r="D417">
        <f>0.8226</f>
        <v>0.8226</v>
      </c>
      <c r="E417">
        <f>103.8</f>
        <v>103.8</v>
      </c>
      <c r="F417">
        <f>1.264</f>
        <v>1.264</v>
      </c>
      <c r="G417">
        <f>7.365</f>
        <v>7.3650000000000002</v>
      </c>
      <c r="H417">
        <f>0.7306</f>
        <v>0.73060000000000003</v>
      </c>
    </row>
    <row r="418" spans="1:8" x14ac:dyDescent="0.25">
      <c r="A418" s="1">
        <v>44209</v>
      </c>
      <c r="C418">
        <f>27.9906</f>
        <v>27.990600000000001</v>
      </c>
      <c r="D418">
        <f>0.8225</f>
        <v>0.82250000000000001</v>
      </c>
      <c r="E418">
        <f>103.89</f>
        <v>103.89</v>
      </c>
      <c r="F418">
        <f>1.2698</f>
        <v>1.2698</v>
      </c>
      <c r="G418">
        <f>7.403</f>
        <v>7.4029999999999996</v>
      </c>
      <c r="H418">
        <f>0.7333</f>
        <v>0.73329999999999995</v>
      </c>
    </row>
    <row r="419" spans="1:8" x14ac:dyDescent="0.25">
      <c r="A419" s="1">
        <v>44208</v>
      </c>
      <c r="C419">
        <f>28.0334</f>
        <v>28.0334</v>
      </c>
      <c r="D419">
        <f>0.8191</f>
        <v>0.81910000000000005</v>
      </c>
      <c r="E419">
        <f>103.76</f>
        <v>103.76</v>
      </c>
      <c r="F419">
        <f>1.2711</f>
        <v>1.2710999999999999</v>
      </c>
      <c r="G419">
        <f>7.4517</f>
        <v>7.4516999999999998</v>
      </c>
      <c r="H419">
        <f>0.7317</f>
        <v>0.73170000000000002</v>
      </c>
    </row>
    <row r="420" spans="1:8" x14ac:dyDescent="0.25">
      <c r="A420" s="1">
        <v>44207</v>
      </c>
      <c r="C420">
        <f>28.1408</f>
        <v>28.140799999999999</v>
      </c>
      <c r="D420">
        <f>0.823</f>
        <v>0.82299999999999995</v>
      </c>
      <c r="E420">
        <f>104.26</f>
        <v>104.26</v>
      </c>
      <c r="F420">
        <f>1.2784</f>
        <v>1.2784</v>
      </c>
      <c r="G420">
        <f>7.4779</f>
        <v>7.4779</v>
      </c>
      <c r="H420">
        <f>0.7399</f>
        <v>0.7399</v>
      </c>
    </row>
    <row r="421" spans="1:8" x14ac:dyDescent="0.25">
      <c r="A421" s="1">
        <v>44204</v>
      </c>
      <c r="C421">
        <f>28.2701</f>
        <v>28.270099999999999</v>
      </c>
      <c r="D421">
        <f>0.8185</f>
        <v>0.81850000000000001</v>
      </c>
      <c r="E421">
        <f>103.94</f>
        <v>103.94</v>
      </c>
      <c r="F421">
        <f>1.2702</f>
        <v>1.2702</v>
      </c>
      <c r="G421">
        <f>7.3521</f>
        <v>7.3521000000000001</v>
      </c>
      <c r="H421">
        <f>0.7371</f>
        <v>0.73709999999999998</v>
      </c>
    </row>
    <row r="422" spans="1:8" x14ac:dyDescent="0.25">
      <c r="A422" s="1">
        <v>44203</v>
      </c>
      <c r="C422">
        <f>28.238</f>
        <v>28.238</v>
      </c>
      <c r="D422">
        <f>0.815</f>
        <v>0.81499999999999995</v>
      </c>
      <c r="E422">
        <f>103.81</f>
        <v>103.81</v>
      </c>
      <c r="F422">
        <f>1.2691</f>
        <v>1.2690999999999999</v>
      </c>
      <c r="G422">
        <f>7.3201</f>
        <v>7.3201000000000001</v>
      </c>
      <c r="H422">
        <f>0.7371</f>
        <v>0.73709999999999998</v>
      </c>
    </row>
    <row r="423" spans="1:8" x14ac:dyDescent="0.25">
      <c r="A423" s="1">
        <v>44202</v>
      </c>
      <c r="C423">
        <f>28.2701</f>
        <v>28.270099999999999</v>
      </c>
      <c r="D423">
        <f>0.8113</f>
        <v>0.81130000000000002</v>
      </c>
      <c r="E423">
        <f>103.04</f>
        <v>103.04</v>
      </c>
      <c r="F423">
        <f>1.2677</f>
        <v>1.2677</v>
      </c>
      <c r="G423">
        <f>7.3091</f>
        <v>7.3090999999999999</v>
      </c>
      <c r="H423">
        <f>0.7348</f>
        <v>0.73480000000000001</v>
      </c>
    </row>
    <row r="424" spans="1:8" x14ac:dyDescent="0.25">
      <c r="A424" s="1">
        <v>44201</v>
      </c>
      <c r="C424">
        <f>28.3247</f>
        <v>28.3247</v>
      </c>
      <c r="D424">
        <f>0.8131</f>
        <v>0.81310000000000004</v>
      </c>
      <c r="E424">
        <f>102.72</f>
        <v>102.72</v>
      </c>
      <c r="F424">
        <f>1.2669</f>
        <v>1.2668999999999999</v>
      </c>
      <c r="G424">
        <f>7.3908</f>
        <v>7.3907999999999996</v>
      </c>
      <c r="H424">
        <f>0.7338</f>
        <v>0.73380000000000001</v>
      </c>
    </row>
    <row r="425" spans="1:8" x14ac:dyDescent="0.25">
      <c r="A425" s="1">
        <v>44200</v>
      </c>
      <c r="C425">
        <f>28.434</f>
        <v>28.434000000000001</v>
      </c>
      <c r="D425">
        <f>0.8162</f>
        <v>0.81620000000000004</v>
      </c>
      <c r="E425">
        <f>103.13</f>
        <v>103.13</v>
      </c>
      <c r="F425">
        <f>1.2778</f>
        <v>1.2778</v>
      </c>
      <c r="G425">
        <f>7.4261</f>
        <v>7.4260999999999999</v>
      </c>
      <c r="H425">
        <f>0.7367</f>
        <v>0.73670000000000002</v>
      </c>
    </row>
    <row r="426" spans="1:8" x14ac:dyDescent="0.25">
      <c r="A426" s="1">
        <v>44197</v>
      </c>
      <c r="C426">
        <f>28.3363</f>
        <v>28.336300000000001</v>
      </c>
      <c r="D426">
        <f>0.8187</f>
        <v>0.81869999999999998</v>
      </c>
      <c r="E426">
        <f>103.2</f>
        <v>103.2</v>
      </c>
      <c r="F426">
        <f>1.2728</f>
        <v>1.2727999999999999</v>
      </c>
      <c r="G426">
        <f>7.4392</f>
        <v>7.4391999999999996</v>
      </c>
      <c r="H426">
        <f>0.7316</f>
        <v>0.73160000000000003</v>
      </c>
    </row>
    <row r="427" spans="1:8" x14ac:dyDescent="0.25">
      <c r="A427" s="1">
        <v>44196</v>
      </c>
      <c r="C427">
        <f>28.3363</f>
        <v>28.336300000000001</v>
      </c>
      <c r="D427">
        <f>0.8186</f>
        <v>0.81859999999999999</v>
      </c>
      <c r="E427">
        <f>103.25</f>
        <v>103.25</v>
      </c>
      <c r="F427">
        <f>1.2725</f>
        <v>1.2725</v>
      </c>
      <c r="G427">
        <f>7.4404</f>
        <v>7.4404000000000003</v>
      </c>
      <c r="H427">
        <f>0.7318</f>
        <v>0.73180000000000001</v>
      </c>
    </row>
    <row r="428" spans="1:8" x14ac:dyDescent="0.25">
      <c r="A428" s="1">
        <v>44195</v>
      </c>
      <c r="C428">
        <f>28.3362</f>
        <v>28.336200000000002</v>
      </c>
      <c r="D428">
        <f>0.813</f>
        <v>0.81299999999999994</v>
      </c>
      <c r="E428">
        <f>103.19</f>
        <v>103.19</v>
      </c>
      <c r="F428">
        <f>1.2758</f>
        <v>1.2758</v>
      </c>
      <c r="G428">
        <f>7.3841</f>
        <v>7.3841000000000001</v>
      </c>
      <c r="H428">
        <f>0.7339</f>
        <v>0.7339</v>
      </c>
    </row>
    <row r="429" spans="1:8" x14ac:dyDescent="0.25">
      <c r="A429" s="1">
        <v>44194</v>
      </c>
      <c r="C429">
        <f>28.1915</f>
        <v>28.191500000000001</v>
      </c>
      <c r="D429">
        <f>0.8163</f>
        <v>0.81630000000000003</v>
      </c>
      <c r="E429">
        <f>103.58</f>
        <v>103.58</v>
      </c>
      <c r="F429">
        <f>1.2818</f>
        <v>1.2818000000000001</v>
      </c>
      <c r="G429">
        <f>7.3869</f>
        <v>7.3868999999999998</v>
      </c>
      <c r="H429">
        <f>0.7406</f>
        <v>0.74060000000000004</v>
      </c>
    </row>
    <row r="430" spans="1:8" x14ac:dyDescent="0.25">
      <c r="A430" s="1">
        <v>44193</v>
      </c>
      <c r="C430">
        <f>28.291</f>
        <v>28.291</v>
      </c>
      <c r="D430">
        <f>0.8187</f>
        <v>0.81869999999999998</v>
      </c>
      <c r="E430">
        <f>103.81</f>
        <v>103.81</v>
      </c>
      <c r="F430">
        <f>1.2854</f>
        <v>1.2854000000000001</v>
      </c>
      <c r="G430">
        <f>7.4383</f>
        <v>7.4382999999999999</v>
      </c>
      <c r="H430">
        <f>0.7432</f>
        <v>0.74319999999999997</v>
      </c>
    </row>
    <row r="431" spans="1:8" x14ac:dyDescent="0.25">
      <c r="A431" s="1">
        <v>44190</v>
      </c>
      <c r="C431">
        <f>28.3646</f>
        <v>28.364599999999999</v>
      </c>
      <c r="D431">
        <f>0.8201</f>
        <v>0.82010000000000005</v>
      </c>
      <c r="E431">
        <f>103.43</f>
        <v>103.43</v>
      </c>
      <c r="F431">
        <f>1.2865</f>
        <v>1.2865</v>
      </c>
      <c r="G431">
        <f>7.5529</f>
        <v>7.5529000000000002</v>
      </c>
      <c r="H431">
        <f>0.7373</f>
        <v>0.73729999999999996</v>
      </c>
    </row>
    <row r="432" spans="1:8" x14ac:dyDescent="0.25">
      <c r="A432" s="1">
        <v>44189</v>
      </c>
      <c r="C432">
        <f>28.3518</f>
        <v>28.351800000000001</v>
      </c>
      <c r="D432">
        <f>0.8206</f>
        <v>0.8206</v>
      </c>
      <c r="E432">
        <f>103.65</f>
        <v>103.65</v>
      </c>
      <c r="F432">
        <f>1.2863</f>
        <v>1.2863</v>
      </c>
      <c r="G432">
        <f>7.5859</f>
        <v>7.5858999999999996</v>
      </c>
      <c r="H432">
        <f>0.7377</f>
        <v>0.73770000000000002</v>
      </c>
    </row>
    <row r="433" spans="1:8" x14ac:dyDescent="0.25">
      <c r="A433" s="1">
        <v>44188</v>
      </c>
      <c r="C433">
        <f>28.373</f>
        <v>28.373000000000001</v>
      </c>
      <c r="D433">
        <f>0.8206</f>
        <v>0.8206</v>
      </c>
      <c r="E433">
        <f>103.57</f>
        <v>103.57</v>
      </c>
      <c r="F433">
        <f>1.2848</f>
        <v>1.2847999999999999</v>
      </c>
      <c r="G433">
        <f>7.6428</f>
        <v>7.6428000000000003</v>
      </c>
      <c r="H433">
        <f>0.741</f>
        <v>0.74099999999999999</v>
      </c>
    </row>
    <row r="434" spans="1:8" x14ac:dyDescent="0.25">
      <c r="A434" s="1">
        <v>44187</v>
      </c>
      <c r="C434">
        <f>28.4169</f>
        <v>28.416899999999998</v>
      </c>
      <c r="D434">
        <f>0.8221</f>
        <v>0.82210000000000005</v>
      </c>
      <c r="E434">
        <f>103.64</f>
        <v>103.64</v>
      </c>
      <c r="F434">
        <f>1.2908</f>
        <v>1.2907999999999999</v>
      </c>
      <c r="G434">
        <f>7.6565</f>
        <v>7.6565000000000003</v>
      </c>
      <c r="H434">
        <f>0.7483</f>
        <v>0.74829999999999997</v>
      </c>
    </row>
    <row r="435" spans="1:8" x14ac:dyDescent="0.25">
      <c r="A435" s="1">
        <v>44186</v>
      </c>
      <c r="C435">
        <f>28.1153</f>
        <v>28.115300000000001</v>
      </c>
      <c r="D435">
        <f>0.8167</f>
        <v>0.81669999999999998</v>
      </c>
      <c r="E435">
        <f>103.32</f>
        <v>103.32</v>
      </c>
      <c r="F435">
        <f>1.2857</f>
        <v>1.2857000000000001</v>
      </c>
      <c r="G435">
        <f>7.6526</f>
        <v>7.6525999999999996</v>
      </c>
      <c r="H435">
        <f>0.7426</f>
        <v>0.74260000000000004</v>
      </c>
    </row>
    <row r="436" spans="1:8" x14ac:dyDescent="0.25">
      <c r="A436" s="1">
        <v>44183</v>
      </c>
      <c r="C436">
        <f>28.0175</f>
        <v>28.017499999999998</v>
      </c>
      <c r="D436">
        <f>0.8158</f>
        <v>0.81579999999999997</v>
      </c>
      <c r="E436">
        <f>103.3</f>
        <v>103.3</v>
      </c>
      <c r="F436">
        <f>1.2788</f>
        <v>1.2787999999999999</v>
      </c>
      <c r="G436">
        <f>7.6232</f>
        <v>7.6231999999999998</v>
      </c>
      <c r="H436">
        <f>0.7392</f>
        <v>0.73919999999999997</v>
      </c>
    </row>
    <row r="437" spans="1:8" x14ac:dyDescent="0.25">
      <c r="A437" s="1">
        <v>44182</v>
      </c>
      <c r="C437">
        <f>27.8309</f>
        <v>27.8309</v>
      </c>
      <c r="D437">
        <f>0.8151</f>
        <v>0.81510000000000005</v>
      </c>
      <c r="E437">
        <f>103.11</f>
        <v>103.11</v>
      </c>
      <c r="F437">
        <f>1.272</f>
        <v>1.272</v>
      </c>
      <c r="G437">
        <f>7.7021</f>
        <v>7.7020999999999997</v>
      </c>
      <c r="H437">
        <f>0.7362</f>
        <v>0.73619999999999997</v>
      </c>
    </row>
    <row r="438" spans="1:8" x14ac:dyDescent="0.25">
      <c r="A438" s="1">
        <v>44181</v>
      </c>
      <c r="C438">
        <f>27.7681</f>
        <v>27.7681</v>
      </c>
      <c r="D438">
        <f>0.8197</f>
        <v>0.81969999999999998</v>
      </c>
      <c r="E438">
        <f>103.47</f>
        <v>103.47</v>
      </c>
      <c r="F438">
        <f>1.2743</f>
        <v>1.2743</v>
      </c>
      <c r="G438">
        <f>7.8</f>
        <v>7.8</v>
      </c>
      <c r="H438">
        <f>0.7402</f>
        <v>0.74019999999999997</v>
      </c>
    </row>
    <row r="439" spans="1:8" x14ac:dyDescent="0.25">
      <c r="A439" s="1">
        <v>44180</v>
      </c>
      <c r="C439">
        <f>27.7461</f>
        <v>27.746099999999998</v>
      </c>
      <c r="D439">
        <f>0.8229</f>
        <v>0.82289999999999996</v>
      </c>
      <c r="E439">
        <f>103.67</f>
        <v>103.67</v>
      </c>
      <c r="F439">
        <f>1.2701</f>
        <v>1.2701</v>
      </c>
      <c r="G439">
        <f>7.8346</f>
        <v>7.8346</v>
      </c>
      <c r="H439">
        <f>0.7427</f>
        <v>0.74270000000000003</v>
      </c>
    </row>
    <row r="440" spans="1:8" x14ac:dyDescent="0.25">
      <c r="A440" s="1">
        <v>44179</v>
      </c>
      <c r="C440">
        <f>27.8494</f>
        <v>27.849399999999999</v>
      </c>
      <c r="D440">
        <f>0.8236</f>
        <v>0.8236</v>
      </c>
      <c r="E440">
        <f>104.05</f>
        <v>104.05</v>
      </c>
      <c r="F440">
        <f>1.2764</f>
        <v>1.2764</v>
      </c>
      <c r="G440">
        <f>7.854</f>
        <v>7.8540000000000001</v>
      </c>
      <c r="H440">
        <f>0.7502</f>
        <v>0.75019999999999998</v>
      </c>
    </row>
    <row r="441" spans="1:8" x14ac:dyDescent="0.25">
      <c r="A441" s="1">
        <v>44176</v>
      </c>
      <c r="C441">
        <f>27.9592</f>
        <v>27.959199999999999</v>
      </c>
      <c r="D441">
        <f>0.8255</f>
        <v>0.82550000000000001</v>
      </c>
      <c r="E441">
        <f>104.04</f>
        <v>104.04</v>
      </c>
      <c r="F441">
        <f>1.2769</f>
        <v>1.2768999999999999</v>
      </c>
      <c r="G441">
        <f>7.8452</f>
        <v>7.8452000000000002</v>
      </c>
      <c r="H441">
        <f>0.7562</f>
        <v>0.75619999999999998</v>
      </c>
    </row>
    <row r="442" spans="1:8" x14ac:dyDescent="0.25">
      <c r="A442" s="1">
        <v>44175</v>
      </c>
      <c r="C442">
        <f>27.9845</f>
        <v>27.984500000000001</v>
      </c>
      <c r="D442">
        <f>0.8236</f>
        <v>0.8236</v>
      </c>
      <c r="E442">
        <f>104.24</f>
        <v>104.24</v>
      </c>
      <c r="F442">
        <f>1.2739</f>
        <v>1.2739</v>
      </c>
      <c r="G442">
        <f>7.8841</f>
        <v>7.8841000000000001</v>
      </c>
      <c r="H442">
        <f>0.7522</f>
        <v>0.75219999999999998</v>
      </c>
    </row>
    <row r="443" spans="1:8" x14ac:dyDescent="0.25">
      <c r="A443" s="1">
        <v>44174</v>
      </c>
      <c r="C443">
        <f>28.0988</f>
        <v>28.098800000000001</v>
      </c>
      <c r="D443">
        <f>0.8277</f>
        <v>0.82769999999999999</v>
      </c>
      <c r="E443">
        <f>104.23</f>
        <v>104.23</v>
      </c>
      <c r="F443">
        <f>1.2816</f>
        <v>1.2816000000000001</v>
      </c>
      <c r="G443">
        <f>7.8251</f>
        <v>7.8250999999999999</v>
      </c>
      <c r="H443">
        <f>0.7459</f>
        <v>0.74590000000000001</v>
      </c>
    </row>
    <row r="444" spans="1:8" x14ac:dyDescent="0.25">
      <c r="A444" s="1">
        <v>44173</v>
      </c>
      <c r="C444">
        <f>28.1091</f>
        <v>28.109100000000002</v>
      </c>
      <c r="D444">
        <f>0.8262</f>
        <v>0.82620000000000005</v>
      </c>
      <c r="E444">
        <f>104.16</f>
        <v>104.16</v>
      </c>
      <c r="F444">
        <f>1.2819</f>
        <v>1.2819</v>
      </c>
      <c r="G444">
        <f>7.8155</f>
        <v>7.8155000000000001</v>
      </c>
      <c r="H444">
        <f>0.7486</f>
        <v>0.74860000000000004</v>
      </c>
    </row>
    <row r="445" spans="1:8" x14ac:dyDescent="0.25">
      <c r="A445" s="1">
        <v>44172</v>
      </c>
      <c r="C445">
        <f>28.0652</f>
        <v>28.065200000000001</v>
      </c>
      <c r="D445">
        <f>0.8258</f>
        <v>0.82579999999999998</v>
      </c>
      <c r="E445">
        <f>104.05</f>
        <v>104.05</v>
      </c>
      <c r="F445">
        <f>1.2798</f>
        <v>1.2798</v>
      </c>
      <c r="G445">
        <f>7.806</f>
        <v>7.806</v>
      </c>
      <c r="H445">
        <f>0.7473</f>
        <v>0.74729999999999996</v>
      </c>
    </row>
    <row r="446" spans="1:8" x14ac:dyDescent="0.25">
      <c r="A446" s="1">
        <v>44169</v>
      </c>
      <c r="C446">
        <f>28.2689</f>
        <v>28.268899999999999</v>
      </c>
      <c r="D446">
        <f>0.825</f>
        <v>0.82499999999999996</v>
      </c>
      <c r="E446">
        <f>104.17</f>
        <v>104.17</v>
      </c>
      <c r="F446">
        <f>1.2784</f>
        <v>1.2784</v>
      </c>
      <c r="G446">
        <f>7.8011</f>
        <v>7.8010999999999999</v>
      </c>
      <c r="H446">
        <f>0.7442</f>
        <v>0.74419999999999997</v>
      </c>
    </row>
    <row r="447" spans="1:8" x14ac:dyDescent="0.25">
      <c r="A447" s="1">
        <v>44168</v>
      </c>
      <c r="C447">
        <f>28.2789</f>
        <v>28.2789</v>
      </c>
      <c r="D447">
        <f>0.8232</f>
        <v>0.82320000000000004</v>
      </c>
      <c r="E447">
        <f>103.84</f>
        <v>103.84</v>
      </c>
      <c r="F447">
        <f>1.2862</f>
        <v>1.2862</v>
      </c>
      <c r="G447">
        <f>7.7717</f>
        <v>7.7717000000000001</v>
      </c>
      <c r="H447">
        <f>0.7434</f>
        <v>0.74339999999999995</v>
      </c>
    </row>
    <row r="448" spans="1:8" x14ac:dyDescent="0.25">
      <c r="A448" s="1">
        <v>44167</v>
      </c>
      <c r="C448">
        <f>28.3354</f>
        <v>28.3354</v>
      </c>
      <c r="D448">
        <f>0.8254</f>
        <v>0.82540000000000002</v>
      </c>
      <c r="E448">
        <f>104.42</f>
        <v>104.42</v>
      </c>
      <c r="F448">
        <f>1.2918</f>
        <v>1.2918000000000001</v>
      </c>
      <c r="G448">
        <f>7.8619</f>
        <v>7.8619000000000003</v>
      </c>
      <c r="H448">
        <f>0.7481</f>
        <v>0.74809999999999999</v>
      </c>
    </row>
    <row r="449" spans="1:8" x14ac:dyDescent="0.25">
      <c r="A449" s="1">
        <v>44166</v>
      </c>
      <c r="C449">
        <f>28.5235</f>
        <v>28.523499999999999</v>
      </c>
      <c r="D449">
        <f>0.8284</f>
        <v>0.82840000000000003</v>
      </c>
      <c r="E449">
        <f>104.33</f>
        <v>104.33</v>
      </c>
      <c r="F449">
        <f>1.2936</f>
        <v>1.2936000000000001</v>
      </c>
      <c r="G449">
        <f>7.8343</f>
        <v>7.8342999999999998</v>
      </c>
      <c r="H449">
        <f>0.7451</f>
        <v>0.74509999999999998</v>
      </c>
    </row>
    <row r="450" spans="1:8" x14ac:dyDescent="0.25">
      <c r="A450" s="1">
        <v>44165</v>
      </c>
      <c r="C450">
        <f>28.4551</f>
        <v>28.455100000000002</v>
      </c>
      <c r="D450">
        <f>0.8385</f>
        <v>0.83850000000000002</v>
      </c>
      <c r="E450">
        <f>104.31</f>
        <v>104.31</v>
      </c>
      <c r="F450">
        <f>1.3001</f>
        <v>1.3001</v>
      </c>
      <c r="G450">
        <f>7.8235</f>
        <v>7.8235000000000001</v>
      </c>
      <c r="H450">
        <f>0.7505</f>
        <v>0.75049999999999994</v>
      </c>
    </row>
    <row r="451" spans="1:8" x14ac:dyDescent="0.25">
      <c r="A451" s="1">
        <v>44162</v>
      </c>
      <c r="C451">
        <f>28.5345</f>
        <v>28.534500000000001</v>
      </c>
      <c r="D451">
        <f>0.8359</f>
        <v>0.83589999999999998</v>
      </c>
      <c r="E451">
        <f>104.09</f>
        <v>104.09</v>
      </c>
      <c r="F451">
        <f>1.2989</f>
        <v>1.2988999999999999</v>
      </c>
      <c r="G451">
        <f>7.8363</f>
        <v>7.8362999999999996</v>
      </c>
      <c r="H451">
        <f>0.7511</f>
        <v>0.75109999999999999</v>
      </c>
    </row>
    <row r="452" spans="1:8" x14ac:dyDescent="0.25">
      <c r="A452" s="1">
        <v>44161</v>
      </c>
      <c r="C452">
        <f>28.4746</f>
        <v>28.474599999999999</v>
      </c>
      <c r="D452">
        <f>0.8394</f>
        <v>0.83940000000000003</v>
      </c>
      <c r="E452">
        <f>104.26</f>
        <v>104.26</v>
      </c>
      <c r="F452">
        <f>1.3017</f>
        <v>1.3017000000000001</v>
      </c>
      <c r="G452">
        <f>7.8753</f>
        <v>7.8753000000000002</v>
      </c>
      <c r="H452">
        <f>0.7486</f>
        <v>0.74860000000000004</v>
      </c>
    </row>
    <row r="453" spans="1:8" x14ac:dyDescent="0.25">
      <c r="A453" s="1">
        <v>44160</v>
      </c>
      <c r="C453">
        <f>28.4643</f>
        <v>28.464300000000001</v>
      </c>
      <c r="D453">
        <f>0.8394</f>
        <v>0.83940000000000003</v>
      </c>
      <c r="E453">
        <f>104.46</f>
        <v>104.46</v>
      </c>
      <c r="F453">
        <f>1.3007</f>
        <v>1.3007</v>
      </c>
      <c r="G453">
        <f>7.9287</f>
        <v>7.9287000000000001</v>
      </c>
      <c r="H453">
        <f>0.747</f>
        <v>0.747</v>
      </c>
    </row>
    <row r="454" spans="1:8" x14ac:dyDescent="0.25">
      <c r="A454" s="1">
        <v>44159</v>
      </c>
      <c r="C454">
        <f>28.3554</f>
        <v>28.355399999999999</v>
      </c>
      <c r="D454">
        <f>0.8409</f>
        <v>0.84089999999999998</v>
      </c>
      <c r="E454">
        <f>104.44</f>
        <v>104.44</v>
      </c>
      <c r="F454">
        <f>1.2998</f>
        <v>1.2998000000000001</v>
      </c>
      <c r="G454">
        <f>7.9989</f>
        <v>7.9988999999999999</v>
      </c>
      <c r="H454">
        <f>0.7484</f>
        <v>0.74839999999999995</v>
      </c>
    </row>
    <row r="455" spans="1:8" x14ac:dyDescent="0.25">
      <c r="A455" s="1">
        <v>44158</v>
      </c>
      <c r="C455">
        <f>28.3465</f>
        <v>28.346499999999999</v>
      </c>
      <c r="D455">
        <f>0.8445</f>
        <v>0.84450000000000003</v>
      </c>
      <c r="E455">
        <f>104.52</f>
        <v>104.52</v>
      </c>
      <c r="F455">
        <f>1.3082</f>
        <v>1.3082</v>
      </c>
      <c r="G455">
        <f>7.8836</f>
        <v>7.8836000000000004</v>
      </c>
      <c r="H455">
        <f>0.7505</f>
        <v>0.75049999999999994</v>
      </c>
    </row>
    <row r="456" spans="1:8" x14ac:dyDescent="0.25">
      <c r="A456" s="1">
        <v>44155</v>
      </c>
      <c r="C456">
        <f>28.3242</f>
        <v>28.324200000000001</v>
      </c>
      <c r="D456">
        <f>0.8435</f>
        <v>0.84350000000000003</v>
      </c>
      <c r="E456">
        <f>103.86</f>
        <v>103.86</v>
      </c>
      <c r="F456">
        <f>1.3095</f>
        <v>1.3095000000000001</v>
      </c>
      <c r="G456">
        <f>7.6381</f>
        <v>7.6380999999999997</v>
      </c>
      <c r="H456">
        <f>0.7528</f>
        <v>0.75280000000000002</v>
      </c>
    </row>
    <row r="457" spans="1:8" x14ac:dyDescent="0.25">
      <c r="A457" s="1">
        <v>44154</v>
      </c>
      <c r="C457">
        <f>28.3771</f>
        <v>28.377099999999999</v>
      </c>
      <c r="D457">
        <f>0.8422</f>
        <v>0.84219999999999995</v>
      </c>
      <c r="E457">
        <f>103.74</f>
        <v>103.74</v>
      </c>
      <c r="F457">
        <f>1.3073</f>
        <v>1.3072999999999999</v>
      </c>
      <c r="G457">
        <f>7.5531</f>
        <v>7.5530999999999997</v>
      </c>
      <c r="H457">
        <f>0.754</f>
        <v>0.754</v>
      </c>
    </row>
    <row r="458" spans="1:8" x14ac:dyDescent="0.25">
      <c r="A458" s="1">
        <v>44153</v>
      </c>
      <c r="C458">
        <f>28.1761</f>
        <v>28.176100000000002</v>
      </c>
      <c r="D458">
        <f>0.8436</f>
        <v>0.84360000000000002</v>
      </c>
      <c r="E458">
        <f>103.82</f>
        <v>103.82</v>
      </c>
      <c r="F458">
        <f>1.3081</f>
        <v>1.3081</v>
      </c>
      <c r="G458">
        <f>7.7063</f>
        <v>7.7062999999999997</v>
      </c>
      <c r="H458">
        <f>0.7537</f>
        <v>0.75370000000000004</v>
      </c>
    </row>
    <row r="459" spans="1:8" x14ac:dyDescent="0.25">
      <c r="A459" s="1">
        <v>44152</v>
      </c>
      <c r="C459">
        <f>28.1181</f>
        <v>28.118099999999998</v>
      </c>
      <c r="D459">
        <f>0.8431</f>
        <v>0.84309999999999996</v>
      </c>
      <c r="E459">
        <f>104.19</f>
        <v>104.19</v>
      </c>
      <c r="F459">
        <f>1.3105</f>
        <v>1.3105</v>
      </c>
      <c r="G459">
        <f>7.7025</f>
        <v>7.7024999999999997</v>
      </c>
      <c r="H459">
        <f>0.7548</f>
        <v>0.75480000000000003</v>
      </c>
    </row>
    <row r="460" spans="1:8" x14ac:dyDescent="0.25">
      <c r="A460" s="1">
        <v>44151</v>
      </c>
      <c r="C460">
        <f>28.1146</f>
        <v>28.114599999999999</v>
      </c>
      <c r="D460">
        <f>0.8436</f>
        <v>0.84360000000000002</v>
      </c>
      <c r="E460">
        <f>104.58</f>
        <v>104.58</v>
      </c>
      <c r="F460">
        <f>1.3074</f>
        <v>1.3073999999999999</v>
      </c>
      <c r="G460">
        <f>7.7059</f>
        <v>7.7058999999999997</v>
      </c>
      <c r="H460">
        <f>0.7574</f>
        <v>0.75739999999999996</v>
      </c>
    </row>
    <row r="461" spans="1:8" x14ac:dyDescent="0.25">
      <c r="A461" s="1">
        <v>44148</v>
      </c>
      <c r="C461">
        <f>28.12</f>
        <v>28.12</v>
      </c>
      <c r="D461">
        <f>0.8449</f>
        <v>0.84489999999999998</v>
      </c>
      <c r="E461">
        <f>104.63</f>
        <v>104.63</v>
      </c>
      <c r="F461">
        <f>1.3137</f>
        <v>1.3137000000000001</v>
      </c>
      <c r="G461">
        <f>7.6553</f>
        <v>7.6553000000000004</v>
      </c>
      <c r="H461">
        <f>0.7581</f>
        <v>0.7581</v>
      </c>
    </row>
    <row r="462" spans="1:8" x14ac:dyDescent="0.25">
      <c r="A462" s="1">
        <v>44147</v>
      </c>
      <c r="C462">
        <f>28.169</f>
        <v>28.169</v>
      </c>
      <c r="D462">
        <f>0.8472</f>
        <v>0.84719999999999995</v>
      </c>
      <c r="E462">
        <f>105.13</f>
        <v>105.13</v>
      </c>
      <c r="F462">
        <f>1.3141</f>
        <v>1.3141</v>
      </c>
      <c r="G462">
        <f>7.6931</f>
        <v>7.6931000000000003</v>
      </c>
      <c r="H462">
        <f>0.7623</f>
        <v>0.76229999999999998</v>
      </c>
    </row>
    <row r="463" spans="1:8" x14ac:dyDescent="0.25">
      <c r="A463" s="1">
        <v>44146</v>
      </c>
      <c r="C463">
        <f>28.1771</f>
        <v>28.177099999999999</v>
      </c>
      <c r="D463">
        <f>0.849</f>
        <v>0.84899999999999998</v>
      </c>
      <c r="E463">
        <f>105.43</f>
        <v>105.43</v>
      </c>
      <c r="F463">
        <f>1.3063</f>
        <v>1.3063</v>
      </c>
      <c r="G463">
        <f>7.8021</f>
        <v>7.8021000000000003</v>
      </c>
      <c r="H463">
        <f>0.7562</f>
        <v>0.75619999999999998</v>
      </c>
    </row>
    <row r="464" spans="1:8" x14ac:dyDescent="0.25">
      <c r="A464" s="1">
        <v>44145</v>
      </c>
      <c r="C464">
        <f>28.1388</f>
        <v>28.1388</v>
      </c>
      <c r="D464">
        <f>0.8464</f>
        <v>0.84640000000000004</v>
      </c>
      <c r="E464">
        <f>105.3</f>
        <v>105.3</v>
      </c>
      <c r="F464">
        <f>1.3033</f>
        <v>1.3032999999999999</v>
      </c>
      <c r="G464">
        <f>8.1588</f>
        <v>8.1587999999999994</v>
      </c>
      <c r="H464">
        <f>0.7534</f>
        <v>0.75339999999999996</v>
      </c>
    </row>
    <row r="465" spans="1:8" x14ac:dyDescent="0.25">
      <c r="A465" s="1">
        <v>44144</v>
      </c>
      <c r="C465">
        <f>28.1057</f>
        <v>28.105699999999999</v>
      </c>
      <c r="D465">
        <f>0.8465</f>
        <v>0.84650000000000003</v>
      </c>
      <c r="E465">
        <f>105.38</f>
        <v>105.38</v>
      </c>
      <c r="F465">
        <f>1.3007</f>
        <v>1.3007</v>
      </c>
      <c r="G465">
        <f>8.0684</f>
        <v>8.0684000000000005</v>
      </c>
      <c r="H465">
        <f>0.7596</f>
        <v>0.75960000000000005</v>
      </c>
    </row>
    <row r="466" spans="1:8" x14ac:dyDescent="0.25">
      <c r="A466" s="1">
        <v>44141</v>
      </c>
      <c r="C466">
        <f>28.0223</f>
        <v>28.022300000000001</v>
      </c>
      <c r="D466">
        <f>0.8422</f>
        <v>0.84219999999999995</v>
      </c>
      <c r="E466">
        <f>103.35</f>
        <v>103.35</v>
      </c>
      <c r="F466">
        <f>1.305</f>
        <v>1.3049999999999999</v>
      </c>
      <c r="G466">
        <f>8.5153</f>
        <v>8.5152999999999999</v>
      </c>
      <c r="H466">
        <f>0.7604</f>
        <v>0.76039999999999996</v>
      </c>
    </row>
    <row r="467" spans="1:8" x14ac:dyDescent="0.25">
      <c r="A467" s="1">
        <v>44140</v>
      </c>
      <c r="C467">
        <f>28.2286</f>
        <v>28.2286</v>
      </c>
      <c r="D467">
        <f>0.8453</f>
        <v>0.84530000000000005</v>
      </c>
      <c r="E467">
        <f>103.49</f>
        <v>103.49</v>
      </c>
      <c r="F467">
        <f>1.3045</f>
        <v>1.3045</v>
      </c>
      <c r="G467">
        <f>8.4228</f>
        <v>8.4228000000000005</v>
      </c>
      <c r="H467">
        <f>0.7606</f>
        <v>0.76060000000000005</v>
      </c>
    </row>
    <row r="468" spans="1:8" x14ac:dyDescent="0.25">
      <c r="A468" s="1">
        <v>44139</v>
      </c>
      <c r="C468">
        <f>28.3617</f>
        <v>28.361699999999999</v>
      </c>
      <c r="D468">
        <f>0.853</f>
        <v>0.85299999999999998</v>
      </c>
      <c r="E468">
        <f>104.52</f>
        <v>104.52</v>
      </c>
      <c r="F468">
        <f>1.3136</f>
        <v>1.3136000000000001</v>
      </c>
      <c r="G468">
        <f>8.4321</f>
        <v>8.4321000000000002</v>
      </c>
      <c r="H468">
        <f>0.77</f>
        <v>0.77</v>
      </c>
    </row>
    <row r="469" spans="1:8" x14ac:dyDescent="0.25">
      <c r="A469" s="1">
        <v>44138</v>
      </c>
      <c r="C469">
        <f>28.563</f>
        <v>28.562999999999999</v>
      </c>
      <c r="D469">
        <f>0.8533</f>
        <v>0.85329999999999995</v>
      </c>
      <c r="E469">
        <f>104.49</f>
        <v>104.49</v>
      </c>
      <c r="F469">
        <f>1.3144</f>
        <v>1.3144</v>
      </c>
      <c r="G469">
        <f>8.3965</f>
        <v>8.3964999999999996</v>
      </c>
      <c r="H469">
        <f>0.7656</f>
        <v>0.76559999999999995</v>
      </c>
    </row>
    <row r="470" spans="1:8" x14ac:dyDescent="0.25">
      <c r="A470" s="1">
        <v>44137</v>
      </c>
      <c r="C470">
        <f>28.6567</f>
        <v>28.656700000000001</v>
      </c>
      <c r="D470">
        <f>0.8591</f>
        <v>0.85909999999999997</v>
      </c>
      <c r="E470">
        <f>104.72</f>
        <v>104.72</v>
      </c>
      <c r="F470">
        <f>1.3217</f>
        <v>1.3217000000000001</v>
      </c>
      <c r="G470">
        <f>8.4264</f>
        <v>8.4263999999999992</v>
      </c>
      <c r="H470">
        <f>0.7741</f>
        <v>0.77410000000000001</v>
      </c>
    </row>
    <row r="471" spans="1:8" x14ac:dyDescent="0.25">
      <c r="A471" s="1">
        <v>44134</v>
      </c>
      <c r="C471">
        <f>28.4671</f>
        <v>28.467099999999999</v>
      </c>
      <c r="D471">
        <f>0.8586</f>
        <v>0.85860000000000003</v>
      </c>
      <c r="E471">
        <f>104.66</f>
        <v>104.66</v>
      </c>
      <c r="F471">
        <f>1.3321</f>
        <v>1.3321000000000001</v>
      </c>
      <c r="G471">
        <f>8.3449</f>
        <v>8.3449000000000009</v>
      </c>
      <c r="H471">
        <f>0.7722</f>
        <v>0.7722</v>
      </c>
    </row>
    <row r="472" spans="1:8" x14ac:dyDescent="0.25">
      <c r="A472" s="1">
        <v>44133</v>
      </c>
      <c r="C472">
        <f>28.4498</f>
        <v>28.4498</v>
      </c>
      <c r="D472">
        <f>0.8567</f>
        <v>0.85670000000000002</v>
      </c>
      <c r="E472">
        <f>104.61</f>
        <v>104.61</v>
      </c>
      <c r="F472">
        <f>1.3325</f>
        <v>1.3325</v>
      </c>
      <c r="G472">
        <f>8.291</f>
        <v>8.2910000000000004</v>
      </c>
      <c r="H472">
        <f>0.7734</f>
        <v>0.77339999999999998</v>
      </c>
    </row>
    <row r="473" spans="1:8" x14ac:dyDescent="0.25">
      <c r="A473" s="1">
        <v>44132</v>
      </c>
      <c r="C473">
        <f>28.4104</f>
        <v>28.410399999999999</v>
      </c>
      <c r="D473">
        <f>0.8513</f>
        <v>0.85129999999999995</v>
      </c>
      <c r="E473">
        <f>104.32</f>
        <v>104.32</v>
      </c>
      <c r="F473">
        <f>1.3323</f>
        <v>1.3323</v>
      </c>
      <c r="G473">
        <f>8.2662</f>
        <v>8.2661999999999995</v>
      </c>
      <c r="H473">
        <f>0.7702</f>
        <v>0.7702</v>
      </c>
    </row>
    <row r="474" spans="1:8" x14ac:dyDescent="0.25">
      <c r="A474" s="1">
        <v>44131</v>
      </c>
      <c r="C474">
        <f>28.3754</f>
        <v>28.375399999999999</v>
      </c>
      <c r="D474">
        <f>0.8479</f>
        <v>0.84789999999999999</v>
      </c>
      <c r="E474">
        <f>104.42</f>
        <v>104.42</v>
      </c>
      <c r="F474">
        <f>1.3185</f>
        <v>1.3185</v>
      </c>
      <c r="G474">
        <f>8.1866</f>
        <v>8.1866000000000003</v>
      </c>
      <c r="H474">
        <f>0.7665</f>
        <v>0.76649999999999996</v>
      </c>
    </row>
    <row r="475" spans="1:8" x14ac:dyDescent="0.25">
      <c r="A475" s="1">
        <v>44130</v>
      </c>
      <c r="C475">
        <f>28.3228</f>
        <v>28.322800000000001</v>
      </c>
      <c r="D475">
        <f>0.8468</f>
        <v>0.8468</v>
      </c>
      <c r="E475">
        <f>104.84</f>
        <v>104.84</v>
      </c>
      <c r="F475">
        <f>1.3212</f>
        <v>1.3211999999999999</v>
      </c>
      <c r="G475">
        <f>8.086</f>
        <v>8.0860000000000003</v>
      </c>
      <c r="H475">
        <f>0.7678</f>
        <v>0.76780000000000004</v>
      </c>
    </row>
    <row r="476" spans="1:8" x14ac:dyDescent="0.25">
      <c r="A476" s="1">
        <v>44127</v>
      </c>
      <c r="C476">
        <f>28.3251</f>
        <v>28.325099999999999</v>
      </c>
      <c r="D476">
        <f>0.8431</f>
        <v>0.84309999999999996</v>
      </c>
      <c r="E476">
        <f>104.71</f>
        <v>104.71</v>
      </c>
      <c r="F476">
        <f>1.3125</f>
        <v>1.3125</v>
      </c>
      <c r="G476">
        <f>7.9615</f>
        <v>7.9615</v>
      </c>
      <c r="H476">
        <f>0.7667</f>
        <v>0.76670000000000005</v>
      </c>
    </row>
    <row r="477" spans="1:8" x14ac:dyDescent="0.25">
      <c r="A477" s="1">
        <v>44126</v>
      </c>
      <c r="C477">
        <f>28.3054</f>
        <v>28.305399999999999</v>
      </c>
      <c r="D477">
        <f>0.8462</f>
        <v>0.84619999999999995</v>
      </c>
      <c r="E477">
        <f>104.86</f>
        <v>104.86</v>
      </c>
      <c r="F477">
        <f>1.3136</f>
        <v>1.3136000000000001</v>
      </c>
      <c r="G477">
        <f>7.935</f>
        <v>7.9349999999999996</v>
      </c>
      <c r="H477">
        <f>0.7643</f>
        <v>0.76429999999999998</v>
      </c>
    </row>
    <row r="478" spans="1:8" x14ac:dyDescent="0.25">
      <c r="A478" s="1">
        <v>44125</v>
      </c>
      <c r="C478">
        <f>28.2111</f>
        <v>28.211099999999998</v>
      </c>
      <c r="D478">
        <f>0.8431</f>
        <v>0.84309999999999996</v>
      </c>
      <c r="E478">
        <f>104.59</f>
        <v>104.59</v>
      </c>
      <c r="F478">
        <f>1.3146</f>
        <v>1.3146</v>
      </c>
      <c r="G478">
        <f>7.8123</f>
        <v>7.8122999999999996</v>
      </c>
      <c r="H478">
        <f>0.7607</f>
        <v>0.76070000000000004</v>
      </c>
    </row>
    <row r="479" spans="1:8" x14ac:dyDescent="0.25">
      <c r="A479" s="1">
        <v>44124</v>
      </c>
      <c r="C479">
        <f>28.3301</f>
        <v>28.330100000000002</v>
      </c>
      <c r="D479">
        <f>0.8459</f>
        <v>0.84589999999999999</v>
      </c>
      <c r="E479">
        <f>105.5</f>
        <v>105.5</v>
      </c>
      <c r="F479">
        <f>1.3129</f>
        <v>1.3129</v>
      </c>
      <c r="G479">
        <f>7.8658</f>
        <v>7.8658000000000001</v>
      </c>
      <c r="H479">
        <f>0.7724</f>
        <v>0.77239999999999998</v>
      </c>
    </row>
    <row r="480" spans="1:8" x14ac:dyDescent="0.25">
      <c r="A480" s="1">
        <v>44123</v>
      </c>
      <c r="C480">
        <f>28.3809</f>
        <v>28.3809</v>
      </c>
      <c r="D480">
        <f>0.8497</f>
        <v>0.84970000000000001</v>
      </c>
      <c r="E480">
        <f>105.43</f>
        <v>105.43</v>
      </c>
      <c r="F480">
        <f>1.3192</f>
        <v>1.3191999999999999</v>
      </c>
      <c r="G480">
        <f>7.8836</f>
        <v>7.8836000000000004</v>
      </c>
      <c r="H480">
        <f>0.7721</f>
        <v>0.77210000000000001</v>
      </c>
    </row>
    <row r="481" spans="1:8" x14ac:dyDescent="0.25">
      <c r="A481" s="1">
        <v>44120</v>
      </c>
      <c r="C481">
        <f>28.3112</f>
        <v>28.311199999999999</v>
      </c>
      <c r="D481">
        <f>0.8534</f>
        <v>0.85340000000000005</v>
      </c>
      <c r="E481">
        <f>105.4</f>
        <v>105.4</v>
      </c>
      <c r="F481">
        <f>1.3189</f>
        <v>1.3189</v>
      </c>
      <c r="G481">
        <f>7.9223</f>
        <v>7.9222999999999999</v>
      </c>
      <c r="H481">
        <f>0.7742</f>
        <v>0.7742</v>
      </c>
    </row>
    <row r="482" spans="1:8" x14ac:dyDescent="0.25">
      <c r="A482" s="1">
        <v>44119</v>
      </c>
      <c r="C482">
        <f>28.3403</f>
        <v>28.340299999999999</v>
      </c>
      <c r="D482">
        <f>0.8542</f>
        <v>0.85419999999999996</v>
      </c>
      <c r="E482">
        <f>105.45</f>
        <v>105.45</v>
      </c>
      <c r="F482">
        <f>1.3221</f>
        <v>1.3221000000000001</v>
      </c>
      <c r="G482">
        <f>7.9354</f>
        <v>7.9353999999999996</v>
      </c>
      <c r="H482">
        <f>0.7748</f>
        <v>0.77480000000000004</v>
      </c>
    </row>
    <row r="483" spans="1:8" x14ac:dyDescent="0.25">
      <c r="A483" s="1">
        <v>44118</v>
      </c>
      <c r="C483" t="e">
        <f>NA()</f>
        <v>#N/A</v>
      </c>
      <c r="D483">
        <f>0.8514</f>
        <v>0.85140000000000005</v>
      </c>
      <c r="E483">
        <f>105.17</f>
        <v>105.17</v>
      </c>
      <c r="F483">
        <f>1.3146</f>
        <v>1.3146</v>
      </c>
      <c r="G483">
        <f>7.9105</f>
        <v>7.9104999999999999</v>
      </c>
      <c r="H483">
        <f>0.7686</f>
        <v>0.76859999999999995</v>
      </c>
    </row>
    <row r="484" spans="1:8" x14ac:dyDescent="0.25">
      <c r="A484" s="1">
        <v>44117</v>
      </c>
      <c r="C484">
        <f>28.3313</f>
        <v>28.331299999999999</v>
      </c>
      <c r="D484">
        <f>0.8514</f>
        <v>0.85140000000000005</v>
      </c>
      <c r="E484">
        <f>105.48</f>
        <v>105.48</v>
      </c>
      <c r="F484">
        <f>1.3139</f>
        <v>1.3139000000000001</v>
      </c>
      <c r="G484">
        <f>7.9182</f>
        <v>7.9181999999999997</v>
      </c>
      <c r="H484">
        <f>0.773</f>
        <v>0.77300000000000002</v>
      </c>
    </row>
    <row r="485" spans="1:8" x14ac:dyDescent="0.25">
      <c r="A485" s="1">
        <v>44116</v>
      </c>
      <c r="C485">
        <f>28.2961</f>
        <v>28.296099999999999</v>
      </c>
      <c r="D485">
        <f>0.8466</f>
        <v>0.84660000000000002</v>
      </c>
      <c r="E485">
        <f>105.33</f>
        <v>105.33</v>
      </c>
      <c r="F485">
        <f>1.3114</f>
        <v>1.3113999999999999</v>
      </c>
      <c r="G485">
        <f>7.8957</f>
        <v>7.8956999999999997</v>
      </c>
      <c r="H485">
        <f>0.7653</f>
        <v>0.76529999999999998</v>
      </c>
    </row>
    <row r="486" spans="1:8" x14ac:dyDescent="0.25">
      <c r="A486" s="1">
        <v>44113</v>
      </c>
      <c r="C486">
        <f>28.2576</f>
        <v>28.2576</v>
      </c>
      <c r="D486">
        <f>0.8456</f>
        <v>0.84560000000000002</v>
      </c>
      <c r="E486">
        <f>105.62</f>
        <v>105.62</v>
      </c>
      <c r="F486">
        <f>1.3121</f>
        <v>1.3121</v>
      </c>
      <c r="G486">
        <f>7.8745</f>
        <v>7.8745000000000003</v>
      </c>
      <c r="H486">
        <f>0.7665</f>
        <v>0.76649999999999996</v>
      </c>
    </row>
    <row r="487" spans="1:8" x14ac:dyDescent="0.25">
      <c r="A487" s="1">
        <v>44112</v>
      </c>
      <c r="C487">
        <f>28.2306</f>
        <v>28.230599999999999</v>
      </c>
      <c r="D487">
        <f>0.8503</f>
        <v>0.85029999999999994</v>
      </c>
      <c r="E487">
        <f>106.03</f>
        <v>106.03</v>
      </c>
      <c r="F487">
        <f>1.3196</f>
        <v>1.3196000000000001</v>
      </c>
      <c r="G487">
        <f>7.9449</f>
        <v>7.9448999999999996</v>
      </c>
      <c r="H487">
        <f>0.7729</f>
        <v>0.77290000000000003</v>
      </c>
    </row>
    <row r="488" spans="1:8" x14ac:dyDescent="0.25">
      <c r="A488" s="1">
        <v>44111</v>
      </c>
      <c r="C488">
        <f>28.32</f>
        <v>28.32</v>
      </c>
      <c r="D488">
        <f>0.85</f>
        <v>0.85</v>
      </c>
      <c r="E488">
        <f>105.98</f>
        <v>105.98</v>
      </c>
      <c r="F488">
        <f>1.3256</f>
        <v>1.3255999999999999</v>
      </c>
      <c r="G488">
        <f>7.8851</f>
        <v>7.8851000000000004</v>
      </c>
      <c r="H488">
        <f>0.774</f>
        <v>0.77400000000000002</v>
      </c>
    </row>
    <row r="489" spans="1:8" x14ac:dyDescent="0.25">
      <c r="A489" s="1">
        <v>44110</v>
      </c>
      <c r="C489">
        <f>28.3266</f>
        <v>28.326599999999999</v>
      </c>
      <c r="D489">
        <f>0.8522</f>
        <v>0.85219999999999996</v>
      </c>
      <c r="E489">
        <f>105.63</f>
        <v>105.63</v>
      </c>
      <c r="F489">
        <f>1.3312</f>
        <v>1.3311999999999999</v>
      </c>
      <c r="G489">
        <f>7.799</f>
        <v>7.7990000000000004</v>
      </c>
      <c r="H489">
        <f>0.7765</f>
        <v>0.77649999999999997</v>
      </c>
    </row>
    <row r="490" spans="1:8" x14ac:dyDescent="0.25">
      <c r="A490" s="1">
        <v>44109</v>
      </c>
      <c r="C490">
        <f>28.4153</f>
        <v>28.415299999999998</v>
      </c>
      <c r="D490">
        <f>0.8486</f>
        <v>0.84860000000000002</v>
      </c>
      <c r="E490">
        <f>105.75</f>
        <v>105.75</v>
      </c>
      <c r="F490">
        <f>1.3263</f>
        <v>1.3263</v>
      </c>
      <c r="G490">
        <f>7.7615</f>
        <v>7.7614999999999998</v>
      </c>
      <c r="H490">
        <f>0.7705</f>
        <v>0.77049999999999996</v>
      </c>
    </row>
    <row r="491" spans="1:8" x14ac:dyDescent="0.25">
      <c r="A491" s="1">
        <v>44106</v>
      </c>
      <c r="C491">
        <f>28.364</f>
        <v>28.364000000000001</v>
      </c>
      <c r="D491">
        <f>0.8535</f>
        <v>0.85350000000000004</v>
      </c>
      <c r="E491">
        <f>105.29</f>
        <v>105.29</v>
      </c>
      <c r="F491">
        <f>1.3308</f>
        <v>1.3308</v>
      </c>
      <c r="G491">
        <f>7.7748</f>
        <v>7.7747999999999999</v>
      </c>
      <c r="H491">
        <f>0.773</f>
        <v>0.77300000000000002</v>
      </c>
    </row>
    <row r="492" spans="1:8" x14ac:dyDescent="0.25">
      <c r="A492" s="1">
        <v>44105</v>
      </c>
      <c r="C492">
        <f>28.3489</f>
        <v>28.3489</v>
      </c>
      <c r="D492">
        <f>0.8514</f>
        <v>0.85140000000000005</v>
      </c>
      <c r="E492">
        <f>105.53</f>
        <v>105.53</v>
      </c>
      <c r="F492">
        <f>1.3289</f>
        <v>1.3289</v>
      </c>
      <c r="G492">
        <f>7.7433</f>
        <v>7.7432999999999996</v>
      </c>
      <c r="H492">
        <f>0.7758</f>
        <v>0.77580000000000005</v>
      </c>
    </row>
    <row r="493" spans="1:8" x14ac:dyDescent="0.25">
      <c r="A493" s="1">
        <v>44104</v>
      </c>
      <c r="C493">
        <f>28.4194</f>
        <v>28.4194</v>
      </c>
      <c r="D493">
        <f>0.8532</f>
        <v>0.85319999999999996</v>
      </c>
      <c r="E493">
        <f>105.48</f>
        <v>105.48</v>
      </c>
      <c r="F493">
        <f>1.3319</f>
        <v>1.3319000000000001</v>
      </c>
      <c r="G493">
        <f>7.7157</f>
        <v>7.7157</v>
      </c>
      <c r="H493">
        <f>0.7738</f>
        <v>0.77380000000000004</v>
      </c>
    </row>
    <row r="494" spans="1:8" x14ac:dyDescent="0.25">
      <c r="A494" s="1">
        <v>44103</v>
      </c>
      <c r="C494">
        <f>28.3036</f>
        <v>28.303599999999999</v>
      </c>
      <c r="D494">
        <f>0.8515</f>
        <v>0.85150000000000003</v>
      </c>
      <c r="E494">
        <f>105.66</f>
        <v>105.66</v>
      </c>
      <c r="F494">
        <f>1.3388</f>
        <v>1.3388</v>
      </c>
      <c r="G494">
        <f>7.8066</f>
        <v>7.8066000000000004</v>
      </c>
      <c r="H494">
        <f>0.7777</f>
        <v>0.77769999999999995</v>
      </c>
    </row>
    <row r="495" spans="1:8" x14ac:dyDescent="0.25">
      <c r="A495" s="1">
        <v>44102</v>
      </c>
      <c r="C495">
        <f>28.2305</f>
        <v>28.230499999999999</v>
      </c>
      <c r="D495">
        <f>0.8572</f>
        <v>0.85719999999999996</v>
      </c>
      <c r="E495">
        <f>105.5</f>
        <v>105.5</v>
      </c>
      <c r="F495">
        <f>1.337</f>
        <v>1.337</v>
      </c>
      <c r="G495">
        <f>7.8062</f>
        <v>7.8061999999999996</v>
      </c>
      <c r="H495">
        <f>0.7793</f>
        <v>0.77929999999999999</v>
      </c>
    </row>
    <row r="496" spans="1:8" x14ac:dyDescent="0.25">
      <c r="A496" s="1">
        <v>44099</v>
      </c>
      <c r="C496">
        <f>28.288</f>
        <v>28.288</v>
      </c>
      <c r="D496">
        <f>0.8598</f>
        <v>0.85980000000000001</v>
      </c>
      <c r="E496">
        <f>105.58</f>
        <v>105.58</v>
      </c>
      <c r="F496">
        <f>1.3386</f>
        <v>1.3386</v>
      </c>
      <c r="G496">
        <f>7.6639</f>
        <v>7.6638999999999999</v>
      </c>
      <c r="H496">
        <f>0.7846</f>
        <v>0.78459999999999996</v>
      </c>
    </row>
    <row r="497" spans="1:8" x14ac:dyDescent="0.25">
      <c r="A497" s="1">
        <v>44098</v>
      </c>
      <c r="C497">
        <f>28.2634</f>
        <v>28.263400000000001</v>
      </c>
      <c r="D497">
        <f>0.8569</f>
        <v>0.8569</v>
      </c>
      <c r="E497">
        <f>105.41</f>
        <v>105.41</v>
      </c>
      <c r="F497">
        <f>1.3362</f>
        <v>1.3362000000000001</v>
      </c>
      <c r="G497">
        <f>7.6228</f>
        <v>7.6227999999999998</v>
      </c>
      <c r="H497">
        <f>0.7848</f>
        <v>0.78480000000000005</v>
      </c>
    </row>
    <row r="498" spans="1:8" x14ac:dyDescent="0.25">
      <c r="A498" s="1">
        <v>44097</v>
      </c>
      <c r="C498">
        <f>28.2248</f>
        <v>28.224799999999998</v>
      </c>
      <c r="D498">
        <f>0.8576</f>
        <v>0.85760000000000003</v>
      </c>
      <c r="E498">
        <f>105.39</f>
        <v>105.39</v>
      </c>
      <c r="F498">
        <f>1.3386</f>
        <v>1.3386</v>
      </c>
      <c r="G498">
        <f>7.7008</f>
        <v>7.7008000000000001</v>
      </c>
      <c r="H498">
        <f>0.7858</f>
        <v>0.78580000000000005</v>
      </c>
    </row>
    <row r="499" spans="1:8" x14ac:dyDescent="0.25">
      <c r="A499" s="1">
        <v>44096</v>
      </c>
      <c r="C499">
        <f>28.2809</f>
        <v>28.280899999999999</v>
      </c>
      <c r="D499">
        <f>0.8541</f>
        <v>0.85409999999999997</v>
      </c>
      <c r="E499">
        <f>104.93</f>
        <v>104.93</v>
      </c>
      <c r="F499">
        <f>1.3304</f>
        <v>1.3304</v>
      </c>
      <c r="G499">
        <f>7.6648</f>
        <v>7.6647999999999996</v>
      </c>
      <c r="H499">
        <f>0.7853</f>
        <v>0.7853</v>
      </c>
    </row>
    <row r="500" spans="1:8" x14ac:dyDescent="0.25">
      <c r="A500" s="1">
        <v>44095</v>
      </c>
      <c r="C500">
        <f>28.2306</f>
        <v>28.230599999999999</v>
      </c>
      <c r="D500">
        <f>0.8495</f>
        <v>0.84950000000000003</v>
      </c>
      <c r="E500">
        <f>104.65</f>
        <v>104.65</v>
      </c>
      <c r="F500">
        <f>1.3308</f>
        <v>1.3308</v>
      </c>
      <c r="G500">
        <f>7.6272</f>
        <v>7.6272000000000002</v>
      </c>
      <c r="H500">
        <f>0.7803</f>
        <v>0.78029999999999999</v>
      </c>
    </row>
    <row r="501" spans="1:8" x14ac:dyDescent="0.25">
      <c r="A501" s="1">
        <v>44092</v>
      </c>
      <c r="C501">
        <f>28.1409</f>
        <v>28.140899999999998</v>
      </c>
      <c r="D501">
        <f>0.8446</f>
        <v>0.84460000000000002</v>
      </c>
      <c r="E501">
        <f>104.57</f>
        <v>104.57</v>
      </c>
      <c r="F501">
        <f>1.3204</f>
        <v>1.3204</v>
      </c>
      <c r="G501">
        <f>7.5625</f>
        <v>7.5625</v>
      </c>
      <c r="H501">
        <f>0.7742</f>
        <v>0.7742</v>
      </c>
    </row>
    <row r="502" spans="1:8" x14ac:dyDescent="0.25">
      <c r="A502" s="1">
        <v>44091</v>
      </c>
      <c r="C502">
        <f>28.14</f>
        <v>28.14</v>
      </c>
      <c r="D502">
        <f>0.844</f>
        <v>0.84399999999999997</v>
      </c>
      <c r="E502">
        <f>104.74</f>
        <v>104.74</v>
      </c>
      <c r="F502">
        <f>1.3167</f>
        <v>1.3167</v>
      </c>
      <c r="G502">
        <f>7.5509</f>
        <v>7.5509000000000004</v>
      </c>
      <c r="H502">
        <f>0.7709</f>
        <v>0.77090000000000003</v>
      </c>
    </row>
    <row r="503" spans="1:8" x14ac:dyDescent="0.25">
      <c r="A503" s="1">
        <v>44090</v>
      </c>
      <c r="C503">
        <f>28.0475</f>
        <v>28.047499999999999</v>
      </c>
      <c r="D503">
        <f>0.8462</f>
        <v>0.84619999999999995</v>
      </c>
      <c r="E503">
        <f>104.95</f>
        <v>104.95</v>
      </c>
      <c r="F503">
        <f>1.3178</f>
        <v>1.3178000000000001</v>
      </c>
      <c r="G503">
        <f>7.5024</f>
        <v>7.5023999999999997</v>
      </c>
      <c r="H503">
        <f>0.7711</f>
        <v>0.77110000000000001</v>
      </c>
    </row>
    <row r="504" spans="1:8" x14ac:dyDescent="0.25">
      <c r="A504" s="1">
        <v>44089</v>
      </c>
      <c r="C504">
        <f>28.0585</f>
        <v>28.058499999999999</v>
      </c>
      <c r="D504">
        <f>0.8441</f>
        <v>0.84409999999999996</v>
      </c>
      <c r="E504">
        <f>105.44</f>
        <v>105.44</v>
      </c>
      <c r="F504">
        <f>1.3186</f>
        <v>1.3186</v>
      </c>
      <c r="G504">
        <f>7.4919</f>
        <v>7.4919000000000002</v>
      </c>
      <c r="H504">
        <f>0.7759</f>
        <v>0.77590000000000003</v>
      </c>
    </row>
    <row r="505" spans="1:8" x14ac:dyDescent="0.25">
      <c r="A505" s="1">
        <v>44088</v>
      </c>
      <c r="C505">
        <f>27.9896</f>
        <v>27.989599999999999</v>
      </c>
      <c r="D505">
        <f>0.8429</f>
        <v>0.84289999999999998</v>
      </c>
      <c r="E505">
        <f>105.73</f>
        <v>105.73</v>
      </c>
      <c r="F505">
        <f>1.3176</f>
        <v>1.3176000000000001</v>
      </c>
      <c r="G505">
        <f>7.4885</f>
        <v>7.4885000000000002</v>
      </c>
      <c r="H505">
        <f>0.7785</f>
        <v>0.77849999999999997</v>
      </c>
    </row>
    <row r="506" spans="1:8" x14ac:dyDescent="0.25">
      <c r="A506" s="1">
        <v>44085</v>
      </c>
      <c r="C506">
        <f>27.9499</f>
        <v>27.9499</v>
      </c>
      <c r="D506">
        <f>0.8442</f>
        <v>0.84419999999999995</v>
      </c>
      <c r="E506">
        <f>106.16</f>
        <v>106.16</v>
      </c>
      <c r="F506">
        <f>1.3179</f>
        <v>1.3179000000000001</v>
      </c>
      <c r="G506">
        <f>7.4761</f>
        <v>7.4760999999999997</v>
      </c>
      <c r="H506">
        <f>0.7815</f>
        <v>0.78149999999999997</v>
      </c>
    </row>
    <row r="507" spans="1:8" x14ac:dyDescent="0.25">
      <c r="A507" s="1">
        <v>44084</v>
      </c>
      <c r="C507">
        <f>27.8636</f>
        <v>27.863600000000002</v>
      </c>
      <c r="D507">
        <f>0.8464</f>
        <v>0.84640000000000004</v>
      </c>
      <c r="E507">
        <f>106.13</f>
        <v>106.13</v>
      </c>
      <c r="F507">
        <f>1.3192</f>
        <v>1.3191999999999999</v>
      </c>
      <c r="G507">
        <f>7.4494</f>
        <v>7.4493999999999998</v>
      </c>
      <c r="H507">
        <f>0.7808</f>
        <v>0.78080000000000005</v>
      </c>
    </row>
    <row r="508" spans="1:8" x14ac:dyDescent="0.25">
      <c r="A508" s="1">
        <v>44083</v>
      </c>
      <c r="C508">
        <f>27.8123</f>
        <v>27.8123</v>
      </c>
      <c r="D508">
        <f>0.8472</f>
        <v>0.84719999999999995</v>
      </c>
      <c r="E508">
        <f>106.18</f>
        <v>106.18</v>
      </c>
      <c r="F508">
        <f>1.3146</f>
        <v>1.3146</v>
      </c>
      <c r="G508">
        <f>7.4879</f>
        <v>7.4878999999999998</v>
      </c>
      <c r="H508">
        <f>0.7692</f>
        <v>0.76919999999999999</v>
      </c>
    </row>
    <row r="509" spans="1:8" x14ac:dyDescent="0.25">
      <c r="A509" s="1">
        <v>44082</v>
      </c>
      <c r="C509">
        <f>27.7354</f>
        <v>27.735399999999998</v>
      </c>
      <c r="D509">
        <f>0.8493</f>
        <v>0.84930000000000005</v>
      </c>
      <c r="E509">
        <f>106.03</f>
        <v>106.03</v>
      </c>
      <c r="F509">
        <f>1.3236</f>
        <v>1.3236000000000001</v>
      </c>
      <c r="G509">
        <f>7.4849</f>
        <v>7.4848999999999997</v>
      </c>
      <c r="H509">
        <f>0.7703</f>
        <v>0.77029999999999998</v>
      </c>
    </row>
    <row r="510" spans="1:8" x14ac:dyDescent="0.25">
      <c r="A510" s="1">
        <v>44081</v>
      </c>
      <c r="C510">
        <f>27.7657</f>
        <v>27.765699999999999</v>
      </c>
      <c r="D510">
        <f>0.8464</f>
        <v>0.84640000000000004</v>
      </c>
      <c r="E510">
        <f>106.27</f>
        <v>106.27</v>
      </c>
      <c r="F510">
        <f>1.3098</f>
        <v>1.3098000000000001</v>
      </c>
      <c r="G510">
        <f>7.4501</f>
        <v>7.4500999999999999</v>
      </c>
      <c r="H510">
        <f>0.7595</f>
        <v>0.75949999999999995</v>
      </c>
    </row>
    <row r="511" spans="1:8" x14ac:dyDescent="0.25">
      <c r="A511" s="1">
        <v>44078</v>
      </c>
      <c r="C511">
        <f>27.641</f>
        <v>27.640999999999998</v>
      </c>
      <c r="D511">
        <f>0.8447</f>
        <v>0.84470000000000001</v>
      </c>
      <c r="E511">
        <f>106.24</f>
        <v>106.24</v>
      </c>
      <c r="F511">
        <f>1.3062</f>
        <v>1.3062</v>
      </c>
      <c r="G511">
        <f>7.4383</f>
        <v>7.4382999999999999</v>
      </c>
      <c r="H511">
        <f>0.753</f>
        <v>0.753</v>
      </c>
    </row>
    <row r="512" spans="1:8" x14ac:dyDescent="0.25">
      <c r="A512" s="1">
        <v>44077</v>
      </c>
      <c r="C512">
        <f>27.7496</f>
        <v>27.749600000000001</v>
      </c>
      <c r="D512">
        <f>0.8438</f>
        <v>0.84379999999999999</v>
      </c>
      <c r="E512">
        <f>106.19</f>
        <v>106.19</v>
      </c>
      <c r="F512">
        <f>1.3128</f>
        <v>1.3128</v>
      </c>
      <c r="G512">
        <f>7.4324</f>
        <v>7.4324000000000003</v>
      </c>
      <c r="H512">
        <f>0.753</f>
        <v>0.753</v>
      </c>
    </row>
    <row r="513" spans="1:8" x14ac:dyDescent="0.25">
      <c r="A513" s="1">
        <v>44076</v>
      </c>
      <c r="C513">
        <f>27.6339</f>
        <v>27.633900000000001</v>
      </c>
      <c r="D513">
        <f>0.8435</f>
        <v>0.84350000000000003</v>
      </c>
      <c r="E513">
        <f>106.18</f>
        <v>106.18</v>
      </c>
      <c r="F513">
        <f>1.3045</f>
        <v>1.3045</v>
      </c>
      <c r="G513">
        <f>7.3872</f>
        <v>7.3872</v>
      </c>
      <c r="H513">
        <f>0.749</f>
        <v>0.749</v>
      </c>
    </row>
    <row r="514" spans="1:8" x14ac:dyDescent="0.25">
      <c r="A514" s="1">
        <v>44075</v>
      </c>
      <c r="C514">
        <f>27.5869</f>
        <v>27.5869</v>
      </c>
      <c r="D514">
        <f>0.8395</f>
        <v>0.83950000000000002</v>
      </c>
      <c r="E514">
        <f>105.96</f>
        <v>105.96</v>
      </c>
      <c r="F514">
        <f>1.3064</f>
        <v>1.3064</v>
      </c>
      <c r="G514">
        <f>7.3688</f>
        <v>7.3688000000000002</v>
      </c>
      <c r="H514">
        <f>0.7472</f>
        <v>0.74719999999999998</v>
      </c>
    </row>
    <row r="515" spans="1:8" x14ac:dyDescent="0.25">
      <c r="A515" s="1">
        <v>44074</v>
      </c>
      <c r="C515">
        <f>27.5412</f>
        <v>27.5412</v>
      </c>
      <c r="D515">
        <f>0.8378</f>
        <v>0.83779999999999999</v>
      </c>
      <c r="E515">
        <f>105.91</f>
        <v>105.91</v>
      </c>
      <c r="F515">
        <f>1.3047</f>
        <v>1.3047</v>
      </c>
      <c r="G515">
        <f>7.3443</f>
        <v>7.3442999999999996</v>
      </c>
      <c r="H515">
        <f>0.748</f>
        <v>0.748</v>
      </c>
    </row>
    <row r="516" spans="1:8" x14ac:dyDescent="0.25">
      <c r="A516" s="1">
        <v>44071</v>
      </c>
      <c r="C516">
        <f>27.4043</f>
        <v>27.404299999999999</v>
      </c>
      <c r="D516">
        <f>0.84</f>
        <v>0.84</v>
      </c>
      <c r="E516">
        <f>105.37</f>
        <v>105.37</v>
      </c>
      <c r="F516">
        <f>1.3099</f>
        <v>1.3099000000000001</v>
      </c>
      <c r="G516">
        <f>7.3302</f>
        <v>7.3301999999999996</v>
      </c>
      <c r="H516">
        <f>0.749</f>
        <v>0.749</v>
      </c>
    </row>
    <row r="517" spans="1:8" x14ac:dyDescent="0.25">
      <c r="A517" s="1">
        <v>44070</v>
      </c>
      <c r="C517">
        <f>27.4987</f>
        <v>27.498699999999999</v>
      </c>
      <c r="D517">
        <f>0.8459</f>
        <v>0.84589999999999999</v>
      </c>
      <c r="E517">
        <f>106.57</f>
        <v>106.57</v>
      </c>
      <c r="F517">
        <f>1.3128</f>
        <v>1.3128</v>
      </c>
      <c r="G517">
        <f>7.3576</f>
        <v>7.3575999999999997</v>
      </c>
      <c r="H517">
        <f>0.7575</f>
        <v>0.75749999999999995</v>
      </c>
    </row>
    <row r="518" spans="1:8" x14ac:dyDescent="0.25">
      <c r="A518" s="1">
        <v>44069</v>
      </c>
      <c r="C518">
        <f>27.5009</f>
        <v>27.500900000000001</v>
      </c>
      <c r="D518">
        <f>0.8453</f>
        <v>0.84530000000000005</v>
      </c>
      <c r="E518">
        <f>105.99</f>
        <v>105.99</v>
      </c>
      <c r="F518">
        <f>1.3143</f>
        <v>1.3143</v>
      </c>
      <c r="G518">
        <f>7.368</f>
        <v>7.3680000000000003</v>
      </c>
      <c r="H518">
        <f>0.757</f>
        <v>0.75700000000000001</v>
      </c>
    </row>
    <row r="519" spans="1:8" x14ac:dyDescent="0.25">
      <c r="A519" s="1">
        <v>44068</v>
      </c>
      <c r="C519">
        <f>27.3593</f>
        <v>27.359300000000001</v>
      </c>
      <c r="D519">
        <f>0.845</f>
        <v>0.84499999999999997</v>
      </c>
      <c r="E519">
        <f>106.39</f>
        <v>106.39</v>
      </c>
      <c r="F519">
        <f>1.3173</f>
        <v>1.3172999999999999</v>
      </c>
      <c r="G519">
        <f>7.3901</f>
        <v>7.3901000000000003</v>
      </c>
      <c r="H519">
        <f>0.7603</f>
        <v>0.76029999999999998</v>
      </c>
    </row>
    <row r="520" spans="1:8" x14ac:dyDescent="0.25">
      <c r="A520" s="1">
        <v>44067</v>
      </c>
      <c r="C520" t="e">
        <f>NA()</f>
        <v>#N/A</v>
      </c>
      <c r="D520">
        <f>0.8483</f>
        <v>0.84830000000000005</v>
      </c>
      <c r="E520">
        <f>105.98</f>
        <v>105.98</v>
      </c>
      <c r="F520">
        <f>1.3218</f>
        <v>1.3218000000000001</v>
      </c>
      <c r="G520">
        <f>7.3764</f>
        <v>7.3764000000000003</v>
      </c>
      <c r="H520">
        <f>0.7655</f>
        <v>0.76549999999999996</v>
      </c>
    </row>
    <row r="521" spans="1:8" x14ac:dyDescent="0.25">
      <c r="A521" s="1">
        <v>44064</v>
      </c>
      <c r="C521">
        <f>27.4487</f>
        <v>27.448699999999999</v>
      </c>
      <c r="D521">
        <f>0.8477</f>
        <v>0.84770000000000001</v>
      </c>
      <c r="E521">
        <f>105.8</f>
        <v>105.8</v>
      </c>
      <c r="F521">
        <f>1.3177</f>
        <v>1.3177000000000001</v>
      </c>
      <c r="G521">
        <f>7.3163</f>
        <v>7.3163</v>
      </c>
      <c r="H521">
        <f>0.7639</f>
        <v>0.76390000000000002</v>
      </c>
    </row>
    <row r="522" spans="1:8" x14ac:dyDescent="0.25">
      <c r="A522" s="1">
        <v>44063</v>
      </c>
      <c r="C522">
        <f>27.3675</f>
        <v>27.3675</v>
      </c>
      <c r="D522">
        <f>0.8432</f>
        <v>0.84319999999999995</v>
      </c>
      <c r="E522">
        <f>105.8</f>
        <v>105.8</v>
      </c>
      <c r="F522">
        <f>1.3186</f>
        <v>1.3186</v>
      </c>
      <c r="G522">
        <f>7.2981</f>
        <v>7.2980999999999998</v>
      </c>
      <c r="H522">
        <f>0.7568</f>
        <v>0.75680000000000003</v>
      </c>
    </row>
    <row r="523" spans="1:8" x14ac:dyDescent="0.25">
      <c r="A523" s="1">
        <v>44062</v>
      </c>
      <c r="C523">
        <f>27.4451</f>
        <v>27.4451</v>
      </c>
      <c r="D523">
        <f>0.8447</f>
        <v>0.84470000000000001</v>
      </c>
      <c r="E523">
        <f>106.12</f>
        <v>106.12</v>
      </c>
      <c r="F523">
        <f>1.3216</f>
        <v>1.3216000000000001</v>
      </c>
      <c r="G523">
        <f>7.2876</f>
        <v>7.2876000000000003</v>
      </c>
      <c r="H523">
        <f>0.7634</f>
        <v>0.76339999999999997</v>
      </c>
    </row>
    <row r="524" spans="1:8" x14ac:dyDescent="0.25">
      <c r="A524" s="1">
        <v>44061</v>
      </c>
      <c r="C524">
        <f>27.3026</f>
        <v>27.302600000000002</v>
      </c>
      <c r="D524">
        <f>0.8381</f>
        <v>0.83809999999999996</v>
      </c>
      <c r="E524">
        <f>105.41</f>
        <v>105.41</v>
      </c>
      <c r="F524">
        <f>1.3168</f>
        <v>1.3168</v>
      </c>
      <c r="G524">
        <f>7.3739</f>
        <v>7.3738999999999999</v>
      </c>
      <c r="H524">
        <f>0.7554</f>
        <v>0.75539999999999996</v>
      </c>
    </row>
    <row r="525" spans="1:8" x14ac:dyDescent="0.25">
      <c r="A525" s="1">
        <v>44060</v>
      </c>
      <c r="C525">
        <f>27.1478</f>
        <v>27.1478</v>
      </c>
      <c r="D525">
        <f>0.8425</f>
        <v>0.84250000000000003</v>
      </c>
      <c r="E525">
        <f>106</f>
        <v>106</v>
      </c>
      <c r="F525">
        <f>1.3215</f>
        <v>1.3214999999999999</v>
      </c>
      <c r="G525">
        <f>7.3821</f>
        <v>7.3821000000000003</v>
      </c>
      <c r="H525">
        <f>0.7631</f>
        <v>0.7631</v>
      </c>
    </row>
    <row r="526" spans="1:8" x14ac:dyDescent="0.25">
      <c r="A526" s="1">
        <v>44057</v>
      </c>
      <c r="C526">
        <f>27.335</f>
        <v>27.335000000000001</v>
      </c>
      <c r="D526">
        <f>0.8444</f>
        <v>0.84440000000000004</v>
      </c>
      <c r="E526">
        <f>106.6</f>
        <v>106.6</v>
      </c>
      <c r="F526">
        <f>1.3266</f>
        <v>1.3266</v>
      </c>
      <c r="G526">
        <f>7.3702</f>
        <v>7.3701999999999996</v>
      </c>
      <c r="H526">
        <f>0.7642</f>
        <v>0.76419999999999999</v>
      </c>
    </row>
    <row r="527" spans="1:8" x14ac:dyDescent="0.25">
      <c r="A527" s="1">
        <v>44056</v>
      </c>
      <c r="C527">
        <f>27.3627</f>
        <v>27.3627</v>
      </c>
      <c r="D527">
        <f>0.8464</f>
        <v>0.84640000000000004</v>
      </c>
      <c r="E527">
        <f>106.93</f>
        <v>106.93</v>
      </c>
      <c r="F527">
        <f>1.3223</f>
        <v>1.3223</v>
      </c>
      <c r="G527">
        <f>7.3384</f>
        <v>7.3384</v>
      </c>
      <c r="H527">
        <f>0.7653</f>
        <v>0.76529999999999998</v>
      </c>
    </row>
    <row r="528" spans="1:8" x14ac:dyDescent="0.25">
      <c r="A528" s="1">
        <v>44055</v>
      </c>
      <c r="C528">
        <f>27.5286</f>
        <v>27.528600000000001</v>
      </c>
      <c r="D528">
        <f>0.8486</f>
        <v>0.84860000000000002</v>
      </c>
      <c r="E528">
        <f>106.91</f>
        <v>106.91</v>
      </c>
      <c r="F528">
        <f>1.3247</f>
        <v>1.3247</v>
      </c>
      <c r="G528">
        <f>7.3326</f>
        <v>7.3326000000000002</v>
      </c>
      <c r="H528">
        <f>0.7673</f>
        <v>0.76729999999999998</v>
      </c>
    </row>
    <row r="529" spans="1:8" x14ac:dyDescent="0.25">
      <c r="A529" s="1">
        <v>44054</v>
      </c>
      <c r="C529">
        <f>27.5607</f>
        <v>27.560700000000001</v>
      </c>
      <c r="D529">
        <f>0.8518</f>
        <v>0.8518</v>
      </c>
      <c r="E529">
        <f>106.49</f>
        <v>106.49</v>
      </c>
      <c r="F529">
        <f>1.3301</f>
        <v>1.3301000000000001</v>
      </c>
      <c r="G529">
        <f>7.2246</f>
        <v>7.2245999999999997</v>
      </c>
      <c r="H529">
        <f>0.7664</f>
        <v>0.76639999999999997</v>
      </c>
    </row>
    <row r="530" spans="1:8" x14ac:dyDescent="0.25">
      <c r="A530" s="1">
        <v>44053</v>
      </c>
      <c r="C530">
        <f>27.636</f>
        <v>27.635999999999999</v>
      </c>
      <c r="D530">
        <f>0.852</f>
        <v>0.85199999999999998</v>
      </c>
      <c r="E530">
        <f>105.96</f>
        <v>105.96</v>
      </c>
      <c r="F530">
        <f>1.3351</f>
        <v>1.3351</v>
      </c>
      <c r="G530">
        <f>7.2835</f>
        <v>7.2835000000000001</v>
      </c>
      <c r="H530">
        <f>0.765</f>
        <v>0.76500000000000001</v>
      </c>
    </row>
    <row r="531" spans="1:8" x14ac:dyDescent="0.25">
      <c r="A531" s="1">
        <v>44050</v>
      </c>
      <c r="C531">
        <f>27.6037</f>
        <v>27.6037</v>
      </c>
      <c r="D531">
        <f>0.8485</f>
        <v>0.84850000000000003</v>
      </c>
      <c r="E531">
        <f>105.92</f>
        <v>105.92</v>
      </c>
      <c r="F531">
        <f>1.3384</f>
        <v>1.3384</v>
      </c>
      <c r="G531">
        <f>7.2796</f>
        <v>7.2796000000000003</v>
      </c>
      <c r="H531">
        <f>0.7662</f>
        <v>0.76619999999999999</v>
      </c>
    </row>
    <row r="532" spans="1:8" x14ac:dyDescent="0.25">
      <c r="A532" s="1">
        <v>44049</v>
      </c>
      <c r="C532">
        <f>27.6875</f>
        <v>27.6875</v>
      </c>
      <c r="D532">
        <f>0.842</f>
        <v>0.84199999999999997</v>
      </c>
      <c r="E532">
        <f>105.55</f>
        <v>105.55</v>
      </c>
      <c r="F532">
        <f>1.3307</f>
        <v>1.3307</v>
      </c>
      <c r="G532">
        <f>7.2534</f>
        <v>7.2534000000000001</v>
      </c>
      <c r="H532">
        <f>0.7609</f>
        <v>0.76090000000000002</v>
      </c>
    </row>
    <row r="533" spans="1:8" x14ac:dyDescent="0.25">
      <c r="A533" s="1">
        <v>44048</v>
      </c>
      <c r="C533">
        <f>27.6656</f>
        <v>27.665600000000001</v>
      </c>
      <c r="D533">
        <f>0.8429</f>
        <v>0.84289999999999998</v>
      </c>
      <c r="E533">
        <f>105.6</f>
        <v>105.6</v>
      </c>
      <c r="F533">
        <f>1.3266</f>
        <v>1.3266</v>
      </c>
      <c r="G533">
        <f>7.0477</f>
        <v>7.0476999999999999</v>
      </c>
      <c r="H533">
        <f>0.7625</f>
        <v>0.76249999999999996</v>
      </c>
    </row>
    <row r="534" spans="1:8" x14ac:dyDescent="0.25">
      <c r="A534" s="1">
        <v>44047</v>
      </c>
      <c r="C534">
        <f>27.7813</f>
        <v>27.781300000000002</v>
      </c>
      <c r="D534">
        <f>0.8473</f>
        <v>0.84730000000000005</v>
      </c>
      <c r="E534">
        <f>105.72</f>
        <v>105.72</v>
      </c>
      <c r="F534">
        <f>1.3319</f>
        <v>1.3319000000000001</v>
      </c>
      <c r="G534">
        <f>6.8974</f>
        <v>6.8974000000000002</v>
      </c>
      <c r="H534">
        <f>0.765</f>
        <v>0.76500000000000001</v>
      </c>
    </row>
    <row r="535" spans="1:8" x14ac:dyDescent="0.25">
      <c r="A535" s="1">
        <v>44046</v>
      </c>
      <c r="C535">
        <f>27.84</f>
        <v>27.84</v>
      </c>
      <c r="D535">
        <f>0.8502</f>
        <v>0.85019999999999996</v>
      </c>
      <c r="E535">
        <f>105.95</f>
        <v>105.95</v>
      </c>
      <c r="F535">
        <f>1.3391</f>
        <v>1.3391</v>
      </c>
      <c r="G535">
        <f>6.9512</f>
        <v>6.9512</v>
      </c>
      <c r="H535">
        <f>0.7648</f>
        <v>0.76480000000000004</v>
      </c>
    </row>
    <row r="536" spans="1:8" x14ac:dyDescent="0.25">
      <c r="A536" s="1">
        <v>44043</v>
      </c>
      <c r="C536">
        <f>27.7049</f>
        <v>27.704899999999999</v>
      </c>
      <c r="D536">
        <f>0.849</f>
        <v>0.84899999999999998</v>
      </c>
      <c r="E536">
        <f>105.83</f>
        <v>105.83</v>
      </c>
      <c r="F536">
        <f>1.3412</f>
        <v>1.3411999999999999</v>
      </c>
      <c r="G536">
        <f>6.9725</f>
        <v>6.9725000000000001</v>
      </c>
      <c r="H536">
        <f>0.7642</f>
        <v>0.76419999999999999</v>
      </c>
    </row>
    <row r="537" spans="1:8" x14ac:dyDescent="0.25">
      <c r="A537" s="1">
        <v>44042</v>
      </c>
      <c r="C537">
        <f>27.6685</f>
        <v>27.668500000000002</v>
      </c>
      <c r="D537">
        <f>0.8441</f>
        <v>0.84409999999999996</v>
      </c>
      <c r="E537">
        <f>104.73</f>
        <v>104.73</v>
      </c>
      <c r="F537">
        <f>1.3423</f>
        <v>1.3423</v>
      </c>
      <c r="G537">
        <f>6.9939</f>
        <v>6.9939</v>
      </c>
      <c r="H537">
        <f>0.7636</f>
        <v>0.76359999999999995</v>
      </c>
    </row>
    <row r="538" spans="1:8" x14ac:dyDescent="0.25">
      <c r="A538" s="1">
        <v>44041</v>
      </c>
      <c r="C538">
        <f>27.6034</f>
        <v>27.603400000000001</v>
      </c>
      <c r="D538">
        <f>0.848</f>
        <v>0.84799999999999998</v>
      </c>
      <c r="E538">
        <f>104.92</f>
        <v>104.92</v>
      </c>
      <c r="F538">
        <f>1.334</f>
        <v>1.3340000000000001</v>
      </c>
      <c r="G538">
        <f>6.9784</f>
        <v>6.9783999999999997</v>
      </c>
      <c r="H538">
        <f>0.7694</f>
        <v>0.76939999999999997</v>
      </c>
    </row>
    <row r="539" spans="1:8" x14ac:dyDescent="0.25">
      <c r="A539" s="1">
        <v>44040</v>
      </c>
      <c r="C539">
        <f>27.7201</f>
        <v>27.720099999999999</v>
      </c>
      <c r="D539">
        <f>0.8535</f>
        <v>0.85350000000000004</v>
      </c>
      <c r="E539">
        <f>105.09</f>
        <v>105.09</v>
      </c>
      <c r="F539">
        <f>1.338</f>
        <v>1.3380000000000001</v>
      </c>
      <c r="G539">
        <f>6.9352</f>
        <v>6.9352</v>
      </c>
      <c r="H539">
        <f>0.7733</f>
        <v>0.77329999999999999</v>
      </c>
    </row>
    <row r="540" spans="1:8" x14ac:dyDescent="0.25">
      <c r="A540" s="1">
        <v>44039</v>
      </c>
      <c r="C540">
        <f>27.6407</f>
        <v>27.640699999999999</v>
      </c>
      <c r="D540">
        <f>0.8509</f>
        <v>0.85089999999999999</v>
      </c>
      <c r="E540">
        <f>105.37</f>
        <v>105.37</v>
      </c>
      <c r="F540">
        <f>1.3356</f>
        <v>1.3355999999999999</v>
      </c>
      <c r="G540">
        <f>6.87</f>
        <v>6.87</v>
      </c>
      <c r="H540">
        <f>0.7763</f>
        <v>0.77629999999999999</v>
      </c>
    </row>
    <row r="541" spans="1:8" x14ac:dyDescent="0.25">
      <c r="A541" s="1">
        <v>44036</v>
      </c>
      <c r="C541">
        <f>27.8325</f>
        <v>27.8325</v>
      </c>
      <c r="D541">
        <f>0.8579</f>
        <v>0.8579</v>
      </c>
      <c r="E541">
        <f>106.14</f>
        <v>106.14</v>
      </c>
      <c r="F541">
        <f>1.3415</f>
        <v>1.3414999999999999</v>
      </c>
      <c r="G541">
        <f>6.8464</f>
        <v>6.8464</v>
      </c>
      <c r="H541">
        <f>0.7816</f>
        <v>0.78159999999999996</v>
      </c>
    </row>
    <row r="542" spans="1:8" x14ac:dyDescent="0.25">
      <c r="A542" s="1">
        <v>44035</v>
      </c>
      <c r="C542">
        <f>27.718</f>
        <v>27.718</v>
      </c>
      <c r="D542">
        <f>0.8623</f>
        <v>0.86229999999999996</v>
      </c>
      <c r="E542">
        <f>106.86</f>
        <v>106.86</v>
      </c>
      <c r="F542">
        <f>1.341</f>
        <v>1.341</v>
      </c>
      <c r="G542">
        <f>6.8441</f>
        <v>6.8441000000000001</v>
      </c>
      <c r="H542">
        <f>0.7849</f>
        <v>0.78490000000000004</v>
      </c>
    </row>
    <row r="543" spans="1:8" x14ac:dyDescent="0.25">
      <c r="A543" s="1">
        <v>44034</v>
      </c>
      <c r="C543">
        <f>27.8275</f>
        <v>27.827500000000001</v>
      </c>
      <c r="D543">
        <f>0.8643</f>
        <v>0.86429999999999996</v>
      </c>
      <c r="E543">
        <f>107.15</f>
        <v>107.15</v>
      </c>
      <c r="F543">
        <f>1.3417</f>
        <v>1.3416999999999999</v>
      </c>
      <c r="G543">
        <f>6.8511</f>
        <v>6.8510999999999997</v>
      </c>
      <c r="H543">
        <f>0.7853</f>
        <v>0.7853</v>
      </c>
    </row>
    <row r="544" spans="1:8" x14ac:dyDescent="0.25">
      <c r="A544" s="1">
        <v>44033</v>
      </c>
      <c r="C544">
        <f>27.7231</f>
        <v>27.723099999999999</v>
      </c>
      <c r="D544">
        <f>0.8675</f>
        <v>0.86750000000000005</v>
      </c>
      <c r="E544">
        <f>106.8</f>
        <v>106.8</v>
      </c>
      <c r="F544">
        <f>1.3459</f>
        <v>1.3459000000000001</v>
      </c>
      <c r="G544">
        <f>6.8236</f>
        <v>6.8235999999999999</v>
      </c>
      <c r="H544">
        <f>0.7854</f>
        <v>0.78539999999999999</v>
      </c>
    </row>
    <row r="545" spans="1:8" x14ac:dyDescent="0.25">
      <c r="A545" s="1">
        <v>44032</v>
      </c>
      <c r="C545">
        <f>27.5735</f>
        <v>27.573499999999999</v>
      </c>
      <c r="D545">
        <f>0.8735</f>
        <v>0.87350000000000005</v>
      </c>
      <c r="E545">
        <f>107.27</f>
        <v>107.27</v>
      </c>
      <c r="F545">
        <f>1.3535</f>
        <v>1.3534999999999999</v>
      </c>
      <c r="G545">
        <f>6.8582</f>
        <v>6.8582000000000001</v>
      </c>
      <c r="H545">
        <f>0.7898</f>
        <v>0.78979999999999995</v>
      </c>
    </row>
    <row r="546" spans="1:8" x14ac:dyDescent="0.25">
      <c r="A546" s="1">
        <v>44029</v>
      </c>
      <c r="C546">
        <f>27.4305</f>
        <v>27.430499999999999</v>
      </c>
      <c r="D546">
        <f>0.8749</f>
        <v>0.87490000000000001</v>
      </c>
      <c r="E546">
        <f>107.02</f>
        <v>107.02</v>
      </c>
      <c r="F546">
        <f>1.358</f>
        <v>1.3580000000000001</v>
      </c>
      <c r="G546">
        <f>6.8638</f>
        <v>6.8638000000000003</v>
      </c>
      <c r="H546">
        <f>0.7957</f>
        <v>0.79569999999999996</v>
      </c>
    </row>
    <row r="547" spans="1:8" x14ac:dyDescent="0.25">
      <c r="A547" s="1">
        <v>44028</v>
      </c>
      <c r="C547">
        <f>27.3267</f>
        <v>27.326699999999999</v>
      </c>
      <c r="D547">
        <f>0.8785</f>
        <v>0.87849999999999995</v>
      </c>
      <c r="E547">
        <f>107.27</f>
        <v>107.27</v>
      </c>
      <c r="F547">
        <f>1.3574</f>
        <v>1.3573999999999999</v>
      </c>
      <c r="G547">
        <f>6.8582</f>
        <v>6.8582000000000001</v>
      </c>
      <c r="H547">
        <f>0.7966</f>
        <v>0.79659999999999997</v>
      </c>
    </row>
    <row r="548" spans="1:8" x14ac:dyDescent="0.25">
      <c r="A548" s="1">
        <v>44027</v>
      </c>
      <c r="C548">
        <f>27.1938</f>
        <v>27.1938</v>
      </c>
      <c r="D548">
        <f>0.8763</f>
        <v>0.87629999999999997</v>
      </c>
      <c r="E548">
        <f>106.94</f>
        <v>106.94</v>
      </c>
      <c r="F548">
        <f>1.3509</f>
        <v>1.3509</v>
      </c>
      <c r="G548">
        <f>6.8565</f>
        <v>6.8564999999999996</v>
      </c>
      <c r="H548">
        <f>0.7944</f>
        <v>0.7944</v>
      </c>
    </row>
    <row r="549" spans="1:8" x14ac:dyDescent="0.25">
      <c r="A549" s="1">
        <v>44026</v>
      </c>
      <c r="C549">
        <f>27.0906</f>
        <v>27.090599999999998</v>
      </c>
      <c r="D549">
        <f>0.8772</f>
        <v>0.87719999999999998</v>
      </c>
      <c r="E549">
        <f>107.24</f>
        <v>107.24</v>
      </c>
      <c r="F549">
        <f>1.3615</f>
        <v>1.3614999999999999</v>
      </c>
      <c r="G549">
        <f>6.8652</f>
        <v>6.8651999999999997</v>
      </c>
      <c r="H549">
        <f>0.7966</f>
        <v>0.79659999999999997</v>
      </c>
    </row>
    <row r="550" spans="1:8" x14ac:dyDescent="0.25">
      <c r="A550" s="1">
        <v>44025</v>
      </c>
      <c r="C550">
        <f>27.115</f>
        <v>27.114999999999998</v>
      </c>
      <c r="D550">
        <f>0.8816</f>
        <v>0.88160000000000005</v>
      </c>
      <c r="E550">
        <f>107.29</f>
        <v>107.29</v>
      </c>
      <c r="F550">
        <f>1.3609</f>
        <v>1.3609</v>
      </c>
      <c r="G550">
        <f>6.8603</f>
        <v>6.8602999999999996</v>
      </c>
      <c r="H550">
        <f>0.7966</f>
        <v>0.79659999999999997</v>
      </c>
    </row>
    <row r="551" spans="1:8" x14ac:dyDescent="0.25">
      <c r="A551" s="1">
        <v>44022</v>
      </c>
      <c r="C551">
        <f>27.069</f>
        <v>27.068999999999999</v>
      </c>
      <c r="D551">
        <f>0.885</f>
        <v>0.88500000000000001</v>
      </c>
      <c r="E551">
        <f>106.93</f>
        <v>106.93</v>
      </c>
      <c r="F551">
        <f>1.3592</f>
        <v>1.3592</v>
      </c>
      <c r="G551">
        <f>6.8659</f>
        <v>6.8658999999999999</v>
      </c>
      <c r="H551">
        <f>0.7923</f>
        <v>0.7923</v>
      </c>
    </row>
    <row r="552" spans="1:8" x14ac:dyDescent="0.25">
      <c r="A552" s="1">
        <v>44021</v>
      </c>
      <c r="C552">
        <f>26.9255</f>
        <v>26.9255</v>
      </c>
      <c r="D552">
        <f>0.8861</f>
        <v>0.8861</v>
      </c>
      <c r="E552">
        <f>107.2</f>
        <v>107.2</v>
      </c>
      <c r="F552">
        <f>1.3586</f>
        <v>1.3586</v>
      </c>
      <c r="G552">
        <f>6.8618</f>
        <v>6.8617999999999997</v>
      </c>
      <c r="H552">
        <f>0.7933</f>
        <v>0.79330000000000001</v>
      </c>
    </row>
    <row r="553" spans="1:8" x14ac:dyDescent="0.25">
      <c r="A553" s="1">
        <v>44020</v>
      </c>
      <c r="C553">
        <f>26.9181</f>
        <v>26.918099999999999</v>
      </c>
      <c r="D553">
        <f>0.8826</f>
        <v>0.88260000000000005</v>
      </c>
      <c r="E553">
        <f>107.26</f>
        <v>107.26</v>
      </c>
      <c r="F553">
        <f>1.3512</f>
        <v>1.3512</v>
      </c>
      <c r="G553">
        <f>6.8589</f>
        <v>6.8589000000000002</v>
      </c>
      <c r="H553">
        <f>0.793</f>
        <v>0.79300000000000004</v>
      </c>
    </row>
    <row r="554" spans="1:8" x14ac:dyDescent="0.25">
      <c r="A554" s="1">
        <v>44019</v>
      </c>
      <c r="C554">
        <f>26.8644</f>
        <v>26.8644</v>
      </c>
      <c r="D554">
        <f>0.8869</f>
        <v>0.88690000000000002</v>
      </c>
      <c r="E554">
        <f>107.52</f>
        <v>107.52</v>
      </c>
      <c r="F554">
        <f>1.3603</f>
        <v>1.3603000000000001</v>
      </c>
      <c r="G554">
        <f>6.8588</f>
        <v>6.8587999999999996</v>
      </c>
      <c r="H554">
        <f>0.7972</f>
        <v>0.79720000000000002</v>
      </c>
    </row>
    <row r="555" spans="1:8" x14ac:dyDescent="0.25">
      <c r="A555" s="1">
        <v>44018</v>
      </c>
      <c r="C555">
        <f>26.9299</f>
        <v>26.9299</v>
      </c>
      <c r="D555">
        <f>0.8843</f>
        <v>0.88429999999999997</v>
      </c>
      <c r="E555">
        <f>107.35</f>
        <v>107.35</v>
      </c>
      <c r="F555">
        <f>1.3539</f>
        <v>1.3539000000000001</v>
      </c>
      <c r="G555">
        <f>6.8614</f>
        <v>6.8613999999999997</v>
      </c>
      <c r="H555">
        <f>0.8005</f>
        <v>0.80049999999999999</v>
      </c>
    </row>
    <row r="556" spans="1:8" x14ac:dyDescent="0.25">
      <c r="A556" s="1">
        <v>44015</v>
      </c>
      <c r="C556">
        <f>27.188</f>
        <v>27.187999999999999</v>
      </c>
      <c r="D556">
        <f>0.8892</f>
        <v>0.88919999999999999</v>
      </c>
      <c r="E556">
        <f>107.51</f>
        <v>107.51</v>
      </c>
      <c r="F556">
        <f>1.3547</f>
        <v>1.3547</v>
      </c>
      <c r="G556">
        <f>6.8623</f>
        <v>6.8623000000000003</v>
      </c>
      <c r="H556">
        <f>0.8012</f>
        <v>0.80120000000000002</v>
      </c>
    </row>
    <row r="557" spans="1:8" x14ac:dyDescent="0.25">
      <c r="A557" s="1">
        <v>44014</v>
      </c>
      <c r="C557">
        <f>27.1838</f>
        <v>27.183800000000002</v>
      </c>
      <c r="D557">
        <f>0.8897</f>
        <v>0.88970000000000005</v>
      </c>
      <c r="E557">
        <f>107.5</f>
        <v>107.5</v>
      </c>
      <c r="F557">
        <f>1.3564</f>
        <v>1.3564000000000001</v>
      </c>
      <c r="G557">
        <f>6.8519</f>
        <v>6.8518999999999997</v>
      </c>
      <c r="H557">
        <f>0.802</f>
        <v>0.80200000000000005</v>
      </c>
    </row>
    <row r="558" spans="1:8" x14ac:dyDescent="0.25">
      <c r="A558" s="1">
        <v>44013</v>
      </c>
      <c r="C558">
        <f>26.835</f>
        <v>26.835000000000001</v>
      </c>
      <c r="D558">
        <f>0.8887</f>
        <v>0.88870000000000005</v>
      </c>
      <c r="E558">
        <f>107.47</f>
        <v>107.47</v>
      </c>
      <c r="F558">
        <f>1.3587</f>
        <v>1.3587</v>
      </c>
      <c r="G558">
        <f>6.8483</f>
        <v>6.8483000000000001</v>
      </c>
      <c r="H558">
        <f>0.8016</f>
        <v>0.80159999999999998</v>
      </c>
    </row>
    <row r="559" spans="1:8" x14ac:dyDescent="0.25">
      <c r="A559" s="1">
        <v>44012</v>
      </c>
      <c r="C559">
        <f>26.7088</f>
        <v>26.7088</v>
      </c>
      <c r="D559">
        <f>0.8902</f>
        <v>0.89019999999999999</v>
      </c>
      <c r="E559">
        <f>107.93</f>
        <v>107.93</v>
      </c>
      <c r="F559">
        <f>1.3576</f>
        <v>1.3575999999999999</v>
      </c>
      <c r="G559">
        <f>6.8529</f>
        <v>6.8529</v>
      </c>
      <c r="H559">
        <f>0.8064</f>
        <v>0.80640000000000001</v>
      </c>
    </row>
    <row r="560" spans="1:8" x14ac:dyDescent="0.25">
      <c r="A560" s="1">
        <v>44011</v>
      </c>
      <c r="C560" t="e">
        <f>NA()</f>
        <v>#N/A</v>
      </c>
      <c r="D560">
        <f>0.8895</f>
        <v>0.88949999999999996</v>
      </c>
      <c r="E560">
        <f>107.58</f>
        <v>107.58</v>
      </c>
      <c r="F560">
        <f>1.3659</f>
        <v>1.3658999999999999</v>
      </c>
      <c r="G560">
        <f>6.8549</f>
        <v>6.8548999999999998</v>
      </c>
      <c r="H560">
        <f>0.8131</f>
        <v>0.81310000000000004</v>
      </c>
    </row>
    <row r="561" spans="1:8" x14ac:dyDescent="0.25">
      <c r="A561" s="1">
        <v>44008</v>
      </c>
      <c r="C561">
        <f>26.6964</f>
        <v>26.696400000000001</v>
      </c>
      <c r="D561">
        <f>0.8914</f>
        <v>0.89139999999999997</v>
      </c>
      <c r="E561">
        <f>107.22</f>
        <v>107.22</v>
      </c>
      <c r="F561">
        <f>1.3688</f>
        <v>1.3688</v>
      </c>
      <c r="G561">
        <f>6.86</f>
        <v>6.86</v>
      </c>
      <c r="H561">
        <f>0.8106</f>
        <v>0.81059999999999999</v>
      </c>
    </row>
    <row r="562" spans="1:8" x14ac:dyDescent="0.25">
      <c r="A562" s="1">
        <v>44007</v>
      </c>
      <c r="C562">
        <f>26.7244</f>
        <v>26.724399999999999</v>
      </c>
      <c r="D562">
        <f>0.8915</f>
        <v>0.89149999999999996</v>
      </c>
      <c r="E562">
        <f>107.19</f>
        <v>107.19</v>
      </c>
      <c r="F562">
        <f>1.3638</f>
        <v>1.3637999999999999</v>
      </c>
      <c r="G562">
        <f>6.8552</f>
        <v>6.8552</v>
      </c>
      <c r="H562">
        <f>0.8052</f>
        <v>0.80520000000000003</v>
      </c>
    </row>
    <row r="563" spans="1:8" x14ac:dyDescent="0.25">
      <c r="A563" s="1">
        <v>44006</v>
      </c>
      <c r="C563">
        <f>26.6384</f>
        <v>26.638400000000001</v>
      </c>
      <c r="D563">
        <f>0.8888</f>
        <v>0.88880000000000003</v>
      </c>
      <c r="E563">
        <f>107.04</f>
        <v>107.04</v>
      </c>
      <c r="F563">
        <f>1.3638</f>
        <v>1.3637999999999999</v>
      </c>
      <c r="G563">
        <f>6.8559</f>
        <v>6.8559000000000001</v>
      </c>
      <c r="H563">
        <f>0.8051</f>
        <v>0.80510000000000004</v>
      </c>
    </row>
    <row r="564" spans="1:8" x14ac:dyDescent="0.25">
      <c r="A564" s="1">
        <v>44005</v>
      </c>
      <c r="C564">
        <f>26.5723</f>
        <v>26.572299999999998</v>
      </c>
      <c r="D564">
        <f>0.8843</f>
        <v>0.88429999999999997</v>
      </c>
      <c r="E564">
        <f>106.52</f>
        <v>106.52</v>
      </c>
      <c r="F564">
        <f>1.355</f>
        <v>1.355</v>
      </c>
      <c r="G564">
        <f>6.8507</f>
        <v>6.8506999999999998</v>
      </c>
      <c r="H564">
        <f>0.7987</f>
        <v>0.79869999999999997</v>
      </c>
    </row>
    <row r="565" spans="1:8" x14ac:dyDescent="0.25">
      <c r="A565" s="1">
        <v>44004</v>
      </c>
      <c r="C565">
        <f>26.67</f>
        <v>26.67</v>
      </c>
      <c r="D565">
        <f>0.888</f>
        <v>0.88800000000000001</v>
      </c>
      <c r="E565">
        <f>106.91</f>
        <v>106.91</v>
      </c>
      <c r="F565">
        <f>1.3522</f>
        <v>1.3522000000000001</v>
      </c>
      <c r="G565">
        <f>6.8477</f>
        <v>6.8476999999999997</v>
      </c>
      <c r="H565">
        <f>0.802</f>
        <v>0.80200000000000005</v>
      </c>
    </row>
    <row r="566" spans="1:8" x14ac:dyDescent="0.25">
      <c r="A566" s="1">
        <v>44001</v>
      </c>
      <c r="C566">
        <f>26.7221</f>
        <v>26.722100000000001</v>
      </c>
      <c r="D566">
        <f>0.8947</f>
        <v>0.89470000000000005</v>
      </c>
      <c r="E566">
        <f>106.87</f>
        <v>106.87</v>
      </c>
      <c r="F566">
        <f>1.3607</f>
        <v>1.3607</v>
      </c>
      <c r="G566">
        <f>6.8525</f>
        <v>6.8525</v>
      </c>
      <c r="H566">
        <f>0.8098</f>
        <v>0.80979999999999996</v>
      </c>
    </row>
    <row r="567" spans="1:8" x14ac:dyDescent="0.25">
      <c r="A567" s="1">
        <v>44000</v>
      </c>
      <c r="C567">
        <f>26.7255</f>
        <v>26.7255</v>
      </c>
      <c r="D567">
        <f>0.8925</f>
        <v>0.89249999999999996</v>
      </c>
      <c r="E567">
        <f>106.97</f>
        <v>106.97</v>
      </c>
      <c r="F567">
        <f>1.36</f>
        <v>1.36</v>
      </c>
      <c r="G567">
        <f>6.8569</f>
        <v>6.8569000000000004</v>
      </c>
      <c r="H567">
        <f>0.805</f>
        <v>0.80500000000000005</v>
      </c>
    </row>
    <row r="568" spans="1:8" x14ac:dyDescent="0.25">
      <c r="A568" s="1">
        <v>43999</v>
      </c>
      <c r="C568">
        <f>26.7753</f>
        <v>26.775300000000001</v>
      </c>
      <c r="D568">
        <f>0.8894</f>
        <v>0.88939999999999997</v>
      </c>
      <c r="E568">
        <f>107.01</f>
        <v>107.01</v>
      </c>
      <c r="F568">
        <f>1.3565</f>
        <v>1.3565</v>
      </c>
      <c r="G568">
        <f>6.8455</f>
        <v>6.8455000000000004</v>
      </c>
      <c r="H568">
        <f>0.7965</f>
        <v>0.79649999999999999</v>
      </c>
    </row>
    <row r="569" spans="1:8" x14ac:dyDescent="0.25">
      <c r="A569" s="1">
        <v>43998</v>
      </c>
      <c r="C569">
        <f>26.7432</f>
        <v>26.743200000000002</v>
      </c>
      <c r="D569">
        <f>0.8878</f>
        <v>0.88780000000000003</v>
      </c>
      <c r="E569">
        <f>107.32</f>
        <v>107.32</v>
      </c>
      <c r="F569">
        <f>1.3541</f>
        <v>1.3541000000000001</v>
      </c>
      <c r="G569">
        <f>6.8415</f>
        <v>6.8414999999999999</v>
      </c>
      <c r="H569">
        <f>0.7954</f>
        <v>0.7954</v>
      </c>
    </row>
    <row r="570" spans="1:8" x14ac:dyDescent="0.25">
      <c r="A570" s="1">
        <v>43997</v>
      </c>
      <c r="C570">
        <f>26.7826</f>
        <v>26.782599999999999</v>
      </c>
      <c r="D570">
        <f>0.8832</f>
        <v>0.88319999999999999</v>
      </c>
      <c r="E570">
        <f>107.33</f>
        <v>107.33</v>
      </c>
      <c r="F570">
        <f>1.3572</f>
        <v>1.3572</v>
      </c>
      <c r="G570">
        <f>6.8143</f>
        <v>6.8143000000000002</v>
      </c>
      <c r="H570">
        <f>0.7933</f>
        <v>0.79330000000000001</v>
      </c>
    </row>
    <row r="571" spans="1:8" x14ac:dyDescent="0.25">
      <c r="A571" s="1">
        <v>43994</v>
      </c>
      <c r="C571">
        <f>26.7514</f>
        <v>26.7514</v>
      </c>
      <c r="D571">
        <f>0.8884</f>
        <v>0.88839999999999997</v>
      </c>
      <c r="E571">
        <f>107.38</f>
        <v>107.38</v>
      </c>
      <c r="F571">
        <f>1.3589</f>
        <v>1.3589</v>
      </c>
      <c r="G571">
        <f>6.814</f>
        <v>6.8140000000000001</v>
      </c>
      <c r="H571">
        <f>0.7975</f>
        <v>0.79749999999999999</v>
      </c>
    </row>
    <row r="572" spans="1:8" x14ac:dyDescent="0.25">
      <c r="A572" s="1">
        <v>43993</v>
      </c>
      <c r="C572">
        <f>26.6014</f>
        <v>26.601400000000002</v>
      </c>
      <c r="D572">
        <f>0.8851</f>
        <v>0.8851</v>
      </c>
      <c r="E572">
        <f>106.87</f>
        <v>106.87</v>
      </c>
      <c r="F572">
        <f>1.3629</f>
        <v>1.3629</v>
      </c>
      <c r="G572">
        <f>6.8416</f>
        <v>6.8415999999999997</v>
      </c>
      <c r="H572">
        <f>0.7935</f>
        <v>0.79349999999999998</v>
      </c>
    </row>
    <row r="573" spans="1:8" x14ac:dyDescent="0.25">
      <c r="A573" s="1">
        <v>43992</v>
      </c>
      <c r="C573">
        <f>26.7094</f>
        <v>26.709399999999999</v>
      </c>
      <c r="D573">
        <f>0.8792</f>
        <v>0.87919999999999998</v>
      </c>
      <c r="E573">
        <f>107.12</f>
        <v>107.12</v>
      </c>
      <c r="F573">
        <f>1.3412</f>
        <v>1.3411999999999999</v>
      </c>
      <c r="G573">
        <f>6.7765</f>
        <v>6.7765000000000004</v>
      </c>
      <c r="H573">
        <f>0.7845</f>
        <v>0.78449999999999998</v>
      </c>
    </row>
    <row r="574" spans="1:8" x14ac:dyDescent="0.25">
      <c r="A574" s="1">
        <v>43991</v>
      </c>
      <c r="C574">
        <f>26.5209</f>
        <v>26.520900000000001</v>
      </c>
      <c r="D574">
        <f>0.882</f>
        <v>0.88200000000000001</v>
      </c>
      <c r="E574">
        <f>107.76</f>
        <v>107.76</v>
      </c>
      <c r="F574">
        <f>1.3417</f>
        <v>1.3416999999999999</v>
      </c>
      <c r="G574">
        <f>6.797</f>
        <v>6.7969999999999997</v>
      </c>
      <c r="H574">
        <f>0.7857</f>
        <v>0.78569999999999995</v>
      </c>
    </row>
    <row r="575" spans="1:8" x14ac:dyDescent="0.25">
      <c r="A575" s="1">
        <v>43990</v>
      </c>
      <c r="C575">
        <f>26.4769</f>
        <v>26.476900000000001</v>
      </c>
      <c r="D575">
        <f>0.8854</f>
        <v>0.88539999999999996</v>
      </c>
      <c r="E575">
        <f>108.43</f>
        <v>108.43</v>
      </c>
      <c r="F575">
        <f>1.3382</f>
        <v>1.3382000000000001</v>
      </c>
      <c r="G575">
        <f>6.7876</f>
        <v>6.7876000000000003</v>
      </c>
      <c r="H575">
        <f>0.7859</f>
        <v>0.78590000000000004</v>
      </c>
    </row>
    <row r="576" spans="1:8" x14ac:dyDescent="0.25">
      <c r="A576" s="1">
        <v>43987</v>
      </c>
      <c r="C576">
        <f>26.5606</f>
        <v>26.560600000000001</v>
      </c>
      <c r="D576">
        <f>0.8856</f>
        <v>0.88560000000000005</v>
      </c>
      <c r="E576">
        <f>109.59</f>
        <v>109.59</v>
      </c>
      <c r="F576">
        <f>1.3422</f>
        <v>1.3422000000000001</v>
      </c>
      <c r="G576">
        <f>6.77</f>
        <v>6.77</v>
      </c>
      <c r="H576">
        <f>0.7894</f>
        <v>0.78939999999999999</v>
      </c>
    </row>
    <row r="577" spans="1:8" x14ac:dyDescent="0.25">
      <c r="A577" s="1">
        <v>43986</v>
      </c>
      <c r="C577">
        <f>26.6501</f>
        <v>26.650099999999998</v>
      </c>
      <c r="D577">
        <f>0.8821</f>
        <v>0.8821</v>
      </c>
      <c r="E577">
        <f>109.15</f>
        <v>109.15</v>
      </c>
      <c r="F577">
        <f>1.35</f>
        <v>1.35</v>
      </c>
      <c r="G577">
        <f>6.7534</f>
        <v>6.7534000000000001</v>
      </c>
      <c r="H577">
        <f>0.7939</f>
        <v>0.79390000000000005</v>
      </c>
    </row>
    <row r="578" spans="1:8" x14ac:dyDescent="0.25">
      <c r="A578" s="1">
        <v>43985</v>
      </c>
      <c r="C578">
        <f>26.7813</f>
        <v>26.781300000000002</v>
      </c>
      <c r="D578">
        <f>0.8902</f>
        <v>0.89019999999999999</v>
      </c>
      <c r="E578">
        <f>108.9</f>
        <v>108.9</v>
      </c>
      <c r="F578">
        <f>1.3495</f>
        <v>1.3494999999999999</v>
      </c>
      <c r="G578">
        <f>6.7404</f>
        <v>6.7404000000000002</v>
      </c>
      <c r="H578">
        <f>0.7952</f>
        <v>0.79520000000000002</v>
      </c>
    </row>
    <row r="579" spans="1:8" x14ac:dyDescent="0.25">
      <c r="A579" s="1">
        <v>43984</v>
      </c>
      <c r="C579">
        <f>26.8612</f>
        <v>26.8612</v>
      </c>
      <c r="D579">
        <f>0.8953</f>
        <v>0.89529999999999998</v>
      </c>
      <c r="E579">
        <f>108.68</f>
        <v>108.68</v>
      </c>
      <c r="F579">
        <f>1.3519</f>
        <v>1.3519000000000001</v>
      </c>
      <c r="G579">
        <f>6.7144</f>
        <v>6.7144000000000004</v>
      </c>
      <c r="H579">
        <f>0.7968</f>
        <v>0.79679999999999995</v>
      </c>
    </row>
    <row r="580" spans="1:8" x14ac:dyDescent="0.25">
      <c r="A580" s="1">
        <v>43983</v>
      </c>
      <c r="C580">
        <f>26.8051</f>
        <v>26.805099999999999</v>
      </c>
      <c r="D580">
        <f>0.8981</f>
        <v>0.89810000000000001</v>
      </c>
      <c r="E580">
        <f>107.59</f>
        <v>107.59</v>
      </c>
      <c r="F580">
        <f>1.3573</f>
        <v>1.3573</v>
      </c>
      <c r="G580">
        <f>6.8117</f>
        <v>6.8117000000000001</v>
      </c>
      <c r="H580">
        <f>0.8006</f>
        <v>0.80059999999999998</v>
      </c>
    </row>
    <row r="581" spans="1:8" x14ac:dyDescent="0.25">
      <c r="A581" s="1">
        <v>43980</v>
      </c>
      <c r="C581">
        <f>26.858</f>
        <v>26.858000000000001</v>
      </c>
      <c r="D581">
        <f>0.9006</f>
        <v>0.90059999999999996</v>
      </c>
      <c r="E581">
        <f>107.83</f>
        <v>107.83</v>
      </c>
      <c r="F581">
        <f>1.378</f>
        <v>1.3779999999999999</v>
      </c>
      <c r="G581">
        <f>6.824</f>
        <v>6.8239999999999998</v>
      </c>
      <c r="H581">
        <f>0.8095</f>
        <v>0.8095</v>
      </c>
    </row>
    <row r="582" spans="1:8" x14ac:dyDescent="0.25">
      <c r="A582" s="1">
        <v>43979</v>
      </c>
      <c r="C582">
        <f>26.8736</f>
        <v>26.8736</v>
      </c>
      <c r="D582">
        <f>0.9027</f>
        <v>0.90269999999999995</v>
      </c>
      <c r="E582">
        <f>107.65</f>
        <v>107.65</v>
      </c>
      <c r="F582">
        <f>1.3763</f>
        <v>1.3763000000000001</v>
      </c>
      <c r="G582">
        <f>6.8137</f>
        <v>6.8136999999999999</v>
      </c>
      <c r="H582">
        <f>0.8116</f>
        <v>0.81159999999999999</v>
      </c>
    </row>
    <row r="583" spans="1:8" x14ac:dyDescent="0.25">
      <c r="A583" s="1">
        <v>43978</v>
      </c>
      <c r="C583">
        <f>26.9695</f>
        <v>26.9695</v>
      </c>
      <c r="D583">
        <f>0.9083</f>
        <v>0.9083</v>
      </c>
      <c r="E583">
        <f>107.72</f>
        <v>107.72</v>
      </c>
      <c r="F583">
        <f>1.3752</f>
        <v>1.3752</v>
      </c>
      <c r="G583">
        <f>6.7744</f>
        <v>6.7744</v>
      </c>
      <c r="H583">
        <f>0.8157</f>
        <v>0.81569999999999998</v>
      </c>
    </row>
    <row r="584" spans="1:8" x14ac:dyDescent="0.25">
      <c r="A584" s="1">
        <v>43977</v>
      </c>
      <c r="C584">
        <f>26.9193</f>
        <v>26.9193</v>
      </c>
      <c r="D584">
        <f>0.9106</f>
        <v>0.91059999999999997</v>
      </c>
      <c r="E584">
        <f>107.54</f>
        <v>107.54</v>
      </c>
      <c r="F584">
        <f>1.3777</f>
        <v>1.3776999999999999</v>
      </c>
      <c r="G584">
        <f>6.7293</f>
        <v>6.7293000000000003</v>
      </c>
      <c r="H584">
        <f>0.8107</f>
        <v>0.81069999999999998</v>
      </c>
    </row>
    <row r="585" spans="1:8" x14ac:dyDescent="0.25">
      <c r="A585" s="1">
        <v>43976</v>
      </c>
      <c r="C585">
        <f>26.8675</f>
        <v>26.8675</v>
      </c>
      <c r="D585">
        <f>0.9176</f>
        <v>0.91759999999999997</v>
      </c>
      <c r="E585">
        <f>107.71</f>
        <v>107.71</v>
      </c>
      <c r="F585">
        <f>1.3985</f>
        <v>1.3985000000000001</v>
      </c>
      <c r="G585">
        <f>6.812</f>
        <v>6.8120000000000003</v>
      </c>
      <c r="H585">
        <f>0.8204</f>
        <v>0.82040000000000002</v>
      </c>
    </row>
    <row r="586" spans="1:8" x14ac:dyDescent="0.25">
      <c r="A586" s="1">
        <v>43973</v>
      </c>
      <c r="C586">
        <f>26.7891</f>
        <v>26.789100000000001</v>
      </c>
      <c r="D586">
        <f>0.9172</f>
        <v>0.91720000000000002</v>
      </c>
      <c r="E586">
        <f>107.64</f>
        <v>107.64</v>
      </c>
      <c r="F586">
        <f>1.3996</f>
        <v>1.3996</v>
      </c>
      <c r="G586">
        <f>6.8138</f>
        <v>6.8137999999999996</v>
      </c>
      <c r="H586">
        <f>0.8221</f>
        <v>0.82210000000000005</v>
      </c>
    </row>
    <row r="587" spans="1:8" x14ac:dyDescent="0.25">
      <c r="A587" s="1">
        <v>43972</v>
      </c>
      <c r="C587">
        <f>26.6588</f>
        <v>26.658799999999999</v>
      </c>
      <c r="D587">
        <f>0.9132</f>
        <v>0.91320000000000001</v>
      </c>
      <c r="E587">
        <f>107.61</f>
        <v>107.61</v>
      </c>
      <c r="F587">
        <f>1.3955</f>
        <v>1.3955</v>
      </c>
      <c r="G587">
        <f>6.7947</f>
        <v>6.7946999999999997</v>
      </c>
      <c r="H587">
        <f>0.8181</f>
        <v>0.81810000000000005</v>
      </c>
    </row>
    <row r="588" spans="1:8" x14ac:dyDescent="0.25">
      <c r="A588" s="1">
        <v>43971</v>
      </c>
      <c r="C588">
        <f>26.5642</f>
        <v>26.5642</v>
      </c>
      <c r="D588">
        <f>0.9108</f>
        <v>0.91080000000000005</v>
      </c>
      <c r="E588">
        <f>107.53</f>
        <v>107.53</v>
      </c>
      <c r="F588">
        <f>1.3901</f>
        <v>1.3900999999999999</v>
      </c>
      <c r="G588">
        <f>6.7907</f>
        <v>6.7907000000000002</v>
      </c>
      <c r="H588">
        <f>0.8171</f>
        <v>0.81710000000000005</v>
      </c>
    </row>
    <row r="589" spans="1:8" x14ac:dyDescent="0.25">
      <c r="A589" s="1">
        <v>43970</v>
      </c>
      <c r="C589">
        <f>26.5475</f>
        <v>26.547499999999999</v>
      </c>
      <c r="D589">
        <f>0.9155</f>
        <v>0.91549999999999998</v>
      </c>
      <c r="E589">
        <f>107.71</f>
        <v>107.71</v>
      </c>
      <c r="F589">
        <f>1.3944</f>
        <v>1.3944000000000001</v>
      </c>
      <c r="G589">
        <f>6.7773</f>
        <v>6.7773000000000003</v>
      </c>
      <c r="H589">
        <f>0.8162</f>
        <v>0.81620000000000004</v>
      </c>
    </row>
    <row r="590" spans="1:8" x14ac:dyDescent="0.25">
      <c r="A590" s="1">
        <v>43969</v>
      </c>
      <c r="C590">
        <f>26.5657</f>
        <v>26.5657</v>
      </c>
      <c r="D590">
        <f>0.9162</f>
        <v>0.91620000000000001</v>
      </c>
      <c r="E590">
        <f>107.34</f>
        <v>107.34</v>
      </c>
      <c r="F590">
        <f>1.3937</f>
        <v>1.3936999999999999</v>
      </c>
      <c r="G590">
        <f>6.8843</f>
        <v>6.8842999999999996</v>
      </c>
      <c r="H590">
        <f>0.82</f>
        <v>0.82</v>
      </c>
    </row>
    <row r="591" spans="1:8" x14ac:dyDescent="0.25">
      <c r="A591" s="1">
        <v>43966</v>
      </c>
      <c r="C591">
        <f>26.6785</f>
        <v>26.6785</v>
      </c>
      <c r="D591">
        <f>0.9242</f>
        <v>0.92420000000000002</v>
      </c>
      <c r="E591">
        <f>107.06</f>
        <v>107.06</v>
      </c>
      <c r="F591">
        <f>1.4109</f>
        <v>1.4109</v>
      </c>
      <c r="G591">
        <f>6.9013</f>
        <v>6.9013</v>
      </c>
      <c r="H591">
        <f>0.8262</f>
        <v>0.82620000000000005</v>
      </c>
    </row>
    <row r="592" spans="1:8" x14ac:dyDescent="0.25">
      <c r="A592" s="1">
        <v>43965</v>
      </c>
      <c r="C592">
        <f>26.6812</f>
        <v>26.6812</v>
      </c>
      <c r="D592">
        <f>0.9255</f>
        <v>0.92549999999999999</v>
      </c>
      <c r="E592">
        <f>107.25</f>
        <v>107.25</v>
      </c>
      <c r="F592">
        <f>1.405</f>
        <v>1.405</v>
      </c>
      <c r="G592">
        <f>6.9218</f>
        <v>6.9218000000000002</v>
      </c>
      <c r="H592">
        <f>0.8175</f>
        <v>0.8175</v>
      </c>
    </row>
    <row r="593" spans="1:8" x14ac:dyDescent="0.25">
      <c r="A593" s="1">
        <v>43964</v>
      </c>
      <c r="C593">
        <f>26.7113</f>
        <v>26.711300000000001</v>
      </c>
      <c r="D593">
        <f>0.9243</f>
        <v>0.92430000000000001</v>
      </c>
      <c r="E593">
        <f>107.03</f>
        <v>107.03</v>
      </c>
      <c r="F593">
        <f>1.4101</f>
        <v>1.4100999999999999</v>
      </c>
      <c r="G593">
        <f>6.9743</f>
        <v>6.9743000000000004</v>
      </c>
      <c r="H593">
        <f>0.8172</f>
        <v>0.81720000000000004</v>
      </c>
    </row>
    <row r="594" spans="1:8" x14ac:dyDescent="0.25">
      <c r="A594" s="1">
        <v>43963</v>
      </c>
      <c r="C594">
        <f>26.7359</f>
        <v>26.735900000000001</v>
      </c>
      <c r="D594">
        <f>0.9218</f>
        <v>0.92179999999999995</v>
      </c>
      <c r="E594">
        <f>107.14</f>
        <v>107.14</v>
      </c>
      <c r="F594">
        <f>1.4078</f>
        <v>1.4077999999999999</v>
      </c>
      <c r="G594">
        <f>6.9971</f>
        <v>6.9970999999999997</v>
      </c>
      <c r="H594">
        <f>0.8157</f>
        <v>0.81569999999999998</v>
      </c>
    </row>
    <row r="595" spans="1:8" x14ac:dyDescent="0.25">
      <c r="A595" s="1">
        <v>43962</v>
      </c>
      <c r="C595" t="e">
        <f>NA()</f>
        <v>#N/A</v>
      </c>
      <c r="D595">
        <f>0.9253</f>
        <v>0.92530000000000001</v>
      </c>
      <c r="E595">
        <f>107.66</f>
        <v>107.66</v>
      </c>
      <c r="F595">
        <f>1.4007</f>
        <v>1.4007000000000001</v>
      </c>
      <c r="G595">
        <f>7.073</f>
        <v>7.0730000000000004</v>
      </c>
      <c r="H595">
        <f>0.8108</f>
        <v>0.81079999999999997</v>
      </c>
    </row>
    <row r="596" spans="1:8" x14ac:dyDescent="0.25">
      <c r="A596" s="1">
        <v>43959</v>
      </c>
      <c r="C596">
        <f>26.8375</f>
        <v>26.837499999999999</v>
      </c>
      <c r="D596">
        <f>0.9225</f>
        <v>0.92249999999999999</v>
      </c>
      <c r="E596">
        <f>106.65</f>
        <v>106.65</v>
      </c>
      <c r="F596">
        <f>1.3927</f>
        <v>1.3927</v>
      </c>
      <c r="G596">
        <f>7.0875</f>
        <v>7.0875000000000004</v>
      </c>
      <c r="H596">
        <f>0.8061</f>
        <v>0.80610000000000004</v>
      </c>
    </row>
    <row r="597" spans="1:8" x14ac:dyDescent="0.25">
      <c r="A597" s="1">
        <v>43958</v>
      </c>
      <c r="C597">
        <f>26.8963</f>
        <v>26.8963</v>
      </c>
      <c r="D597">
        <f>0.9231</f>
        <v>0.92310000000000003</v>
      </c>
      <c r="E597">
        <f>106.28</f>
        <v>106.28</v>
      </c>
      <c r="F597">
        <f>1.3973</f>
        <v>1.3973</v>
      </c>
      <c r="G597">
        <f>7.1167</f>
        <v>7.1166999999999998</v>
      </c>
      <c r="H597">
        <f>0.8089</f>
        <v>0.80889999999999995</v>
      </c>
    </row>
    <row r="598" spans="1:8" x14ac:dyDescent="0.25">
      <c r="A598" s="1">
        <v>43957</v>
      </c>
      <c r="C598">
        <f>26.8206</f>
        <v>26.820599999999999</v>
      </c>
      <c r="D598">
        <f>0.9264</f>
        <v>0.9264</v>
      </c>
      <c r="E598">
        <f>106.12</f>
        <v>106.12</v>
      </c>
      <c r="F598">
        <f>1.4146</f>
        <v>1.4146000000000001</v>
      </c>
      <c r="G598">
        <f>7.1914</f>
        <v>7.1913999999999998</v>
      </c>
      <c r="H598">
        <f>0.81</f>
        <v>0.81</v>
      </c>
    </row>
    <row r="599" spans="1:8" x14ac:dyDescent="0.25">
      <c r="A599" s="1">
        <v>43956</v>
      </c>
      <c r="C599">
        <f>26.9234</f>
        <v>26.923400000000001</v>
      </c>
      <c r="D599">
        <f>0.9227</f>
        <v>0.92269999999999996</v>
      </c>
      <c r="E599">
        <f>106.57</f>
        <v>106.57</v>
      </c>
      <c r="F599">
        <f>1.4049</f>
        <v>1.4049</v>
      </c>
      <c r="G599">
        <f>7.0739</f>
        <v>7.0739000000000001</v>
      </c>
      <c r="H599">
        <f>0.8042</f>
        <v>0.80420000000000003</v>
      </c>
    </row>
    <row r="600" spans="1:8" x14ac:dyDescent="0.25">
      <c r="A600" s="1">
        <v>43955</v>
      </c>
      <c r="C600">
        <f>26.9603</f>
        <v>26.9603</v>
      </c>
      <c r="D600">
        <f>0.9171</f>
        <v>0.91710000000000003</v>
      </c>
      <c r="E600">
        <f>106.74</f>
        <v>106.74</v>
      </c>
      <c r="F600">
        <f>1.4087</f>
        <v>1.4087000000000001</v>
      </c>
      <c r="G600">
        <f>7.0453</f>
        <v>7.0453000000000001</v>
      </c>
      <c r="H600">
        <f>0.8037</f>
        <v>0.80369999999999997</v>
      </c>
    </row>
    <row r="601" spans="1:8" x14ac:dyDescent="0.25">
      <c r="A601" s="1">
        <v>43952</v>
      </c>
      <c r="C601">
        <f>26.9236</f>
        <v>26.9236</v>
      </c>
      <c r="D601">
        <f>0.9107</f>
        <v>0.91069999999999995</v>
      </c>
      <c r="E601">
        <f>106.91</f>
        <v>106.91</v>
      </c>
      <c r="F601">
        <f>1.4089</f>
        <v>1.4089</v>
      </c>
      <c r="G601">
        <f>7.0122</f>
        <v>7.0122</v>
      </c>
      <c r="H601">
        <f>0.8004</f>
        <v>0.8004</v>
      </c>
    </row>
    <row r="602" spans="1:8" x14ac:dyDescent="0.25">
      <c r="A602" s="1">
        <v>43951</v>
      </c>
      <c r="C602">
        <f>26.9627</f>
        <v>26.962700000000002</v>
      </c>
      <c r="D602">
        <f>0.9131</f>
        <v>0.91310000000000002</v>
      </c>
      <c r="E602">
        <f>107.18</f>
        <v>107.18</v>
      </c>
      <c r="F602">
        <f>1.3945</f>
        <v>1.3945000000000001</v>
      </c>
      <c r="G602">
        <f>6.9867</f>
        <v>6.9866999999999999</v>
      </c>
      <c r="H602">
        <f>0.794</f>
        <v>0.79400000000000004</v>
      </c>
    </row>
    <row r="603" spans="1:8" x14ac:dyDescent="0.25">
      <c r="A603" s="1">
        <v>43950</v>
      </c>
      <c r="C603">
        <f>26.9039</f>
        <v>26.9039</v>
      </c>
      <c r="D603">
        <f>0.9196</f>
        <v>0.91959999999999997</v>
      </c>
      <c r="E603">
        <f>106.68</f>
        <v>106.68</v>
      </c>
      <c r="F603">
        <f>1.3881</f>
        <v>1.3880999999999999</v>
      </c>
      <c r="G603">
        <f>6.952</f>
        <v>6.952</v>
      </c>
      <c r="H603">
        <f>0.8019</f>
        <v>0.80189999999999995</v>
      </c>
    </row>
    <row r="604" spans="1:8" x14ac:dyDescent="0.25">
      <c r="A604" s="1">
        <v>43949</v>
      </c>
      <c r="C604">
        <f>27.0238</f>
        <v>27.023800000000001</v>
      </c>
      <c r="D604">
        <f>0.9243</f>
        <v>0.92430000000000001</v>
      </c>
      <c r="E604">
        <f>106.87</f>
        <v>106.87</v>
      </c>
      <c r="F604">
        <f>1.3998</f>
        <v>1.3997999999999999</v>
      </c>
      <c r="G604">
        <f>6.9868</f>
        <v>6.9867999999999997</v>
      </c>
      <c r="H604">
        <f>0.8049</f>
        <v>0.80489999999999995</v>
      </c>
    </row>
    <row r="605" spans="1:8" x14ac:dyDescent="0.25">
      <c r="A605" s="1">
        <v>43948</v>
      </c>
      <c r="C605">
        <f>27.0036</f>
        <v>27.003599999999999</v>
      </c>
      <c r="D605">
        <f>0.9235</f>
        <v>0.92349999999999999</v>
      </c>
      <c r="E605">
        <f>107.25</f>
        <v>107.25</v>
      </c>
      <c r="F605">
        <f>1.4034</f>
        <v>1.4034</v>
      </c>
      <c r="G605">
        <f>6.9861</f>
        <v>6.9861000000000004</v>
      </c>
      <c r="H605">
        <f>0.8045</f>
        <v>0.80449999999999999</v>
      </c>
    </row>
    <row r="606" spans="1:8" x14ac:dyDescent="0.25">
      <c r="A606" s="1">
        <v>43945</v>
      </c>
      <c r="C606">
        <f>27.1174</f>
        <v>27.1174</v>
      </c>
      <c r="D606">
        <f>0.9239</f>
        <v>0.92390000000000005</v>
      </c>
      <c r="E606">
        <f>107.51</f>
        <v>107.51</v>
      </c>
      <c r="F606">
        <f>1.4103</f>
        <v>1.4103000000000001</v>
      </c>
      <c r="G606">
        <f>6.9727</f>
        <v>6.9726999999999997</v>
      </c>
      <c r="H606">
        <f>0.8087</f>
        <v>0.80869999999999997</v>
      </c>
    </row>
    <row r="607" spans="1:8" x14ac:dyDescent="0.25">
      <c r="A607" s="1">
        <v>43944</v>
      </c>
      <c r="C607">
        <f>27.0635</f>
        <v>27.063500000000001</v>
      </c>
      <c r="D607">
        <f>0.9279</f>
        <v>0.92789999999999995</v>
      </c>
      <c r="E607">
        <f>107.6</f>
        <v>107.6</v>
      </c>
      <c r="F607">
        <f>1.4073</f>
        <v>1.4073</v>
      </c>
      <c r="G607">
        <f>6.9462</f>
        <v>6.9462000000000002</v>
      </c>
      <c r="H607">
        <f>0.81</f>
        <v>0.81</v>
      </c>
    </row>
    <row r="608" spans="1:8" x14ac:dyDescent="0.25">
      <c r="A608" s="1">
        <v>43943</v>
      </c>
      <c r="C608">
        <f>27.0031</f>
        <v>27.0031</v>
      </c>
      <c r="D608">
        <f>0.924</f>
        <v>0.92400000000000004</v>
      </c>
      <c r="E608">
        <f>107.75</f>
        <v>107.75</v>
      </c>
      <c r="F608">
        <f>1.4161</f>
        <v>1.4160999999999999</v>
      </c>
      <c r="G608">
        <f>6.9821</f>
        <v>6.9821</v>
      </c>
      <c r="H608">
        <f>0.8108</f>
        <v>0.81079999999999997</v>
      </c>
    </row>
    <row r="609" spans="1:8" x14ac:dyDescent="0.25">
      <c r="A609" s="1">
        <v>43942</v>
      </c>
      <c r="C609">
        <f>27.0808</f>
        <v>27.0808</v>
      </c>
      <c r="D609">
        <f>0.921</f>
        <v>0.92100000000000004</v>
      </c>
      <c r="E609">
        <f>107.8</f>
        <v>107.8</v>
      </c>
      <c r="F609">
        <f>1.4211</f>
        <v>1.4211</v>
      </c>
      <c r="G609">
        <f>6.9809</f>
        <v>6.9809000000000001</v>
      </c>
      <c r="H609">
        <f>0.8135</f>
        <v>0.8135</v>
      </c>
    </row>
    <row r="610" spans="1:8" x14ac:dyDescent="0.25">
      <c r="A610" s="1">
        <v>43941</v>
      </c>
      <c r="C610">
        <f>27.0531</f>
        <v>27.053100000000001</v>
      </c>
      <c r="D610">
        <f>0.9205</f>
        <v>0.92049999999999998</v>
      </c>
      <c r="E610">
        <f>107.62</f>
        <v>107.62</v>
      </c>
      <c r="F610">
        <f>1.4149</f>
        <v>1.4149</v>
      </c>
      <c r="G610">
        <f>6.9403</f>
        <v>6.9402999999999997</v>
      </c>
      <c r="H610">
        <f>0.8042</f>
        <v>0.80420000000000003</v>
      </c>
    </row>
    <row r="611" spans="1:8" x14ac:dyDescent="0.25">
      <c r="A611" s="1">
        <v>43938</v>
      </c>
      <c r="C611">
        <f>27.0725</f>
        <v>27.072500000000002</v>
      </c>
      <c r="D611">
        <f>0.9195</f>
        <v>0.91949999999999998</v>
      </c>
      <c r="E611">
        <f>107.54</f>
        <v>107.54</v>
      </c>
      <c r="F611">
        <f>1.4001</f>
        <v>1.4000999999999999</v>
      </c>
      <c r="G611">
        <f>6.9294</f>
        <v>6.9294000000000002</v>
      </c>
      <c r="H611">
        <f>0.8</f>
        <v>0.8</v>
      </c>
    </row>
    <row r="612" spans="1:8" x14ac:dyDescent="0.25">
      <c r="A612" s="1">
        <v>43937</v>
      </c>
      <c r="C612">
        <f>27.125</f>
        <v>27.125</v>
      </c>
      <c r="D612">
        <f>0.9224</f>
        <v>0.9224</v>
      </c>
      <c r="E612">
        <f>107.92</f>
        <v>107.92</v>
      </c>
      <c r="F612">
        <f>1.4082</f>
        <v>1.4081999999999999</v>
      </c>
      <c r="G612">
        <f>6.9387</f>
        <v>6.9386999999999999</v>
      </c>
      <c r="H612">
        <f>0.8028</f>
        <v>0.80279999999999996</v>
      </c>
    </row>
    <row r="613" spans="1:8" x14ac:dyDescent="0.25">
      <c r="A613" s="1">
        <v>43936</v>
      </c>
      <c r="C613">
        <f>27.3101</f>
        <v>27.310099999999998</v>
      </c>
      <c r="D613">
        <f>0.9165</f>
        <v>0.91649999999999998</v>
      </c>
      <c r="E613">
        <f>107.46</f>
        <v>107.46</v>
      </c>
      <c r="F613">
        <f>1.4115</f>
        <v>1.4115</v>
      </c>
      <c r="G613">
        <f>6.9123</f>
        <v>6.9123000000000001</v>
      </c>
      <c r="H613">
        <f>0.7985</f>
        <v>0.79849999999999999</v>
      </c>
    </row>
    <row r="614" spans="1:8" x14ac:dyDescent="0.25">
      <c r="A614" s="1">
        <v>43935</v>
      </c>
      <c r="C614">
        <f>27.235</f>
        <v>27.234999999999999</v>
      </c>
      <c r="D614">
        <f>0.9107</f>
        <v>0.91069999999999995</v>
      </c>
      <c r="E614">
        <f>107.22</f>
        <v>107.22</v>
      </c>
      <c r="F614">
        <f>1.3883</f>
        <v>1.3883000000000001</v>
      </c>
      <c r="G614">
        <f>6.8166</f>
        <v>6.8166000000000002</v>
      </c>
      <c r="H614">
        <f>0.792</f>
        <v>0.79200000000000004</v>
      </c>
    </row>
    <row r="615" spans="1:8" x14ac:dyDescent="0.25">
      <c r="A615" s="1">
        <v>43934</v>
      </c>
      <c r="C615">
        <f>27.0307</f>
        <v>27.0307</v>
      </c>
      <c r="D615">
        <f>0.9167</f>
        <v>0.91669999999999996</v>
      </c>
      <c r="E615">
        <f>107.77</f>
        <v>107.77</v>
      </c>
      <c r="F615">
        <f>1.3904</f>
        <v>1.3904000000000001</v>
      </c>
      <c r="G615">
        <f>6.7701</f>
        <v>6.7701000000000002</v>
      </c>
      <c r="H615">
        <f>0.7998</f>
        <v>0.79979999999999996</v>
      </c>
    </row>
    <row r="616" spans="1:8" x14ac:dyDescent="0.25">
      <c r="A616" s="1">
        <v>43931</v>
      </c>
      <c r="C616">
        <f>27.1225</f>
        <v>27.122499999999999</v>
      </c>
      <c r="D616">
        <f>0.9144</f>
        <v>0.91439999999999999</v>
      </c>
      <c r="E616">
        <f>108.47</f>
        <v>108.47</v>
      </c>
      <c r="F616">
        <f>1.3956</f>
        <v>1.3956</v>
      </c>
      <c r="G616">
        <f>6.7044</f>
        <v>6.7043999999999997</v>
      </c>
      <c r="H616">
        <f>0.8031</f>
        <v>0.80310000000000004</v>
      </c>
    </row>
    <row r="617" spans="1:8" x14ac:dyDescent="0.25">
      <c r="A617" s="1">
        <v>43930</v>
      </c>
      <c r="C617">
        <f>27.2582</f>
        <v>27.258199999999999</v>
      </c>
      <c r="D617">
        <f>0.915</f>
        <v>0.91500000000000004</v>
      </c>
      <c r="E617">
        <f>108.49</f>
        <v>108.49</v>
      </c>
      <c r="F617">
        <f>1.3976</f>
        <v>1.3976</v>
      </c>
      <c r="G617">
        <f>6.6731</f>
        <v>6.6730999999999998</v>
      </c>
      <c r="H617">
        <f>0.8024</f>
        <v>0.8024</v>
      </c>
    </row>
    <row r="618" spans="1:8" x14ac:dyDescent="0.25">
      <c r="A618" s="1">
        <v>43929</v>
      </c>
      <c r="C618">
        <f>27.3149</f>
        <v>27.314900000000002</v>
      </c>
      <c r="D618">
        <f>0.9212</f>
        <v>0.92120000000000002</v>
      </c>
      <c r="E618">
        <f>108.83</f>
        <v>108.83</v>
      </c>
      <c r="F618">
        <f>1.4013</f>
        <v>1.4013</v>
      </c>
      <c r="G618">
        <f>6.774</f>
        <v>6.774</v>
      </c>
      <c r="H618">
        <f>0.8074</f>
        <v>0.80740000000000001</v>
      </c>
    </row>
    <row r="619" spans="1:8" x14ac:dyDescent="0.25">
      <c r="A619" s="1">
        <v>43928</v>
      </c>
      <c r="C619">
        <f>27.0797</f>
        <v>27.079699999999999</v>
      </c>
      <c r="D619">
        <f>0.9181</f>
        <v>0.91810000000000003</v>
      </c>
      <c r="E619">
        <f>108.76</f>
        <v>108.76</v>
      </c>
      <c r="F619">
        <f>1.3993</f>
        <v>1.3993</v>
      </c>
      <c r="G619">
        <f>6.7645</f>
        <v>6.7645</v>
      </c>
      <c r="H619">
        <f>0.8109</f>
        <v>0.81089999999999995</v>
      </c>
    </row>
    <row r="620" spans="1:8" x14ac:dyDescent="0.25">
      <c r="A620" s="1">
        <v>43927</v>
      </c>
      <c r="C620">
        <f>27.0923</f>
        <v>27.092300000000002</v>
      </c>
      <c r="D620">
        <f>0.9265</f>
        <v>0.92649999999999999</v>
      </c>
      <c r="E620">
        <f>109.22</f>
        <v>109.22</v>
      </c>
      <c r="F620">
        <f>1.4111</f>
        <v>1.4111</v>
      </c>
      <c r="G620">
        <f>6.7789</f>
        <v>6.7789000000000001</v>
      </c>
      <c r="H620">
        <f>0.8176</f>
        <v>0.81759999999999999</v>
      </c>
    </row>
    <row r="621" spans="1:8" x14ac:dyDescent="0.25">
      <c r="A621" s="1">
        <v>43924</v>
      </c>
      <c r="C621">
        <f>27.465</f>
        <v>27.465</v>
      </c>
      <c r="D621">
        <f>0.9262</f>
        <v>0.92620000000000002</v>
      </c>
      <c r="E621">
        <f>108.55</f>
        <v>108.55</v>
      </c>
      <c r="F621">
        <f>1.4205</f>
        <v>1.4205000000000001</v>
      </c>
      <c r="G621">
        <f>6.7309</f>
        <v>6.7309000000000001</v>
      </c>
      <c r="H621">
        <f>0.8152</f>
        <v>0.81520000000000004</v>
      </c>
    </row>
    <row r="622" spans="1:8" x14ac:dyDescent="0.25">
      <c r="A622" s="1">
        <v>43923</v>
      </c>
      <c r="C622">
        <f>27.5642</f>
        <v>27.5642</v>
      </c>
      <c r="D622">
        <f>0.921</f>
        <v>0.92100000000000004</v>
      </c>
      <c r="E622">
        <f>107.91</f>
        <v>107.91</v>
      </c>
      <c r="F622">
        <f>1.4138</f>
        <v>1.4137999999999999</v>
      </c>
      <c r="G622">
        <f>6.6058</f>
        <v>6.6058000000000003</v>
      </c>
      <c r="H622">
        <f>0.8067</f>
        <v>0.80669999999999997</v>
      </c>
    </row>
    <row r="623" spans="1:8" x14ac:dyDescent="0.25">
      <c r="A623" s="1">
        <v>43922</v>
      </c>
      <c r="C623">
        <f>27.6354</f>
        <v>27.635400000000001</v>
      </c>
      <c r="D623">
        <f>0.9122</f>
        <v>0.91220000000000001</v>
      </c>
      <c r="E623">
        <f>107.17</f>
        <v>107.17</v>
      </c>
      <c r="F623">
        <f>1.4191</f>
        <v>1.4191</v>
      </c>
      <c r="G623">
        <f>6.7026</f>
        <v>6.7026000000000003</v>
      </c>
      <c r="H623">
        <f>0.8086</f>
        <v>0.80859999999999999</v>
      </c>
    </row>
    <row r="624" spans="1:8" x14ac:dyDescent="0.25">
      <c r="A624" s="1">
        <v>43921</v>
      </c>
      <c r="C624">
        <f>27.585</f>
        <v>27.585000000000001</v>
      </c>
      <c r="D624">
        <f>0.9064</f>
        <v>0.90639999999999998</v>
      </c>
      <c r="E624">
        <f>107.54</f>
        <v>107.54</v>
      </c>
      <c r="F624">
        <f>1.4062</f>
        <v>1.4061999999999999</v>
      </c>
      <c r="G624">
        <f>6.6152</f>
        <v>6.6151999999999997</v>
      </c>
      <c r="H624">
        <f>0.8056</f>
        <v>0.80559999999999998</v>
      </c>
    </row>
    <row r="625" spans="1:8" x14ac:dyDescent="0.25">
      <c r="A625" s="1">
        <v>43920</v>
      </c>
      <c r="C625">
        <f>28.0299</f>
        <v>28.029900000000001</v>
      </c>
      <c r="D625">
        <f>0.9053</f>
        <v>0.90529999999999999</v>
      </c>
      <c r="E625">
        <f>107.76</f>
        <v>107.76</v>
      </c>
      <c r="F625">
        <f>1.4166</f>
        <v>1.4166000000000001</v>
      </c>
      <c r="G625">
        <f>6.5739</f>
        <v>6.5739000000000001</v>
      </c>
      <c r="H625">
        <f>0.8052</f>
        <v>0.80520000000000003</v>
      </c>
    </row>
    <row r="626" spans="1:8" x14ac:dyDescent="0.25">
      <c r="A626" s="1">
        <v>43917</v>
      </c>
      <c r="C626">
        <f>28.0782</f>
        <v>28.078199999999999</v>
      </c>
      <c r="D626">
        <f>0.898</f>
        <v>0.89800000000000002</v>
      </c>
      <c r="E626">
        <f>107.94</f>
        <v>107.94</v>
      </c>
      <c r="F626">
        <f>1.3985</f>
        <v>1.3985000000000001</v>
      </c>
      <c r="G626">
        <f>6.4542</f>
        <v>6.4542000000000002</v>
      </c>
      <c r="H626">
        <f>0.8029</f>
        <v>0.80289999999999995</v>
      </c>
    </row>
    <row r="627" spans="1:8" x14ac:dyDescent="0.25">
      <c r="A627" s="1">
        <v>43916</v>
      </c>
      <c r="C627">
        <f>28.1903</f>
        <v>28.190300000000001</v>
      </c>
      <c r="D627">
        <f>0.9064</f>
        <v>0.90639999999999998</v>
      </c>
      <c r="E627">
        <f>109.58</f>
        <v>109.58</v>
      </c>
      <c r="F627">
        <f>1.402</f>
        <v>1.4019999999999999</v>
      </c>
      <c r="G627">
        <f>6.3983</f>
        <v>6.3982999999999999</v>
      </c>
      <c r="H627">
        <f>0.8192</f>
        <v>0.81920000000000004</v>
      </c>
    </row>
    <row r="628" spans="1:8" x14ac:dyDescent="0.25">
      <c r="A628" s="1">
        <v>43915</v>
      </c>
      <c r="C628">
        <f>27.9721</f>
        <v>27.972100000000001</v>
      </c>
      <c r="D628">
        <f>0.9189</f>
        <v>0.91890000000000005</v>
      </c>
      <c r="E628">
        <f>111.21</f>
        <v>111.21</v>
      </c>
      <c r="F628">
        <f>1.4191</f>
        <v>1.4191</v>
      </c>
      <c r="G628">
        <f>6.4171</f>
        <v>6.4170999999999996</v>
      </c>
      <c r="H628">
        <f>0.8417</f>
        <v>0.8417</v>
      </c>
    </row>
    <row r="629" spans="1:8" x14ac:dyDescent="0.25">
      <c r="A629" s="1">
        <v>43914</v>
      </c>
      <c r="C629">
        <f>27.9346</f>
        <v>27.9346</v>
      </c>
      <c r="D629">
        <f>0.927</f>
        <v>0.92700000000000005</v>
      </c>
      <c r="E629">
        <f>111.23</f>
        <v>111.23</v>
      </c>
      <c r="F629">
        <f>1.4462</f>
        <v>1.4461999999999999</v>
      </c>
      <c r="G629">
        <f>6.4191</f>
        <v>6.4191000000000003</v>
      </c>
      <c r="H629">
        <f>0.8502</f>
        <v>0.85019999999999996</v>
      </c>
    </row>
    <row r="630" spans="1:8" x14ac:dyDescent="0.25">
      <c r="A630" s="1">
        <v>43913</v>
      </c>
      <c r="C630">
        <f>27.5316</f>
        <v>27.531600000000001</v>
      </c>
      <c r="D630">
        <f>0.9325</f>
        <v>0.9325</v>
      </c>
      <c r="E630">
        <f>111.23</f>
        <v>111.23</v>
      </c>
      <c r="F630">
        <f>1.4494</f>
        <v>1.4494</v>
      </c>
      <c r="G630">
        <f>6.5618</f>
        <v>6.5617999999999999</v>
      </c>
      <c r="H630">
        <f>0.8661</f>
        <v>0.86609999999999998</v>
      </c>
    </row>
    <row r="631" spans="1:8" x14ac:dyDescent="0.25">
      <c r="A631" s="1">
        <v>43910</v>
      </c>
      <c r="C631">
        <f>27.5129</f>
        <v>27.512899999999998</v>
      </c>
      <c r="D631">
        <f>0.9349</f>
        <v>0.93489999999999995</v>
      </c>
      <c r="E631">
        <f>110.93</f>
        <v>110.93</v>
      </c>
      <c r="F631">
        <f>1.4366</f>
        <v>1.4366000000000001</v>
      </c>
      <c r="G631">
        <f>6.5508</f>
        <v>6.5507999999999997</v>
      </c>
      <c r="H631">
        <f>0.8596</f>
        <v>0.85960000000000003</v>
      </c>
    </row>
    <row r="632" spans="1:8" x14ac:dyDescent="0.25">
      <c r="A632" s="1">
        <v>43909</v>
      </c>
      <c r="C632">
        <f>27.84</f>
        <v>27.84</v>
      </c>
      <c r="D632">
        <f>0.9353</f>
        <v>0.93530000000000002</v>
      </c>
      <c r="E632">
        <f>110.71</f>
        <v>110.71</v>
      </c>
      <c r="F632">
        <f>1.4511</f>
        <v>1.4511000000000001</v>
      </c>
      <c r="G632">
        <f>6.5434</f>
        <v>6.5434000000000001</v>
      </c>
      <c r="H632">
        <f>0.8706</f>
        <v>0.87060000000000004</v>
      </c>
    </row>
    <row r="633" spans="1:8" x14ac:dyDescent="0.25">
      <c r="A633" s="1">
        <v>43908</v>
      </c>
      <c r="C633">
        <f>27.25</f>
        <v>27.25</v>
      </c>
      <c r="D633">
        <f>0.916</f>
        <v>0.91600000000000004</v>
      </c>
      <c r="E633">
        <f>108.08</f>
        <v>108.08</v>
      </c>
      <c r="F633">
        <f>1.4504</f>
        <v>1.4503999999999999</v>
      </c>
      <c r="G633">
        <f>6.4819</f>
        <v>6.4819000000000004</v>
      </c>
      <c r="H633">
        <f>0.8604</f>
        <v>0.86040000000000005</v>
      </c>
    </row>
    <row r="634" spans="1:8" x14ac:dyDescent="0.25">
      <c r="A634" s="1">
        <v>43907</v>
      </c>
      <c r="C634">
        <f>27.1208</f>
        <v>27.120799999999999</v>
      </c>
      <c r="D634">
        <f>0.9093</f>
        <v>0.9093</v>
      </c>
      <c r="E634">
        <f>107.7</f>
        <v>107.7</v>
      </c>
      <c r="F634">
        <f>1.4202</f>
        <v>1.4201999999999999</v>
      </c>
      <c r="G634">
        <f>6.3974</f>
        <v>6.3974000000000002</v>
      </c>
      <c r="H634">
        <f>0.8295</f>
        <v>0.82950000000000002</v>
      </c>
    </row>
    <row r="635" spans="1:8" x14ac:dyDescent="0.25">
      <c r="A635" s="1">
        <v>43906</v>
      </c>
      <c r="C635">
        <f>26.6509</f>
        <v>26.6509</v>
      </c>
      <c r="D635">
        <f>0.8944</f>
        <v>0.89439999999999997</v>
      </c>
      <c r="E635">
        <f>105.83</f>
        <v>105.83</v>
      </c>
      <c r="F635">
        <f>1.4016</f>
        <v>1.4016</v>
      </c>
      <c r="G635">
        <f>6.4311</f>
        <v>6.4310999999999998</v>
      </c>
      <c r="H635">
        <f>0.8149</f>
        <v>0.81489999999999996</v>
      </c>
    </row>
    <row r="636" spans="1:8" x14ac:dyDescent="0.25">
      <c r="A636" s="1">
        <v>43903</v>
      </c>
      <c r="C636">
        <f>25.5385</f>
        <v>25.538499999999999</v>
      </c>
      <c r="D636">
        <f>0.9004</f>
        <v>0.90039999999999998</v>
      </c>
      <c r="E636">
        <f>107.62</f>
        <v>107.62</v>
      </c>
      <c r="F636">
        <f>1.3806</f>
        <v>1.3806</v>
      </c>
      <c r="G636">
        <f>6.3331</f>
        <v>6.3331</v>
      </c>
      <c r="H636">
        <f>0.8146</f>
        <v>0.81459999999999999</v>
      </c>
    </row>
    <row r="637" spans="1:8" x14ac:dyDescent="0.25">
      <c r="A637" s="1">
        <v>43902</v>
      </c>
      <c r="C637">
        <f>26.145</f>
        <v>26.145</v>
      </c>
      <c r="D637">
        <f>0.8941</f>
        <v>0.89410000000000001</v>
      </c>
      <c r="E637">
        <f>104.64</f>
        <v>104.64</v>
      </c>
      <c r="F637">
        <f>1.3925</f>
        <v>1.3925000000000001</v>
      </c>
      <c r="G637">
        <f>6.3169</f>
        <v>6.3169000000000004</v>
      </c>
      <c r="H637">
        <f>0.7957</f>
        <v>0.79569999999999996</v>
      </c>
    </row>
    <row r="638" spans="1:8" x14ac:dyDescent="0.25">
      <c r="A638" s="1">
        <v>43901</v>
      </c>
      <c r="C638">
        <f>25.7015</f>
        <v>25.701499999999999</v>
      </c>
      <c r="D638">
        <f>0.8873</f>
        <v>0.88729999999999998</v>
      </c>
      <c r="E638">
        <f>104.54</f>
        <v>104.54</v>
      </c>
      <c r="F638">
        <f>1.3779</f>
        <v>1.3778999999999999</v>
      </c>
      <c r="G638">
        <f>6.2099</f>
        <v>6.2099000000000002</v>
      </c>
      <c r="H638">
        <f>0.7799</f>
        <v>0.77990000000000004</v>
      </c>
    </row>
    <row r="639" spans="1:8" x14ac:dyDescent="0.25">
      <c r="A639" s="1">
        <v>43900</v>
      </c>
      <c r="C639">
        <f>25.4037</f>
        <v>25.403700000000001</v>
      </c>
      <c r="D639">
        <f>0.8864</f>
        <v>0.88639999999999997</v>
      </c>
      <c r="E639">
        <f>105.64</f>
        <v>105.64</v>
      </c>
      <c r="F639">
        <f>1.3727</f>
        <v>1.3727</v>
      </c>
      <c r="G639">
        <f>6.1574</f>
        <v>6.1574</v>
      </c>
      <c r="H639">
        <f>0.7746</f>
        <v>0.77459999999999996</v>
      </c>
    </row>
    <row r="640" spans="1:8" x14ac:dyDescent="0.25">
      <c r="A640" s="1">
        <v>43899</v>
      </c>
      <c r="C640">
        <f>24.9179</f>
        <v>24.917899999999999</v>
      </c>
      <c r="D640">
        <f>0.8735</f>
        <v>0.87350000000000005</v>
      </c>
      <c r="E640">
        <f>102.36</f>
        <v>102.36</v>
      </c>
      <c r="F640">
        <f>1.3702</f>
        <v>1.3702000000000001</v>
      </c>
      <c r="G640">
        <f>6.1467</f>
        <v>6.1467000000000001</v>
      </c>
      <c r="H640">
        <f>0.7622</f>
        <v>0.76219999999999999</v>
      </c>
    </row>
    <row r="641" spans="1:8" x14ac:dyDescent="0.25">
      <c r="A641" s="1">
        <v>43896</v>
      </c>
      <c r="C641">
        <f>24.9303</f>
        <v>24.930299999999999</v>
      </c>
      <c r="D641">
        <f>0.8862</f>
        <v>0.88619999999999999</v>
      </c>
      <c r="E641">
        <f>105.39</f>
        <v>105.39</v>
      </c>
      <c r="F641">
        <f>1.3418</f>
        <v>1.3418000000000001</v>
      </c>
      <c r="G641">
        <f>6.0916</f>
        <v>6.0915999999999997</v>
      </c>
      <c r="H641">
        <f>0.7663</f>
        <v>0.76629999999999998</v>
      </c>
    </row>
    <row r="642" spans="1:8" x14ac:dyDescent="0.25">
      <c r="A642" s="1">
        <v>43895</v>
      </c>
      <c r="C642">
        <f>24.7175</f>
        <v>24.717500000000001</v>
      </c>
      <c r="D642">
        <f>0.89</f>
        <v>0.89</v>
      </c>
      <c r="E642">
        <f>106.16</f>
        <v>106.16</v>
      </c>
      <c r="F642">
        <f>1.3411</f>
        <v>1.3411</v>
      </c>
      <c r="G642">
        <f>6.1095</f>
        <v>6.1094999999999997</v>
      </c>
      <c r="H642">
        <f>0.772</f>
        <v>0.77200000000000002</v>
      </c>
    </row>
    <row r="643" spans="1:8" x14ac:dyDescent="0.25">
      <c r="A643" s="1">
        <v>43894</v>
      </c>
      <c r="C643">
        <f>24.7824</f>
        <v>24.782399999999999</v>
      </c>
      <c r="D643">
        <f>0.8981</f>
        <v>0.89810000000000001</v>
      </c>
      <c r="E643">
        <f>107.53</f>
        <v>107.53</v>
      </c>
      <c r="F643">
        <f>1.3385</f>
        <v>1.3385</v>
      </c>
      <c r="G643">
        <f>6.0772</f>
        <v>6.0772000000000004</v>
      </c>
      <c r="H643">
        <f>0.7768</f>
        <v>0.77680000000000005</v>
      </c>
    </row>
    <row r="644" spans="1:8" x14ac:dyDescent="0.25">
      <c r="A644" s="1">
        <v>43893</v>
      </c>
      <c r="C644">
        <f>25.0363</f>
        <v>25.036300000000001</v>
      </c>
      <c r="D644">
        <f>0.8951</f>
        <v>0.89510000000000001</v>
      </c>
      <c r="E644">
        <f>107.13</f>
        <v>107.13</v>
      </c>
      <c r="F644">
        <f>1.338</f>
        <v>1.3380000000000001</v>
      </c>
      <c r="G644">
        <f>6.108</f>
        <v>6.1079999999999997</v>
      </c>
      <c r="H644">
        <f>0.7805</f>
        <v>0.78049999999999997</v>
      </c>
    </row>
    <row r="645" spans="1:8" x14ac:dyDescent="0.25">
      <c r="A645" s="1">
        <v>43892</v>
      </c>
      <c r="C645">
        <f>24.8829</f>
        <v>24.882899999999999</v>
      </c>
      <c r="D645">
        <f>0.8982</f>
        <v>0.8982</v>
      </c>
      <c r="E645">
        <f>108.33</f>
        <v>108.33</v>
      </c>
      <c r="F645">
        <f>1.3328</f>
        <v>1.3328</v>
      </c>
      <c r="G645">
        <f>6.1795</f>
        <v>6.1795</v>
      </c>
      <c r="H645">
        <f>0.7841</f>
        <v>0.78410000000000002</v>
      </c>
    </row>
    <row r="646" spans="1:8" x14ac:dyDescent="0.25">
      <c r="A646" s="1">
        <v>43889</v>
      </c>
      <c r="C646">
        <f>24.6173</f>
        <v>24.6173</v>
      </c>
      <c r="D646">
        <f>0.9069</f>
        <v>0.90690000000000004</v>
      </c>
      <c r="E646">
        <f>107.89</f>
        <v>107.89</v>
      </c>
      <c r="F646">
        <f>1.3407</f>
        <v>1.3407</v>
      </c>
      <c r="G646">
        <f>6.2469</f>
        <v>6.2469000000000001</v>
      </c>
      <c r="H646">
        <f>0.7801</f>
        <v>0.78010000000000002</v>
      </c>
    </row>
    <row r="647" spans="1:8" x14ac:dyDescent="0.25">
      <c r="A647" s="1">
        <v>43888</v>
      </c>
      <c r="C647">
        <f>24.515</f>
        <v>24.515000000000001</v>
      </c>
      <c r="D647">
        <f>0.909</f>
        <v>0.90900000000000003</v>
      </c>
      <c r="E647">
        <f>109.59</f>
        <v>109.59</v>
      </c>
      <c r="F647">
        <f>1.3391</f>
        <v>1.3391</v>
      </c>
      <c r="G647">
        <f>6.209</f>
        <v>6.2089999999999996</v>
      </c>
      <c r="H647">
        <f>0.7761</f>
        <v>0.77610000000000001</v>
      </c>
    </row>
    <row r="648" spans="1:8" x14ac:dyDescent="0.25">
      <c r="A648" s="1">
        <v>43887</v>
      </c>
      <c r="C648">
        <f>24.5707</f>
        <v>24.570699999999999</v>
      </c>
      <c r="D648">
        <f>0.9191</f>
        <v>0.91910000000000003</v>
      </c>
      <c r="E648">
        <f>110.43</f>
        <v>110.43</v>
      </c>
      <c r="F648">
        <f>1.3333</f>
        <v>1.3332999999999999</v>
      </c>
      <c r="G648">
        <f>6.1581</f>
        <v>6.1581000000000001</v>
      </c>
      <c r="H648">
        <f>0.7751</f>
        <v>0.77510000000000001</v>
      </c>
    </row>
    <row r="649" spans="1:8" x14ac:dyDescent="0.25">
      <c r="A649" s="1">
        <v>43886</v>
      </c>
      <c r="C649">
        <f>24.5172</f>
        <v>24.517199999999999</v>
      </c>
      <c r="D649">
        <f>0.919</f>
        <v>0.91900000000000004</v>
      </c>
      <c r="E649">
        <f>110.2</f>
        <v>110.2</v>
      </c>
      <c r="F649">
        <f>1.3279</f>
        <v>1.3279000000000001</v>
      </c>
      <c r="G649">
        <f>6.1439</f>
        <v>6.1439000000000004</v>
      </c>
      <c r="H649">
        <f>0.769</f>
        <v>0.76900000000000002</v>
      </c>
    </row>
    <row r="650" spans="1:8" x14ac:dyDescent="0.25">
      <c r="A650" s="1">
        <v>43885</v>
      </c>
      <c r="C650">
        <f>24.506</f>
        <v>24.506</v>
      </c>
      <c r="D650">
        <f>0.9213</f>
        <v>0.92130000000000001</v>
      </c>
      <c r="E650">
        <f>110.72</f>
        <v>110.72</v>
      </c>
      <c r="F650">
        <f>1.3293</f>
        <v>1.3292999999999999</v>
      </c>
      <c r="G650">
        <f>6.1178</f>
        <v>6.1177999999999999</v>
      </c>
      <c r="H650">
        <f>0.7736</f>
        <v>0.77359999999999995</v>
      </c>
    </row>
    <row r="651" spans="1:8" x14ac:dyDescent="0.25">
      <c r="A651" s="1">
        <v>43882</v>
      </c>
      <c r="C651">
        <f>24.4515</f>
        <v>24.451499999999999</v>
      </c>
      <c r="D651">
        <f>0.9219</f>
        <v>0.92190000000000005</v>
      </c>
      <c r="E651">
        <f>111.61</f>
        <v>111.61</v>
      </c>
      <c r="F651">
        <f>1.3225</f>
        <v>1.3225</v>
      </c>
      <c r="G651">
        <f>6.0953</f>
        <v>6.0952999999999999</v>
      </c>
      <c r="H651">
        <f>0.7715</f>
        <v>0.77149999999999996</v>
      </c>
    </row>
    <row r="652" spans="1:8" x14ac:dyDescent="0.25">
      <c r="A652" s="1">
        <v>43881</v>
      </c>
      <c r="C652">
        <f>24.4225</f>
        <v>24.422499999999999</v>
      </c>
      <c r="D652">
        <f>0.9273</f>
        <v>0.92730000000000001</v>
      </c>
      <c r="E652">
        <f>112.1</f>
        <v>112.1</v>
      </c>
      <c r="F652">
        <f>1.3259</f>
        <v>1.3259000000000001</v>
      </c>
      <c r="G652">
        <f>6.0963</f>
        <v>6.0963000000000003</v>
      </c>
      <c r="H652">
        <f>0.7762</f>
        <v>0.7762</v>
      </c>
    </row>
    <row r="653" spans="1:8" x14ac:dyDescent="0.25">
      <c r="A653" s="1">
        <v>43880</v>
      </c>
      <c r="C653">
        <f>24.4023</f>
        <v>24.4023</v>
      </c>
      <c r="D653">
        <f>0.9255</f>
        <v>0.92549999999999999</v>
      </c>
      <c r="E653">
        <f>111.37</f>
        <v>111.37</v>
      </c>
      <c r="F653">
        <f>1.3221</f>
        <v>1.3221000000000001</v>
      </c>
      <c r="G653">
        <f>6.0832</f>
        <v>6.0831999999999997</v>
      </c>
      <c r="H653">
        <f>0.7738</f>
        <v>0.77380000000000004</v>
      </c>
    </row>
    <row r="654" spans="1:8" x14ac:dyDescent="0.25">
      <c r="A654" s="1">
        <v>43879</v>
      </c>
      <c r="C654">
        <f>24.3685</f>
        <v>24.368500000000001</v>
      </c>
      <c r="D654">
        <f>0.9266</f>
        <v>0.92659999999999998</v>
      </c>
      <c r="E654">
        <f>109.87</f>
        <v>109.87</v>
      </c>
      <c r="F654">
        <f>1.326</f>
        <v>1.3260000000000001</v>
      </c>
      <c r="G654">
        <f>6.0639</f>
        <v>6.0639000000000003</v>
      </c>
      <c r="H654">
        <f>0.7694</f>
        <v>0.76939999999999997</v>
      </c>
    </row>
    <row r="655" spans="1:8" x14ac:dyDescent="0.25">
      <c r="A655" s="1">
        <v>43878</v>
      </c>
      <c r="C655">
        <f>24.4806</f>
        <v>24.480599999999999</v>
      </c>
      <c r="D655">
        <f>0.9229</f>
        <v>0.92290000000000005</v>
      </c>
      <c r="E655">
        <f>109.88</f>
        <v>109.88</v>
      </c>
      <c r="F655">
        <f>1.3235</f>
        <v>1.3234999999999999</v>
      </c>
      <c r="G655">
        <f>6.0449</f>
        <v>6.0449000000000002</v>
      </c>
      <c r="H655">
        <f>0.7689</f>
        <v>0.76890000000000003</v>
      </c>
    </row>
    <row r="656" spans="1:8" x14ac:dyDescent="0.25">
      <c r="A656" s="1">
        <v>43875</v>
      </c>
      <c r="C656">
        <f>24.441</f>
        <v>24.440999999999999</v>
      </c>
      <c r="D656">
        <f>0.9233</f>
        <v>0.92330000000000001</v>
      </c>
      <c r="E656">
        <f>109.78</f>
        <v>109.78</v>
      </c>
      <c r="F656">
        <f>1.3252</f>
        <v>1.3251999999999999</v>
      </c>
      <c r="G656">
        <f>6.0587</f>
        <v>6.0587</v>
      </c>
      <c r="H656">
        <f>0.7665</f>
        <v>0.76649999999999996</v>
      </c>
    </row>
    <row r="657" spans="1:8" x14ac:dyDescent="0.25">
      <c r="A657" s="1">
        <v>43874</v>
      </c>
      <c r="C657">
        <f>24.4299</f>
        <v>24.4299</v>
      </c>
      <c r="D657">
        <f>0.9226</f>
        <v>0.92259999999999998</v>
      </c>
      <c r="E657">
        <f>109.82</f>
        <v>109.82</v>
      </c>
      <c r="F657">
        <f>1.3267</f>
        <v>1.3267</v>
      </c>
      <c r="G657">
        <f>6.0396</f>
        <v>6.0396000000000001</v>
      </c>
      <c r="H657">
        <f>0.7667</f>
        <v>0.76670000000000005</v>
      </c>
    </row>
    <row r="658" spans="1:8" x14ac:dyDescent="0.25">
      <c r="A658" s="1">
        <v>43873</v>
      </c>
      <c r="C658">
        <f>24.5107</f>
        <v>24.5107</v>
      </c>
      <c r="D658">
        <f>0.9196</f>
        <v>0.91959999999999997</v>
      </c>
      <c r="E658">
        <f>110.09</f>
        <v>110.09</v>
      </c>
      <c r="F658">
        <f>1.325</f>
        <v>1.325</v>
      </c>
      <c r="G658">
        <f>6.0445</f>
        <v>6.0445000000000002</v>
      </c>
      <c r="H658">
        <f>0.7716</f>
        <v>0.77159999999999995</v>
      </c>
    </row>
    <row r="659" spans="1:8" x14ac:dyDescent="0.25">
      <c r="A659" s="1">
        <v>43872</v>
      </c>
      <c r="C659">
        <f>24.4791</f>
        <v>24.479099999999999</v>
      </c>
      <c r="D659">
        <f>0.9161</f>
        <v>0.91610000000000003</v>
      </c>
      <c r="E659">
        <f>109.79</f>
        <v>109.79</v>
      </c>
      <c r="F659">
        <f>1.3286</f>
        <v>1.3286</v>
      </c>
      <c r="G659">
        <f>6.0153</f>
        <v>6.0152999999999999</v>
      </c>
      <c r="H659">
        <f>0.7721</f>
        <v>0.77210000000000001</v>
      </c>
    </row>
    <row r="660" spans="1:8" x14ac:dyDescent="0.25">
      <c r="A660" s="1">
        <v>43871</v>
      </c>
      <c r="C660">
        <f>24.4506</f>
        <v>24.450600000000001</v>
      </c>
      <c r="D660">
        <f>0.9165</f>
        <v>0.91649999999999998</v>
      </c>
      <c r="E660">
        <f>109.77</f>
        <v>109.77</v>
      </c>
      <c r="F660">
        <f>1.3317</f>
        <v>1.3317000000000001</v>
      </c>
      <c r="G660">
        <f>6.0114</f>
        <v>6.0114000000000001</v>
      </c>
      <c r="H660">
        <f>0.7743</f>
        <v>0.77429999999999999</v>
      </c>
    </row>
    <row r="661" spans="1:8" x14ac:dyDescent="0.25">
      <c r="A661" s="1">
        <v>43868</v>
      </c>
      <c r="C661">
        <f>24.5368</f>
        <v>24.536799999999999</v>
      </c>
      <c r="D661">
        <f>0.9136</f>
        <v>0.91359999999999997</v>
      </c>
      <c r="E661">
        <f>109.75</f>
        <v>109.75</v>
      </c>
      <c r="F661">
        <f>1.3308</f>
        <v>1.3308</v>
      </c>
      <c r="G661">
        <f>6.0146</f>
        <v>6.0145999999999997</v>
      </c>
      <c r="H661">
        <f>0.7761</f>
        <v>0.77610000000000001</v>
      </c>
    </row>
    <row r="662" spans="1:8" x14ac:dyDescent="0.25">
      <c r="A662" s="1">
        <v>43867</v>
      </c>
      <c r="C662">
        <f>24.537</f>
        <v>24.536999999999999</v>
      </c>
      <c r="D662">
        <f>0.9107</f>
        <v>0.91069999999999995</v>
      </c>
      <c r="E662">
        <f>109.99</f>
        <v>109.99</v>
      </c>
      <c r="F662">
        <f>1.3284</f>
        <v>1.3284</v>
      </c>
      <c r="G662">
        <f>5.9878</f>
        <v>5.9878</v>
      </c>
      <c r="H662">
        <f>0.7735</f>
        <v>0.77349999999999997</v>
      </c>
    </row>
    <row r="663" spans="1:8" x14ac:dyDescent="0.25">
      <c r="A663" s="1">
        <v>43866</v>
      </c>
      <c r="C663">
        <f>24.6535</f>
        <v>24.653500000000001</v>
      </c>
      <c r="D663">
        <f>0.9092</f>
        <v>0.90920000000000001</v>
      </c>
      <c r="E663">
        <f>109.83</f>
        <v>109.83</v>
      </c>
      <c r="F663">
        <f>1.3282</f>
        <v>1.3282</v>
      </c>
      <c r="G663">
        <f>5.9827</f>
        <v>5.9827000000000004</v>
      </c>
      <c r="H663">
        <f>0.7691</f>
        <v>0.76910000000000001</v>
      </c>
    </row>
    <row r="664" spans="1:8" x14ac:dyDescent="0.25">
      <c r="A664" s="1">
        <v>43865</v>
      </c>
      <c r="C664">
        <f>24.8245</f>
        <v>24.8245</v>
      </c>
      <c r="D664">
        <f>0.9054</f>
        <v>0.90539999999999998</v>
      </c>
      <c r="E664">
        <f>109.52</f>
        <v>109.52</v>
      </c>
      <c r="F664">
        <f>1.3277</f>
        <v>1.3277000000000001</v>
      </c>
      <c r="G664">
        <f>5.9805</f>
        <v>5.9805000000000001</v>
      </c>
      <c r="H664">
        <f>0.7674</f>
        <v>0.76739999999999997</v>
      </c>
    </row>
    <row r="665" spans="1:8" x14ac:dyDescent="0.25">
      <c r="A665" s="1">
        <v>43864</v>
      </c>
      <c r="C665">
        <f>24.9329</f>
        <v>24.9329</v>
      </c>
      <c r="D665">
        <f>0.9041</f>
        <v>0.90410000000000001</v>
      </c>
      <c r="E665">
        <f>108.69</f>
        <v>108.69</v>
      </c>
      <c r="F665">
        <f>1.3286</f>
        <v>1.3286</v>
      </c>
      <c r="G665">
        <f>5.985</f>
        <v>5.9850000000000003</v>
      </c>
      <c r="H665">
        <f>0.7693</f>
        <v>0.76929999999999998</v>
      </c>
    </row>
    <row r="666" spans="1:8" x14ac:dyDescent="0.25">
      <c r="A666" s="1">
        <v>43861</v>
      </c>
      <c r="C666">
        <f>24.9299</f>
        <v>24.9299</v>
      </c>
      <c r="D666">
        <f>0.9015</f>
        <v>0.90149999999999997</v>
      </c>
      <c r="E666">
        <f>108.35</f>
        <v>108.35</v>
      </c>
      <c r="F666">
        <f>1.3237</f>
        <v>1.3237000000000001</v>
      </c>
      <c r="G666">
        <f>5.9829</f>
        <v>5.9828999999999999</v>
      </c>
      <c r="H666">
        <f>0.7572</f>
        <v>0.75719999999999998</v>
      </c>
    </row>
    <row r="667" spans="1:8" x14ac:dyDescent="0.25">
      <c r="A667" s="1">
        <v>43860</v>
      </c>
      <c r="C667">
        <f>24.7115</f>
        <v>24.711500000000001</v>
      </c>
      <c r="D667">
        <f>0.9065</f>
        <v>0.90649999999999997</v>
      </c>
      <c r="E667">
        <f>108.96</f>
        <v>108.96</v>
      </c>
      <c r="F667">
        <f>1.3209</f>
        <v>1.3209</v>
      </c>
      <c r="G667">
        <f>5.9696</f>
        <v>5.9695999999999998</v>
      </c>
      <c r="H667">
        <f>0.7638</f>
        <v>0.76380000000000003</v>
      </c>
    </row>
    <row r="668" spans="1:8" x14ac:dyDescent="0.25">
      <c r="A668" s="1">
        <v>43859</v>
      </c>
      <c r="C668">
        <f>24.8601</f>
        <v>24.860099999999999</v>
      </c>
      <c r="D668">
        <f>0.9082</f>
        <v>0.90820000000000001</v>
      </c>
      <c r="E668">
        <f>109.02</f>
        <v>109.02</v>
      </c>
      <c r="F668">
        <f>1.3199</f>
        <v>1.3199000000000001</v>
      </c>
      <c r="G668">
        <f>5.9594</f>
        <v>5.9593999999999996</v>
      </c>
      <c r="H668">
        <f>0.7681</f>
        <v>0.7681</v>
      </c>
    </row>
    <row r="669" spans="1:8" x14ac:dyDescent="0.25">
      <c r="A669" s="1">
        <v>43858</v>
      </c>
      <c r="C669">
        <f>24.7302</f>
        <v>24.7302</v>
      </c>
      <c r="D669">
        <f>0.9073</f>
        <v>0.9073</v>
      </c>
      <c r="E669">
        <f>109.15</f>
        <v>109.15</v>
      </c>
      <c r="F669">
        <f>1.3155</f>
        <v>1.3154999999999999</v>
      </c>
      <c r="G669">
        <f>5.9408</f>
        <v>5.9408000000000003</v>
      </c>
      <c r="H669">
        <f>0.7676</f>
        <v>0.76759999999999995</v>
      </c>
    </row>
    <row r="670" spans="1:8" x14ac:dyDescent="0.25">
      <c r="A670" s="1">
        <v>43857</v>
      </c>
      <c r="C670">
        <f>24.5457</f>
        <v>24.5457</v>
      </c>
      <c r="D670">
        <f>0.9075</f>
        <v>0.90749999999999997</v>
      </c>
      <c r="E670">
        <f>108.9</f>
        <v>108.9</v>
      </c>
      <c r="F670">
        <f>1.3194</f>
        <v>1.3193999999999999</v>
      </c>
      <c r="G670">
        <f>5.9438</f>
        <v>5.9438000000000004</v>
      </c>
      <c r="H670">
        <f>0.7659</f>
        <v>0.76590000000000003</v>
      </c>
    </row>
    <row r="671" spans="1:8" x14ac:dyDescent="0.25">
      <c r="A671" s="1">
        <v>43854</v>
      </c>
      <c r="C671">
        <f>24.5412</f>
        <v>24.5412</v>
      </c>
      <c r="D671">
        <f>0.907</f>
        <v>0.90700000000000003</v>
      </c>
      <c r="E671">
        <f>109.28</f>
        <v>109.28</v>
      </c>
      <c r="F671">
        <f>1.3143</f>
        <v>1.3143</v>
      </c>
      <c r="G671">
        <f>5.939</f>
        <v>5.9390000000000001</v>
      </c>
      <c r="H671">
        <f>0.765</f>
        <v>0.76500000000000001</v>
      </c>
    </row>
    <row r="672" spans="1:8" x14ac:dyDescent="0.25">
      <c r="A672" s="1">
        <v>43853</v>
      </c>
      <c r="C672">
        <f>24.3106</f>
        <v>24.310600000000001</v>
      </c>
      <c r="D672">
        <f>0.9045</f>
        <v>0.90449999999999997</v>
      </c>
      <c r="E672">
        <f>109.49</f>
        <v>109.49</v>
      </c>
      <c r="F672">
        <f>1.3127</f>
        <v>1.3127</v>
      </c>
      <c r="G672">
        <f>5.9345</f>
        <v>5.9344999999999999</v>
      </c>
      <c r="H672">
        <f>0.7619</f>
        <v>0.76190000000000002</v>
      </c>
    </row>
    <row r="673" spans="1:8" x14ac:dyDescent="0.25">
      <c r="A673" s="1">
        <v>43852</v>
      </c>
      <c r="C673">
        <f>24.5142</f>
        <v>24.514199999999999</v>
      </c>
      <c r="D673">
        <f>0.9015</f>
        <v>0.90149999999999997</v>
      </c>
      <c r="E673">
        <f>109.84</f>
        <v>109.84</v>
      </c>
      <c r="F673">
        <f>1.3135</f>
        <v>1.3134999999999999</v>
      </c>
      <c r="G673">
        <f>5.9249</f>
        <v>5.9249000000000001</v>
      </c>
      <c r="H673">
        <f>0.7609</f>
        <v>0.76090000000000002</v>
      </c>
    </row>
    <row r="674" spans="1:8" x14ac:dyDescent="0.25">
      <c r="A674" s="1">
        <v>43851</v>
      </c>
      <c r="C674">
        <f>24.3</f>
        <v>24.3</v>
      </c>
      <c r="D674">
        <f>0.9023</f>
        <v>0.90229999999999999</v>
      </c>
      <c r="E674">
        <f>109.87</f>
        <v>109.87</v>
      </c>
      <c r="F674">
        <f>1.307</f>
        <v>1.3069999999999999</v>
      </c>
      <c r="G674">
        <f>5.938</f>
        <v>5.9379999999999997</v>
      </c>
      <c r="H674">
        <f>0.7662</f>
        <v>0.76619999999999999</v>
      </c>
    </row>
    <row r="675" spans="1:8" x14ac:dyDescent="0.25">
      <c r="A675" s="1">
        <v>43850</v>
      </c>
      <c r="C675">
        <f>24.3262</f>
        <v>24.3262</v>
      </c>
      <c r="D675">
        <f>0.9013</f>
        <v>0.90129999999999999</v>
      </c>
      <c r="E675">
        <f>110.18</f>
        <v>110.18</v>
      </c>
      <c r="F675">
        <f>1.3048</f>
        <v>1.3048</v>
      </c>
      <c r="G675">
        <f>5.9156</f>
        <v>5.9156000000000004</v>
      </c>
      <c r="H675">
        <f>0.7686</f>
        <v>0.76859999999999995</v>
      </c>
    </row>
    <row r="676" spans="1:8" x14ac:dyDescent="0.25">
      <c r="A676" s="1">
        <v>43847</v>
      </c>
      <c r="C676">
        <f>24.3115</f>
        <v>24.311499999999999</v>
      </c>
      <c r="D676">
        <f>0.9016</f>
        <v>0.90159999999999996</v>
      </c>
      <c r="E676">
        <f>110.14</f>
        <v>110.14</v>
      </c>
      <c r="F676">
        <f>1.3066</f>
        <v>1.3066</v>
      </c>
      <c r="G676">
        <f>5.8862</f>
        <v>5.8861999999999997</v>
      </c>
      <c r="H676">
        <f>0.7686</f>
        <v>0.76859999999999995</v>
      </c>
    </row>
    <row r="677" spans="1:8" x14ac:dyDescent="0.25">
      <c r="A677" s="1">
        <v>43846</v>
      </c>
      <c r="C677">
        <f>24.1026</f>
        <v>24.102599999999999</v>
      </c>
      <c r="D677">
        <f>0.8979</f>
        <v>0.89790000000000003</v>
      </c>
      <c r="E677">
        <f>110.16</f>
        <v>110.16</v>
      </c>
      <c r="F677">
        <f>1.3042</f>
        <v>1.3042</v>
      </c>
      <c r="G677">
        <f>5.8595</f>
        <v>5.8594999999999997</v>
      </c>
      <c r="H677">
        <f>0.7646</f>
        <v>0.76459999999999995</v>
      </c>
    </row>
    <row r="678" spans="1:8" x14ac:dyDescent="0.25">
      <c r="A678" s="1">
        <v>43845</v>
      </c>
      <c r="C678">
        <f>24.0712</f>
        <v>24.071200000000001</v>
      </c>
      <c r="D678">
        <f>0.8969</f>
        <v>0.89690000000000003</v>
      </c>
      <c r="E678">
        <f>109.9</f>
        <v>109.9</v>
      </c>
      <c r="F678">
        <f>1.3042</f>
        <v>1.3042</v>
      </c>
      <c r="G678">
        <f>5.8751</f>
        <v>5.8750999999999998</v>
      </c>
      <c r="H678">
        <f>0.7669</f>
        <v>0.76690000000000003</v>
      </c>
    </row>
    <row r="679" spans="1:8" x14ac:dyDescent="0.25">
      <c r="A679" s="1">
        <v>43844</v>
      </c>
      <c r="C679">
        <f>23.7665</f>
        <v>23.766500000000001</v>
      </c>
      <c r="D679">
        <f>0.8988</f>
        <v>0.89880000000000004</v>
      </c>
      <c r="E679">
        <f>109.99</f>
        <v>109.99</v>
      </c>
      <c r="F679">
        <f>1.3062</f>
        <v>1.3062</v>
      </c>
      <c r="G679">
        <f>5.8815</f>
        <v>5.8815</v>
      </c>
      <c r="H679">
        <f>0.7681</f>
        <v>0.7681</v>
      </c>
    </row>
    <row r="680" spans="1:8" x14ac:dyDescent="0.25">
      <c r="A680" s="1">
        <v>43843</v>
      </c>
      <c r="C680">
        <f>24.1625</f>
        <v>24.162500000000001</v>
      </c>
      <c r="D680">
        <f>0.8981</f>
        <v>0.89810000000000001</v>
      </c>
      <c r="E680">
        <f>109.95</f>
        <v>109.95</v>
      </c>
      <c r="F680">
        <f>1.3057</f>
        <v>1.3057000000000001</v>
      </c>
      <c r="G680">
        <f>5.8675</f>
        <v>5.8674999999999997</v>
      </c>
      <c r="H680">
        <f>0.7699</f>
        <v>0.76990000000000003</v>
      </c>
    </row>
    <row r="681" spans="1:8" x14ac:dyDescent="0.25">
      <c r="A681" s="1">
        <v>43840</v>
      </c>
      <c r="C681">
        <f>23.9419</f>
        <v>23.9419</v>
      </c>
      <c r="D681">
        <f>0.8993</f>
        <v>0.89929999999999999</v>
      </c>
      <c r="E681">
        <f>109.45</f>
        <v>109.45</v>
      </c>
      <c r="F681">
        <f>1.305</f>
        <v>1.3049999999999999</v>
      </c>
      <c r="G681">
        <f>5.8808</f>
        <v>5.8807999999999998</v>
      </c>
      <c r="H681">
        <f>0.7655</f>
        <v>0.76549999999999996</v>
      </c>
    </row>
    <row r="682" spans="1:8" x14ac:dyDescent="0.25">
      <c r="A682" s="1">
        <v>43839</v>
      </c>
      <c r="C682">
        <f>24.103</f>
        <v>24.103000000000002</v>
      </c>
      <c r="D682">
        <f>0.9004</f>
        <v>0.90039999999999998</v>
      </c>
      <c r="E682">
        <f>109.52</f>
        <v>109.52</v>
      </c>
      <c r="F682">
        <f>1.3056</f>
        <v>1.3056000000000001</v>
      </c>
      <c r="G682">
        <f>5.8745</f>
        <v>5.8745000000000003</v>
      </c>
      <c r="H682">
        <f>0.7652</f>
        <v>0.76519999999999999</v>
      </c>
    </row>
    <row r="683" spans="1:8" x14ac:dyDescent="0.25">
      <c r="A683" s="1">
        <v>43838</v>
      </c>
      <c r="C683">
        <f>24.005</f>
        <v>24.004999999999999</v>
      </c>
      <c r="D683">
        <f>0.9005</f>
        <v>0.90049999999999997</v>
      </c>
      <c r="E683">
        <f>109.12</f>
        <v>109.12</v>
      </c>
      <c r="F683">
        <f>1.3039</f>
        <v>1.3039000000000001</v>
      </c>
      <c r="G683">
        <f>5.9082</f>
        <v>5.9081999999999999</v>
      </c>
      <c r="H683">
        <f>0.7636</f>
        <v>0.76359999999999995</v>
      </c>
    </row>
    <row r="684" spans="1:8" x14ac:dyDescent="0.25">
      <c r="A684" s="1">
        <v>43837</v>
      </c>
      <c r="C684">
        <f>23.7156</f>
        <v>23.715599999999998</v>
      </c>
      <c r="D684">
        <f>0.8966</f>
        <v>0.89659999999999995</v>
      </c>
      <c r="E684">
        <f>108.44</f>
        <v>108.44</v>
      </c>
      <c r="F684">
        <f>1.3004</f>
        <v>1.3004</v>
      </c>
      <c r="G684">
        <f>5.9724</f>
        <v>5.9724000000000004</v>
      </c>
      <c r="H684">
        <f>0.762</f>
        <v>0.76200000000000001</v>
      </c>
    </row>
    <row r="685" spans="1:8" x14ac:dyDescent="0.25">
      <c r="A685" s="1">
        <v>43836</v>
      </c>
      <c r="C685">
        <f>23.7016</f>
        <v>23.701599999999999</v>
      </c>
      <c r="D685">
        <f>0.8931</f>
        <v>0.8931</v>
      </c>
      <c r="E685">
        <f>108.37</f>
        <v>108.37</v>
      </c>
      <c r="F685">
        <f>1.2965</f>
        <v>1.2965</v>
      </c>
      <c r="G685">
        <f>5.9692</f>
        <v>5.9691999999999998</v>
      </c>
      <c r="H685">
        <f>0.7593</f>
        <v>0.75929999999999997</v>
      </c>
    </row>
    <row r="686" spans="1:8" x14ac:dyDescent="0.25">
      <c r="A686" s="1">
        <v>43833</v>
      </c>
      <c r="C686">
        <f>23.7058</f>
        <v>23.7058</v>
      </c>
      <c r="D686">
        <f>0.896</f>
        <v>0.89600000000000002</v>
      </c>
      <c r="E686">
        <f>108.09</f>
        <v>108.09</v>
      </c>
      <c r="F686">
        <f>1.3001</f>
        <v>1.3001</v>
      </c>
      <c r="G686">
        <f>5.9716</f>
        <v>5.9715999999999996</v>
      </c>
      <c r="H686">
        <f>0.7643</f>
        <v>0.76429999999999998</v>
      </c>
    </row>
    <row r="687" spans="1:8" x14ac:dyDescent="0.25">
      <c r="A687" s="1">
        <v>43832</v>
      </c>
      <c r="C687">
        <f>23.713</f>
        <v>23.713000000000001</v>
      </c>
      <c r="D687">
        <f>0.895</f>
        <v>0.89500000000000002</v>
      </c>
      <c r="E687">
        <f>108.57</f>
        <v>108.57</v>
      </c>
      <c r="F687">
        <f>1.2981</f>
        <v>1.2981</v>
      </c>
      <c r="G687">
        <f>5.9574</f>
        <v>5.9573999999999998</v>
      </c>
      <c r="H687">
        <f>0.7611</f>
        <v>0.7611</v>
      </c>
    </row>
    <row r="688" spans="1:8" x14ac:dyDescent="0.25">
      <c r="A688" s="1">
        <v>43831</v>
      </c>
      <c r="C688" t="e">
        <f>NA()</f>
        <v>#N/A</v>
      </c>
      <c r="D688">
        <f>0.8917</f>
        <v>0.89170000000000005</v>
      </c>
      <c r="E688">
        <f>108.76</f>
        <v>108.76</v>
      </c>
      <c r="F688">
        <f>1.2987</f>
        <v>1.2987</v>
      </c>
      <c r="G688">
        <f>5.9466</f>
        <v>5.9466000000000001</v>
      </c>
      <c r="H688">
        <f>0.7546</f>
        <v>0.75460000000000005</v>
      </c>
    </row>
    <row r="689" spans="1:8" x14ac:dyDescent="0.25">
      <c r="A689" s="1">
        <v>43830</v>
      </c>
      <c r="C689" t="e">
        <f>NA()</f>
        <v>#N/A</v>
      </c>
      <c r="D689">
        <f>0.8919</f>
        <v>0.89190000000000003</v>
      </c>
      <c r="E689">
        <f>108.61</f>
        <v>108.61</v>
      </c>
      <c r="F689">
        <f>1.299</f>
        <v>1.2989999999999999</v>
      </c>
      <c r="G689">
        <f>5.9511</f>
        <v>5.9511000000000003</v>
      </c>
      <c r="H689">
        <f>0.7543</f>
        <v>0.75429999999999997</v>
      </c>
    </row>
    <row r="690" spans="1:8" x14ac:dyDescent="0.25">
      <c r="A690" s="1">
        <v>43829</v>
      </c>
      <c r="C690" t="e">
        <f>NA()</f>
        <v>#N/A</v>
      </c>
      <c r="D690">
        <f>0.893</f>
        <v>0.89300000000000002</v>
      </c>
      <c r="E690">
        <f>108.88</f>
        <v>108.88</v>
      </c>
      <c r="F690">
        <f>1.3069</f>
        <v>1.3069</v>
      </c>
      <c r="G690">
        <f>5.9478</f>
        <v>5.9478</v>
      </c>
      <c r="H690">
        <f>0.7627</f>
        <v>0.76270000000000004</v>
      </c>
    </row>
    <row r="691" spans="1:8" x14ac:dyDescent="0.25">
      <c r="A691" s="1">
        <v>43826</v>
      </c>
      <c r="C691">
        <f>23.8075</f>
        <v>23.807500000000001</v>
      </c>
      <c r="D691">
        <f>0.8947</f>
        <v>0.89470000000000005</v>
      </c>
      <c r="E691">
        <f>109.44</f>
        <v>109.44</v>
      </c>
      <c r="F691">
        <f>1.3079</f>
        <v>1.3079000000000001</v>
      </c>
      <c r="G691">
        <f>5.9494</f>
        <v>5.9493999999999998</v>
      </c>
      <c r="H691">
        <f>0.7645</f>
        <v>0.76449999999999996</v>
      </c>
    </row>
    <row r="692" spans="1:8" x14ac:dyDescent="0.25">
      <c r="A692" s="1">
        <v>43825</v>
      </c>
      <c r="C692">
        <f>23.6674</f>
        <v>23.667400000000001</v>
      </c>
      <c r="D692">
        <f>0.9012</f>
        <v>0.9012</v>
      </c>
      <c r="E692">
        <f>109.63</f>
        <v>109.63</v>
      </c>
      <c r="F692">
        <f>1.3122</f>
        <v>1.3122</v>
      </c>
      <c r="G692">
        <f>5.9324</f>
        <v>5.9324000000000003</v>
      </c>
      <c r="H692">
        <f>0.7695</f>
        <v>0.76949999999999996</v>
      </c>
    </row>
    <row r="693" spans="1:8" x14ac:dyDescent="0.25">
      <c r="A693" s="1">
        <v>43824</v>
      </c>
      <c r="C693">
        <f>23.2182</f>
        <v>23.2182</v>
      </c>
      <c r="D693">
        <f>0.9016</f>
        <v>0.90159999999999996</v>
      </c>
      <c r="E693">
        <f>109.38</f>
        <v>109.38</v>
      </c>
      <c r="F693">
        <f>1.316</f>
        <v>1.3160000000000001</v>
      </c>
      <c r="G693">
        <f>5.9399</f>
        <v>5.9398999999999997</v>
      </c>
      <c r="H693">
        <f>0.7719</f>
        <v>0.77190000000000003</v>
      </c>
    </row>
    <row r="694" spans="1:8" x14ac:dyDescent="0.25">
      <c r="A694" s="1">
        <v>43823</v>
      </c>
      <c r="C694">
        <f>23.2234</f>
        <v>23.223400000000002</v>
      </c>
      <c r="D694">
        <f>0.9018</f>
        <v>0.90180000000000005</v>
      </c>
      <c r="E694">
        <f>109.39</f>
        <v>109.39</v>
      </c>
      <c r="F694">
        <f>1.3165</f>
        <v>1.3165</v>
      </c>
      <c r="G694">
        <f>5.9498</f>
        <v>5.9497999999999998</v>
      </c>
      <c r="H694">
        <f>0.7724</f>
        <v>0.77239999999999998</v>
      </c>
    </row>
    <row r="695" spans="1:8" x14ac:dyDescent="0.25">
      <c r="A695" s="1">
        <v>43822</v>
      </c>
      <c r="C695">
        <f>23.2428</f>
        <v>23.242799999999999</v>
      </c>
      <c r="D695">
        <f>0.9018</f>
        <v>0.90180000000000005</v>
      </c>
      <c r="E695">
        <f>109.4</f>
        <v>109.4</v>
      </c>
      <c r="F695">
        <f>1.3148</f>
        <v>1.3148</v>
      </c>
      <c r="G695">
        <f>5.9488</f>
        <v>5.9488000000000003</v>
      </c>
      <c r="H695">
        <f>0.7731</f>
        <v>0.77310000000000001</v>
      </c>
    </row>
    <row r="696" spans="1:8" x14ac:dyDescent="0.25">
      <c r="A696" s="1">
        <v>43819</v>
      </c>
      <c r="C696">
        <f>23.305</f>
        <v>23.305</v>
      </c>
      <c r="D696">
        <f>0.9027</f>
        <v>0.90269999999999995</v>
      </c>
      <c r="E696">
        <f>109.44</f>
        <v>109.44</v>
      </c>
      <c r="F696">
        <f>1.3161</f>
        <v>1.3161</v>
      </c>
      <c r="G696">
        <f>5.938</f>
        <v>5.9379999999999997</v>
      </c>
      <c r="H696">
        <f>0.7692</f>
        <v>0.76919999999999999</v>
      </c>
    </row>
    <row r="697" spans="1:8" x14ac:dyDescent="0.25">
      <c r="A697" s="1">
        <v>43818</v>
      </c>
      <c r="C697">
        <f>23.2803</f>
        <v>23.2803</v>
      </c>
      <c r="D697">
        <f>0.8992</f>
        <v>0.8992</v>
      </c>
      <c r="E697">
        <f>109.37</f>
        <v>109.37</v>
      </c>
      <c r="F697">
        <f>1.3125</f>
        <v>1.3125</v>
      </c>
      <c r="G697">
        <f>5.9417</f>
        <v>5.9417</v>
      </c>
      <c r="H697">
        <f>0.7687</f>
        <v>0.76870000000000005</v>
      </c>
    </row>
    <row r="698" spans="1:8" x14ac:dyDescent="0.25">
      <c r="A698" s="1">
        <v>43817</v>
      </c>
      <c r="C698">
        <f>23.4419</f>
        <v>23.4419</v>
      </c>
      <c r="D698">
        <f>0.8998</f>
        <v>0.89980000000000004</v>
      </c>
      <c r="E698">
        <f>109.55</f>
        <v>109.55</v>
      </c>
      <c r="F698">
        <f>1.3115</f>
        <v>1.3115000000000001</v>
      </c>
      <c r="G698">
        <f>5.9269</f>
        <v>5.9268999999999998</v>
      </c>
      <c r="H698">
        <f>0.7646</f>
        <v>0.76459999999999995</v>
      </c>
    </row>
    <row r="699" spans="1:8" x14ac:dyDescent="0.25">
      <c r="A699" s="1">
        <v>43816</v>
      </c>
      <c r="C699">
        <f>23.405</f>
        <v>23.405000000000001</v>
      </c>
      <c r="D699">
        <f>0.8968</f>
        <v>0.89680000000000004</v>
      </c>
      <c r="E699">
        <f>109.48</f>
        <v>109.48</v>
      </c>
      <c r="F699">
        <f>1.316</f>
        <v>1.3160000000000001</v>
      </c>
      <c r="G699">
        <f>5.8864</f>
        <v>5.8864000000000001</v>
      </c>
      <c r="H699">
        <f>0.7616</f>
        <v>0.76160000000000005</v>
      </c>
    </row>
    <row r="700" spans="1:8" x14ac:dyDescent="0.25">
      <c r="A700" s="1">
        <v>43815</v>
      </c>
      <c r="C700">
        <f>23.4743</f>
        <v>23.474299999999999</v>
      </c>
      <c r="D700">
        <f>0.8973</f>
        <v>0.89729999999999999</v>
      </c>
      <c r="E700">
        <f>109.55</f>
        <v>109.55</v>
      </c>
      <c r="F700">
        <f>1.3155</f>
        <v>1.3154999999999999</v>
      </c>
      <c r="G700">
        <f>5.8496</f>
        <v>5.8495999999999997</v>
      </c>
      <c r="H700">
        <f>0.7499</f>
        <v>0.74990000000000001</v>
      </c>
    </row>
    <row r="701" spans="1:8" x14ac:dyDescent="0.25">
      <c r="A701" s="1">
        <v>43812</v>
      </c>
      <c r="C701">
        <f>23.4483</f>
        <v>23.4483</v>
      </c>
      <c r="D701">
        <f>0.8991</f>
        <v>0.89910000000000001</v>
      </c>
      <c r="E701">
        <f>109.38</f>
        <v>109.38</v>
      </c>
      <c r="F701">
        <f>1.3166</f>
        <v>1.3166</v>
      </c>
      <c r="G701">
        <f>5.8061</f>
        <v>5.8060999999999998</v>
      </c>
      <c r="H701">
        <f>0.7503</f>
        <v>0.75029999999999997</v>
      </c>
    </row>
    <row r="702" spans="1:8" x14ac:dyDescent="0.25">
      <c r="A702" s="1">
        <v>43811</v>
      </c>
      <c r="C702">
        <f>23.5224</f>
        <v>23.522400000000001</v>
      </c>
      <c r="D702">
        <f>0.8985</f>
        <v>0.89849999999999997</v>
      </c>
      <c r="E702">
        <f>109.31</f>
        <v>109.31</v>
      </c>
      <c r="F702">
        <f>1.3185</f>
        <v>1.3185</v>
      </c>
      <c r="G702">
        <f>5.7914</f>
        <v>5.7914000000000003</v>
      </c>
      <c r="H702">
        <f>0.7596</f>
        <v>0.75960000000000005</v>
      </c>
    </row>
    <row r="703" spans="1:8" x14ac:dyDescent="0.25">
      <c r="A703" s="1">
        <v>43810</v>
      </c>
      <c r="C703">
        <f>23.5187</f>
        <v>23.518699999999999</v>
      </c>
      <c r="D703">
        <f>0.8985</f>
        <v>0.89849999999999997</v>
      </c>
      <c r="E703">
        <f>108.56</f>
        <v>108.56</v>
      </c>
      <c r="F703">
        <f>1.3174</f>
        <v>1.3173999999999999</v>
      </c>
      <c r="G703">
        <f>5.8035</f>
        <v>5.8034999999999997</v>
      </c>
      <c r="H703">
        <f>0.7579</f>
        <v>0.75790000000000002</v>
      </c>
    </row>
    <row r="704" spans="1:8" x14ac:dyDescent="0.25">
      <c r="A704" s="1">
        <v>43809</v>
      </c>
      <c r="C704">
        <f>23.6203</f>
        <v>23.6203</v>
      </c>
      <c r="D704">
        <f>0.9015</f>
        <v>0.90149999999999997</v>
      </c>
      <c r="E704">
        <f>108.72</f>
        <v>108.72</v>
      </c>
      <c r="F704">
        <f>1.323</f>
        <v>1.323</v>
      </c>
      <c r="G704">
        <f>5.8054</f>
        <v>5.8053999999999997</v>
      </c>
      <c r="H704">
        <f>0.7601</f>
        <v>0.7601</v>
      </c>
    </row>
    <row r="705" spans="1:8" x14ac:dyDescent="0.25">
      <c r="A705" s="1">
        <v>43808</v>
      </c>
      <c r="C705">
        <f>23.7098</f>
        <v>23.709800000000001</v>
      </c>
      <c r="D705">
        <f>0.9038</f>
        <v>0.90380000000000005</v>
      </c>
      <c r="E705">
        <f>108.56</f>
        <v>108.56</v>
      </c>
      <c r="F705">
        <f>1.3239</f>
        <v>1.3239000000000001</v>
      </c>
      <c r="G705">
        <f>5.8094</f>
        <v>5.8094000000000001</v>
      </c>
      <c r="H705">
        <f>0.7607</f>
        <v>0.76070000000000004</v>
      </c>
    </row>
    <row r="706" spans="1:8" x14ac:dyDescent="0.25">
      <c r="A706" s="1">
        <v>43805</v>
      </c>
      <c r="C706">
        <f>23.7803</f>
        <v>23.7803</v>
      </c>
      <c r="D706">
        <f>0.9039</f>
        <v>0.90390000000000004</v>
      </c>
      <c r="E706">
        <f>108.58</f>
        <v>108.58</v>
      </c>
      <c r="F706">
        <f>1.3255</f>
        <v>1.3254999999999999</v>
      </c>
      <c r="G706">
        <f>5.7758</f>
        <v>5.7758000000000003</v>
      </c>
      <c r="H706">
        <f>0.761</f>
        <v>0.76100000000000001</v>
      </c>
    </row>
    <row r="707" spans="1:8" x14ac:dyDescent="0.25">
      <c r="A707" s="1">
        <v>43804</v>
      </c>
      <c r="C707">
        <f>23.8087</f>
        <v>23.808700000000002</v>
      </c>
      <c r="D707">
        <f>0.9006</f>
        <v>0.90059999999999996</v>
      </c>
      <c r="E707">
        <f>108.76</f>
        <v>108.76</v>
      </c>
      <c r="F707">
        <f>1.3174</f>
        <v>1.3173999999999999</v>
      </c>
      <c r="G707">
        <f>5.7486</f>
        <v>5.7485999999999997</v>
      </c>
      <c r="H707">
        <f>0.7601</f>
        <v>0.7601</v>
      </c>
    </row>
    <row r="708" spans="1:8" x14ac:dyDescent="0.25">
      <c r="A708" s="1">
        <v>43803</v>
      </c>
      <c r="C708">
        <f>23.875</f>
        <v>23.875</v>
      </c>
      <c r="D708">
        <f>0.9027</f>
        <v>0.90269999999999995</v>
      </c>
      <c r="E708">
        <f>108.86</f>
        <v>108.86</v>
      </c>
      <c r="F708">
        <f>1.3201</f>
        <v>1.3201000000000001</v>
      </c>
      <c r="G708">
        <f>5.749</f>
        <v>5.7489999999999997</v>
      </c>
      <c r="H708">
        <f>0.7631</f>
        <v>0.7631</v>
      </c>
    </row>
    <row r="709" spans="1:8" x14ac:dyDescent="0.25">
      <c r="A709" s="1">
        <v>43802</v>
      </c>
      <c r="C709">
        <f>23.9462</f>
        <v>23.946200000000001</v>
      </c>
      <c r="D709">
        <f>0.9024</f>
        <v>0.90239999999999998</v>
      </c>
      <c r="E709">
        <f>108.63</f>
        <v>108.63</v>
      </c>
      <c r="F709">
        <f>1.3296</f>
        <v>1.3295999999999999</v>
      </c>
      <c r="G709">
        <f>5.7421</f>
        <v>5.7420999999999998</v>
      </c>
      <c r="H709">
        <f>0.7695</f>
        <v>0.76949999999999996</v>
      </c>
    </row>
    <row r="710" spans="1:8" x14ac:dyDescent="0.25">
      <c r="A710" s="1">
        <v>43801</v>
      </c>
      <c r="C710">
        <f>23.82</f>
        <v>23.82</v>
      </c>
      <c r="D710">
        <f>0.9026</f>
        <v>0.90259999999999996</v>
      </c>
      <c r="E710">
        <f>108.98</f>
        <v>108.98</v>
      </c>
      <c r="F710">
        <f>1.3308</f>
        <v>1.3308</v>
      </c>
      <c r="G710">
        <f>5.741</f>
        <v>5.7409999999999997</v>
      </c>
      <c r="H710">
        <f>0.7727</f>
        <v>0.77270000000000005</v>
      </c>
    </row>
    <row r="711" spans="1:8" x14ac:dyDescent="0.25">
      <c r="A711" s="1">
        <v>43798</v>
      </c>
      <c r="C711">
        <f>23.9975</f>
        <v>23.997499999999999</v>
      </c>
      <c r="D711">
        <f>0.9076</f>
        <v>0.90759999999999996</v>
      </c>
      <c r="E711">
        <f>109.49</f>
        <v>109.49</v>
      </c>
      <c r="F711">
        <f>1.3282</f>
        <v>1.3282</v>
      </c>
      <c r="G711">
        <f>5.7504</f>
        <v>5.7504</v>
      </c>
      <c r="H711">
        <f>0.7733</f>
        <v>0.77329999999999999</v>
      </c>
    </row>
    <row r="712" spans="1:8" x14ac:dyDescent="0.25">
      <c r="A712" s="1">
        <v>43797</v>
      </c>
      <c r="C712">
        <f>23.995</f>
        <v>23.995000000000001</v>
      </c>
      <c r="D712">
        <f>0.9083</f>
        <v>0.9083</v>
      </c>
      <c r="E712">
        <f>109.51</f>
        <v>109.51</v>
      </c>
      <c r="F712">
        <f>1.3282</f>
        <v>1.3282</v>
      </c>
      <c r="G712">
        <f>5.7572</f>
        <v>5.7572000000000001</v>
      </c>
      <c r="H712">
        <f>0.7745</f>
        <v>0.77449999999999997</v>
      </c>
    </row>
    <row r="713" spans="1:8" x14ac:dyDescent="0.25">
      <c r="A713" s="1">
        <v>43796</v>
      </c>
      <c r="C713">
        <f>24.0115</f>
        <v>24.011500000000002</v>
      </c>
      <c r="D713">
        <f>0.9092</f>
        <v>0.90920000000000001</v>
      </c>
      <c r="E713">
        <f>109.54</f>
        <v>109.54</v>
      </c>
      <c r="F713">
        <f>1.3282</f>
        <v>1.3282</v>
      </c>
      <c r="G713">
        <f>5.7745</f>
        <v>5.7744999999999997</v>
      </c>
      <c r="H713">
        <f>0.7738</f>
        <v>0.77380000000000004</v>
      </c>
    </row>
    <row r="714" spans="1:8" x14ac:dyDescent="0.25">
      <c r="A714" s="1">
        <v>43795</v>
      </c>
      <c r="C714">
        <f>23.9683</f>
        <v>23.968299999999999</v>
      </c>
      <c r="D714">
        <f>0.9073</f>
        <v>0.9073</v>
      </c>
      <c r="E714">
        <f>109.05</f>
        <v>109.05</v>
      </c>
      <c r="F714">
        <f>1.3272</f>
        <v>1.3271999999999999</v>
      </c>
      <c r="G714">
        <f>5.7593</f>
        <v>5.7592999999999996</v>
      </c>
      <c r="H714">
        <f>0.7772</f>
        <v>0.7772</v>
      </c>
    </row>
    <row r="715" spans="1:8" x14ac:dyDescent="0.25">
      <c r="A715" s="1">
        <v>43794</v>
      </c>
      <c r="C715">
        <f>23.96</f>
        <v>23.96</v>
      </c>
      <c r="D715">
        <f>0.9081</f>
        <v>0.90810000000000002</v>
      </c>
      <c r="E715">
        <f>108.93</f>
        <v>108.93</v>
      </c>
      <c r="F715">
        <f>1.3299</f>
        <v>1.3299000000000001</v>
      </c>
      <c r="G715">
        <f>5.7418</f>
        <v>5.7417999999999996</v>
      </c>
      <c r="H715">
        <f>0.7752</f>
        <v>0.7752</v>
      </c>
    </row>
    <row r="716" spans="1:8" x14ac:dyDescent="0.25">
      <c r="A716" s="1">
        <v>43791</v>
      </c>
      <c r="C716">
        <f>24.1045</f>
        <v>24.104500000000002</v>
      </c>
      <c r="D716">
        <f>0.9074</f>
        <v>0.90739999999999998</v>
      </c>
      <c r="E716">
        <f>108.66</f>
        <v>108.66</v>
      </c>
      <c r="F716">
        <f>1.3302</f>
        <v>1.3302</v>
      </c>
      <c r="G716">
        <f>5.713</f>
        <v>5.7130000000000001</v>
      </c>
      <c r="H716">
        <f>0.7792</f>
        <v>0.7792</v>
      </c>
    </row>
    <row r="717" spans="1:8" x14ac:dyDescent="0.25">
      <c r="A717" s="1">
        <v>43790</v>
      </c>
      <c r="C717">
        <f>24.1937</f>
        <v>24.1937</v>
      </c>
      <c r="D717">
        <f>0.9043</f>
        <v>0.90429999999999999</v>
      </c>
      <c r="E717">
        <f>108.63</f>
        <v>108.63</v>
      </c>
      <c r="F717">
        <f>1.3285</f>
        <v>1.3285</v>
      </c>
      <c r="G717">
        <f>5.697</f>
        <v>5.6970000000000001</v>
      </c>
      <c r="H717">
        <f>0.7745</f>
        <v>0.77449999999999997</v>
      </c>
    </row>
    <row r="718" spans="1:8" x14ac:dyDescent="0.25">
      <c r="A718" s="1">
        <v>43789</v>
      </c>
      <c r="C718">
        <f>24.1089</f>
        <v>24.108899999999998</v>
      </c>
      <c r="D718">
        <f>0.9032</f>
        <v>0.9032</v>
      </c>
      <c r="E718">
        <f>108.61</f>
        <v>108.61</v>
      </c>
      <c r="F718">
        <f>1.3304</f>
        <v>1.3304</v>
      </c>
      <c r="G718">
        <f>5.6998</f>
        <v>5.6997999999999998</v>
      </c>
      <c r="H718">
        <f>0.7738</f>
        <v>0.77380000000000004</v>
      </c>
    </row>
    <row r="719" spans="1:8" x14ac:dyDescent="0.25">
      <c r="A719" s="1">
        <v>43788</v>
      </c>
      <c r="C719">
        <f>24.1385</f>
        <v>24.138500000000001</v>
      </c>
      <c r="D719">
        <f>0.9027</f>
        <v>0.90269999999999995</v>
      </c>
      <c r="E719">
        <f>108.54</f>
        <v>108.54</v>
      </c>
      <c r="F719">
        <f>1.3268</f>
        <v>1.3268</v>
      </c>
      <c r="G719">
        <f>5.699</f>
        <v>5.6989999999999998</v>
      </c>
      <c r="H719">
        <f>0.7736</f>
        <v>0.77359999999999995</v>
      </c>
    </row>
    <row r="720" spans="1:8" x14ac:dyDescent="0.25">
      <c r="A720" s="1">
        <v>43787</v>
      </c>
      <c r="C720">
        <f>24.2059</f>
        <v>24.2059</v>
      </c>
      <c r="D720">
        <f>0.9032</f>
        <v>0.9032</v>
      </c>
      <c r="E720">
        <f>108.68</f>
        <v>108.68</v>
      </c>
      <c r="F720">
        <f>1.3206</f>
        <v>1.3206</v>
      </c>
      <c r="G720">
        <f>5.7357</f>
        <v>5.7356999999999996</v>
      </c>
      <c r="H720">
        <f>0.7721</f>
        <v>0.77210000000000001</v>
      </c>
    </row>
    <row r="721" spans="1:8" x14ac:dyDescent="0.25">
      <c r="A721" s="1">
        <v>43784</v>
      </c>
      <c r="C721">
        <f>24.1441</f>
        <v>24.144100000000002</v>
      </c>
      <c r="D721">
        <f>0.9049</f>
        <v>0.90490000000000004</v>
      </c>
      <c r="E721">
        <f>108.8</f>
        <v>108.8</v>
      </c>
      <c r="F721">
        <f>1.3223</f>
        <v>1.3223</v>
      </c>
      <c r="G721">
        <f>5.7477</f>
        <v>5.7477</v>
      </c>
      <c r="H721">
        <f>0.775</f>
        <v>0.77500000000000002</v>
      </c>
    </row>
    <row r="722" spans="1:8" x14ac:dyDescent="0.25">
      <c r="A722" s="1">
        <v>43783</v>
      </c>
      <c r="C722">
        <f>24.1506</f>
        <v>24.150600000000001</v>
      </c>
      <c r="D722">
        <f>0.9074</f>
        <v>0.90739999999999998</v>
      </c>
      <c r="E722">
        <f>108.42</f>
        <v>108.42</v>
      </c>
      <c r="F722">
        <f>1.3248</f>
        <v>1.3248</v>
      </c>
      <c r="G722">
        <f>5.748</f>
        <v>5.7480000000000002</v>
      </c>
      <c r="H722">
        <f>0.7763</f>
        <v>0.77629999999999999</v>
      </c>
    </row>
    <row r="723" spans="1:8" x14ac:dyDescent="0.25">
      <c r="A723" s="1">
        <v>43782</v>
      </c>
      <c r="C723">
        <f>24.2708</f>
        <v>24.270800000000001</v>
      </c>
      <c r="D723">
        <f>0.9085</f>
        <v>0.90849999999999997</v>
      </c>
      <c r="E723">
        <f>108.82</f>
        <v>108.82</v>
      </c>
      <c r="F723">
        <f>1.3251</f>
        <v>1.3250999999999999</v>
      </c>
      <c r="G723">
        <f>5.7396</f>
        <v>5.7396000000000003</v>
      </c>
      <c r="H723">
        <f>0.7781</f>
        <v>0.77810000000000001</v>
      </c>
    </row>
    <row r="724" spans="1:8" x14ac:dyDescent="0.25">
      <c r="A724" s="1">
        <v>43781</v>
      </c>
      <c r="C724">
        <f>24.3674</f>
        <v>24.3674</v>
      </c>
      <c r="D724">
        <f>0.9083</f>
        <v>0.9083</v>
      </c>
      <c r="E724">
        <f>109.01</f>
        <v>109.01</v>
      </c>
      <c r="F724">
        <f>1.3233</f>
        <v>1.3232999999999999</v>
      </c>
      <c r="G724">
        <f>5.7769</f>
        <v>5.7769000000000004</v>
      </c>
      <c r="H724">
        <f>0.7785</f>
        <v>0.77849999999999997</v>
      </c>
    </row>
    <row r="725" spans="1:8" x14ac:dyDescent="0.25">
      <c r="A725" s="1">
        <v>43780</v>
      </c>
      <c r="C725">
        <f>24.5389</f>
        <v>24.538900000000002</v>
      </c>
      <c r="D725">
        <f>0.9063</f>
        <v>0.90629999999999999</v>
      </c>
      <c r="E725">
        <f>109.05</f>
        <v>109.05</v>
      </c>
      <c r="F725">
        <f>1.3233</f>
        <v>1.3232999999999999</v>
      </c>
      <c r="G725">
        <f>5.7715</f>
        <v>5.7714999999999996</v>
      </c>
      <c r="H725">
        <f>0.778</f>
        <v>0.77800000000000002</v>
      </c>
    </row>
    <row r="726" spans="1:8" x14ac:dyDescent="0.25">
      <c r="A726" s="1">
        <v>43777</v>
      </c>
      <c r="C726">
        <f>24.5035</f>
        <v>24.503499999999999</v>
      </c>
      <c r="D726">
        <f>0.9076</f>
        <v>0.90759999999999996</v>
      </c>
      <c r="E726">
        <f>109.26</f>
        <v>109.26</v>
      </c>
      <c r="F726">
        <f>1.3228</f>
        <v>1.3228</v>
      </c>
      <c r="G726">
        <f>5.7662</f>
        <v>5.7662000000000004</v>
      </c>
      <c r="H726">
        <f>0.7828</f>
        <v>0.78280000000000005</v>
      </c>
    </row>
    <row r="727" spans="1:8" x14ac:dyDescent="0.25">
      <c r="A727" s="1">
        <v>43776</v>
      </c>
      <c r="C727">
        <f>24.5045</f>
        <v>24.5045</v>
      </c>
      <c r="D727">
        <f>0.905</f>
        <v>0.90500000000000003</v>
      </c>
      <c r="E727">
        <f>109.28</f>
        <v>109.28</v>
      </c>
      <c r="F727">
        <f>1.3174</f>
        <v>1.3173999999999999</v>
      </c>
      <c r="G727">
        <f>5.7526</f>
        <v>5.7526000000000002</v>
      </c>
      <c r="H727">
        <f>0.7803</f>
        <v>0.78029999999999999</v>
      </c>
    </row>
    <row r="728" spans="1:8" x14ac:dyDescent="0.25">
      <c r="A728" s="1">
        <v>43775</v>
      </c>
      <c r="C728">
        <f>24.6631</f>
        <v>24.6631</v>
      </c>
      <c r="D728">
        <f>0.9037</f>
        <v>0.90369999999999995</v>
      </c>
      <c r="E728">
        <f>108.98</f>
        <v>108.98</v>
      </c>
      <c r="F728">
        <f>1.3181</f>
        <v>1.3181</v>
      </c>
      <c r="G728">
        <f>5.7498</f>
        <v>5.7497999999999996</v>
      </c>
      <c r="H728">
        <f>0.7779</f>
        <v>0.77790000000000004</v>
      </c>
    </row>
    <row r="729" spans="1:8" x14ac:dyDescent="0.25">
      <c r="A729" s="1">
        <v>43774</v>
      </c>
      <c r="C729">
        <f>24.6723</f>
        <v>24.6723</v>
      </c>
      <c r="D729">
        <f>0.903</f>
        <v>0.90300000000000002</v>
      </c>
      <c r="E729">
        <f>109.16</f>
        <v>109.16</v>
      </c>
      <c r="F729">
        <f>1.3157</f>
        <v>1.3157000000000001</v>
      </c>
      <c r="G729">
        <f>5.7535</f>
        <v>5.7534999999999998</v>
      </c>
      <c r="H729">
        <f>0.7762</f>
        <v>0.7762</v>
      </c>
    </row>
    <row r="730" spans="1:8" x14ac:dyDescent="0.25">
      <c r="A730" s="1">
        <v>43773</v>
      </c>
      <c r="C730">
        <f>24.7776</f>
        <v>24.7776</v>
      </c>
      <c r="D730">
        <f>0.8986</f>
        <v>0.89859999999999995</v>
      </c>
      <c r="E730">
        <f>108.58</f>
        <v>108.58</v>
      </c>
      <c r="F730">
        <f>1.3151</f>
        <v>1.3150999999999999</v>
      </c>
      <c r="G730">
        <f>5.7384</f>
        <v>5.7384000000000004</v>
      </c>
      <c r="H730">
        <f>0.7761</f>
        <v>0.77610000000000001</v>
      </c>
    </row>
    <row r="731" spans="1:8" x14ac:dyDescent="0.25">
      <c r="A731" s="1">
        <v>43770</v>
      </c>
      <c r="C731">
        <f>24.7959</f>
        <v>24.7959</v>
      </c>
      <c r="D731">
        <f>0.8956</f>
        <v>0.89559999999999995</v>
      </c>
      <c r="E731">
        <f>108.19</f>
        <v>108.19</v>
      </c>
      <c r="F731">
        <f>1.3142</f>
        <v>1.3142</v>
      </c>
      <c r="G731">
        <f>5.7127</f>
        <v>5.7126999999999999</v>
      </c>
      <c r="H731">
        <f>0.7729</f>
        <v>0.77290000000000003</v>
      </c>
    </row>
    <row r="732" spans="1:8" x14ac:dyDescent="0.25">
      <c r="A732" s="1">
        <v>43769</v>
      </c>
      <c r="C732">
        <f>24.7302</f>
        <v>24.7302</v>
      </c>
      <c r="D732">
        <f>0.8967</f>
        <v>0.89670000000000005</v>
      </c>
      <c r="E732">
        <f>108.03</f>
        <v>108.03</v>
      </c>
      <c r="F732">
        <f>1.3164</f>
        <v>1.3164</v>
      </c>
      <c r="G732">
        <f>5.7136</f>
        <v>5.7135999999999996</v>
      </c>
      <c r="H732">
        <f>0.7728</f>
        <v>0.77280000000000004</v>
      </c>
    </row>
    <row r="733" spans="1:8" x14ac:dyDescent="0.25">
      <c r="A733" s="1">
        <v>43768</v>
      </c>
      <c r="C733">
        <f>24.9796</f>
        <v>24.979600000000001</v>
      </c>
      <c r="D733">
        <f>0.8968</f>
        <v>0.89680000000000004</v>
      </c>
      <c r="E733">
        <f>108.85</f>
        <v>108.85</v>
      </c>
      <c r="F733">
        <f>1.3159</f>
        <v>1.3159000000000001</v>
      </c>
      <c r="G733">
        <f>5.7011</f>
        <v>5.7011000000000003</v>
      </c>
      <c r="H733">
        <f>0.7752</f>
        <v>0.7752</v>
      </c>
    </row>
    <row r="734" spans="1:8" x14ac:dyDescent="0.25">
      <c r="A734" s="1">
        <v>43767</v>
      </c>
      <c r="C734">
        <f>24.9259</f>
        <v>24.925899999999999</v>
      </c>
      <c r="D734">
        <f>0.8999</f>
        <v>0.89990000000000003</v>
      </c>
      <c r="E734">
        <f>108.89</f>
        <v>108.89</v>
      </c>
      <c r="F734">
        <f>1.3087</f>
        <v>1.3087</v>
      </c>
      <c r="G734">
        <f>5.7373</f>
        <v>5.7373000000000003</v>
      </c>
      <c r="H734">
        <f>0.7771</f>
        <v>0.77710000000000001</v>
      </c>
    </row>
    <row r="735" spans="1:8" x14ac:dyDescent="0.25">
      <c r="A735" s="1">
        <v>43766</v>
      </c>
      <c r="C735">
        <f>25.0838</f>
        <v>25.0838</v>
      </c>
      <c r="D735">
        <f>0.9009</f>
        <v>0.90090000000000003</v>
      </c>
      <c r="E735">
        <f>108.95</f>
        <v>108.95</v>
      </c>
      <c r="F735">
        <f>1.3055</f>
        <v>1.3055000000000001</v>
      </c>
      <c r="G735">
        <f>5.7314</f>
        <v>5.7313999999999998</v>
      </c>
      <c r="H735">
        <f>0.7775</f>
        <v>0.77749999999999997</v>
      </c>
    </row>
    <row r="736" spans="1:8" x14ac:dyDescent="0.25">
      <c r="A736" s="1">
        <v>43763</v>
      </c>
      <c r="C736">
        <f>25.0763</f>
        <v>25.0763</v>
      </c>
      <c r="D736">
        <f>0.9025</f>
        <v>0.90249999999999997</v>
      </c>
      <c r="E736">
        <f>108.67</f>
        <v>108.67</v>
      </c>
      <c r="F736">
        <f>1.3058</f>
        <v>1.3058000000000001</v>
      </c>
      <c r="G736">
        <f>5.7738</f>
        <v>5.7737999999999996</v>
      </c>
      <c r="H736">
        <f>0.7796</f>
        <v>0.77959999999999996</v>
      </c>
    </row>
    <row r="737" spans="1:8" x14ac:dyDescent="0.25">
      <c r="A737" s="1">
        <v>43762</v>
      </c>
      <c r="C737">
        <f>24.9941</f>
        <v>24.9941</v>
      </c>
      <c r="D737">
        <f>0.9005</f>
        <v>0.90049999999999997</v>
      </c>
      <c r="E737">
        <f>108.61</f>
        <v>108.61</v>
      </c>
      <c r="F737">
        <f>1.3071</f>
        <v>1.3070999999999999</v>
      </c>
      <c r="G737">
        <f>5.7645</f>
        <v>5.7645</v>
      </c>
      <c r="H737">
        <f>0.7781</f>
        <v>0.77810000000000001</v>
      </c>
    </row>
    <row r="738" spans="1:8" x14ac:dyDescent="0.25">
      <c r="A738" s="1">
        <v>43761</v>
      </c>
      <c r="C738">
        <f>25.1917</f>
        <v>25.191700000000001</v>
      </c>
      <c r="D738">
        <f>0.8985</f>
        <v>0.89849999999999997</v>
      </c>
      <c r="E738">
        <f>108.69</f>
        <v>108.69</v>
      </c>
      <c r="F738">
        <f>1.3072</f>
        <v>1.3071999999999999</v>
      </c>
      <c r="G738">
        <f>5.7354</f>
        <v>5.7354000000000003</v>
      </c>
      <c r="H738">
        <f>0.7744</f>
        <v>0.77439999999999998</v>
      </c>
    </row>
    <row r="739" spans="1:8" x14ac:dyDescent="0.25">
      <c r="A739" s="1">
        <v>43760</v>
      </c>
      <c r="C739">
        <f>24.7903</f>
        <v>24.790299999999998</v>
      </c>
      <c r="D739">
        <f>0.8989</f>
        <v>0.89890000000000003</v>
      </c>
      <c r="E739">
        <f>108.49</f>
        <v>108.49</v>
      </c>
      <c r="F739">
        <f>1.3095</f>
        <v>1.3095000000000001</v>
      </c>
      <c r="G739">
        <f>5.8083</f>
        <v>5.8083</v>
      </c>
      <c r="H739">
        <f>0.7769</f>
        <v>0.77690000000000003</v>
      </c>
    </row>
    <row r="740" spans="1:8" x14ac:dyDescent="0.25">
      <c r="A740" s="1">
        <v>43759</v>
      </c>
      <c r="C740">
        <f>24.7488</f>
        <v>24.748799999999999</v>
      </c>
      <c r="D740">
        <f>0.8969</f>
        <v>0.89690000000000003</v>
      </c>
      <c r="E740">
        <f>108.62</f>
        <v>108.62</v>
      </c>
      <c r="F740">
        <f>1.3089</f>
        <v>1.3089</v>
      </c>
      <c r="G740">
        <f>5.8579</f>
        <v>5.8578999999999999</v>
      </c>
      <c r="H740">
        <f>0.7716</f>
        <v>0.77159999999999995</v>
      </c>
    </row>
    <row r="741" spans="1:8" x14ac:dyDescent="0.25">
      <c r="A741" s="1">
        <v>43756</v>
      </c>
      <c r="C741">
        <f>25.0462</f>
        <v>25.046199999999999</v>
      </c>
      <c r="D741">
        <f>0.895</f>
        <v>0.89500000000000002</v>
      </c>
      <c r="E741">
        <f>108.45</f>
        <v>108.45</v>
      </c>
      <c r="F741">
        <f>1.3127</f>
        <v>1.3127</v>
      </c>
      <c r="G741">
        <f>5.7896</f>
        <v>5.7896000000000001</v>
      </c>
      <c r="H741">
        <f>0.7707</f>
        <v>0.77070000000000005</v>
      </c>
    </row>
    <row r="742" spans="1:8" x14ac:dyDescent="0.25">
      <c r="A742" s="1">
        <v>43755</v>
      </c>
      <c r="C742">
        <f>24.865</f>
        <v>24.864999999999998</v>
      </c>
      <c r="D742">
        <f>0.8989</f>
        <v>0.89890000000000003</v>
      </c>
      <c r="E742">
        <f>108.66</f>
        <v>108.66</v>
      </c>
      <c r="F742">
        <f>1.3137</f>
        <v>1.3137000000000001</v>
      </c>
      <c r="G742">
        <f>5.8312</f>
        <v>5.8311999999999999</v>
      </c>
      <c r="H742">
        <f>0.7757</f>
        <v>0.77569999999999995</v>
      </c>
    </row>
    <row r="743" spans="1:8" x14ac:dyDescent="0.25">
      <c r="A743" s="1">
        <v>43754</v>
      </c>
      <c r="C743">
        <f>24.6617</f>
        <v>24.6617</v>
      </c>
      <c r="D743">
        <f>0.9032</f>
        <v>0.9032</v>
      </c>
      <c r="E743">
        <f>108.76</f>
        <v>108.76</v>
      </c>
      <c r="F743">
        <f>1.3202</f>
        <v>1.3202</v>
      </c>
      <c r="G743">
        <f>5.887</f>
        <v>5.8869999999999996</v>
      </c>
      <c r="H743">
        <f>0.7795</f>
        <v>0.77949999999999997</v>
      </c>
    </row>
    <row r="744" spans="1:8" x14ac:dyDescent="0.25">
      <c r="A744" s="1">
        <v>43753</v>
      </c>
      <c r="C744">
        <f>24.7589</f>
        <v>24.758900000000001</v>
      </c>
      <c r="D744">
        <f>0.9064</f>
        <v>0.90639999999999998</v>
      </c>
      <c r="E744">
        <f>108.86</f>
        <v>108.86</v>
      </c>
      <c r="F744">
        <f>1.3199</f>
        <v>1.3199000000000001</v>
      </c>
      <c r="G744">
        <f>5.9158</f>
        <v>5.9157999999999999</v>
      </c>
      <c r="H744">
        <f>0.7821</f>
        <v>0.78210000000000002</v>
      </c>
    </row>
    <row r="745" spans="1:8" x14ac:dyDescent="0.25">
      <c r="A745" s="1">
        <v>43752</v>
      </c>
      <c r="C745">
        <f>24.5354</f>
        <v>24.535399999999999</v>
      </c>
      <c r="D745">
        <f>0.9068</f>
        <v>0.90680000000000005</v>
      </c>
      <c r="E745">
        <f>108.4</f>
        <v>108.4</v>
      </c>
      <c r="F745">
        <f>1.3234</f>
        <v>1.3233999999999999</v>
      </c>
      <c r="G745">
        <f>5.9276</f>
        <v>5.9276</v>
      </c>
      <c r="H745">
        <f>0.7932</f>
        <v>0.79320000000000002</v>
      </c>
    </row>
    <row r="746" spans="1:8" x14ac:dyDescent="0.25">
      <c r="A746" s="1">
        <v>43749</v>
      </c>
      <c r="C746">
        <f>24.5826</f>
        <v>24.582599999999999</v>
      </c>
      <c r="D746">
        <f>0.9056</f>
        <v>0.90559999999999996</v>
      </c>
      <c r="E746">
        <f>108.29</f>
        <v>108.29</v>
      </c>
      <c r="F746">
        <f>1.3203</f>
        <v>1.3203</v>
      </c>
      <c r="G746">
        <f>5.8833</f>
        <v>5.8833000000000002</v>
      </c>
      <c r="H746">
        <f>0.7907</f>
        <v>0.79069999999999996</v>
      </c>
    </row>
    <row r="747" spans="1:8" x14ac:dyDescent="0.25">
      <c r="A747" s="1">
        <v>43748</v>
      </c>
      <c r="C747">
        <f>24.3601</f>
        <v>24.360099999999999</v>
      </c>
      <c r="D747">
        <f>0.9087</f>
        <v>0.90869999999999995</v>
      </c>
      <c r="E747">
        <f>107.98</f>
        <v>107.98</v>
      </c>
      <c r="F747">
        <f>1.3291</f>
        <v>1.3290999999999999</v>
      </c>
      <c r="G747">
        <f>5.8361</f>
        <v>5.8361000000000001</v>
      </c>
      <c r="H747">
        <f>0.8037</f>
        <v>0.80369999999999997</v>
      </c>
    </row>
    <row r="748" spans="1:8" x14ac:dyDescent="0.25">
      <c r="A748" s="1">
        <v>43747</v>
      </c>
      <c r="C748">
        <f>24.5633</f>
        <v>24.563300000000002</v>
      </c>
      <c r="D748">
        <f>0.9114</f>
        <v>0.91139999999999999</v>
      </c>
      <c r="E748">
        <f>107.48</f>
        <v>107.48</v>
      </c>
      <c r="F748">
        <f>1.3333</f>
        <v>1.3332999999999999</v>
      </c>
      <c r="G748">
        <f>5.8702</f>
        <v>5.8701999999999996</v>
      </c>
      <c r="H748">
        <f>0.8193</f>
        <v>0.81930000000000003</v>
      </c>
    </row>
    <row r="749" spans="1:8" x14ac:dyDescent="0.25">
      <c r="A749" s="1">
        <v>43746</v>
      </c>
      <c r="C749">
        <f>24.6428</f>
        <v>24.642800000000001</v>
      </c>
      <c r="D749">
        <f>0.9127</f>
        <v>0.91269999999999996</v>
      </c>
      <c r="E749">
        <f>107.09</f>
        <v>107.09</v>
      </c>
      <c r="F749">
        <f>1.3325</f>
        <v>1.3325</v>
      </c>
      <c r="G749">
        <f>5.8302</f>
        <v>5.8301999999999996</v>
      </c>
      <c r="H749">
        <f>0.8184</f>
        <v>0.81840000000000002</v>
      </c>
    </row>
    <row r="750" spans="1:8" x14ac:dyDescent="0.25">
      <c r="A750" s="1">
        <v>43745</v>
      </c>
      <c r="C750">
        <f>24.6813</f>
        <v>24.6813</v>
      </c>
      <c r="D750">
        <f>0.9115</f>
        <v>0.91149999999999998</v>
      </c>
      <c r="E750">
        <f>107.26</f>
        <v>107.26</v>
      </c>
      <c r="F750">
        <f>1.3309</f>
        <v>1.3309</v>
      </c>
      <c r="G750">
        <f>5.8324</f>
        <v>5.8323999999999998</v>
      </c>
      <c r="H750">
        <f>0.8135</f>
        <v>0.8135</v>
      </c>
    </row>
    <row r="751" spans="1:8" x14ac:dyDescent="0.25">
      <c r="A751" s="1">
        <v>43742</v>
      </c>
      <c r="C751">
        <f>24.7326</f>
        <v>24.732600000000001</v>
      </c>
      <c r="D751">
        <f>0.9109</f>
        <v>0.91090000000000004</v>
      </c>
      <c r="E751">
        <f>106.94</f>
        <v>106.94</v>
      </c>
      <c r="F751">
        <f>1.3314</f>
        <v>1.3313999999999999</v>
      </c>
      <c r="G751">
        <f>5.6989</f>
        <v>5.6989000000000001</v>
      </c>
      <c r="H751">
        <f>0.8108</f>
        <v>0.81079999999999997</v>
      </c>
    </row>
    <row r="752" spans="1:8" x14ac:dyDescent="0.25">
      <c r="A752" s="1">
        <v>43741</v>
      </c>
      <c r="C752">
        <f>24.5897</f>
        <v>24.589700000000001</v>
      </c>
      <c r="D752">
        <f>0.9121</f>
        <v>0.91210000000000002</v>
      </c>
      <c r="E752">
        <f>106.92</f>
        <v>106.92</v>
      </c>
      <c r="F752">
        <f>1.3337</f>
        <v>1.3337000000000001</v>
      </c>
      <c r="G752">
        <f>5.6948</f>
        <v>5.6947999999999999</v>
      </c>
      <c r="H752">
        <f>0.811</f>
        <v>0.81100000000000005</v>
      </c>
    </row>
    <row r="753" spans="1:8" x14ac:dyDescent="0.25">
      <c r="A753" s="1">
        <v>43740</v>
      </c>
      <c r="C753">
        <f>24.7409</f>
        <v>24.7409</v>
      </c>
      <c r="D753">
        <f>0.9125</f>
        <v>0.91249999999999998</v>
      </c>
      <c r="E753">
        <f>107.18</f>
        <v>107.18</v>
      </c>
      <c r="F753">
        <f>1.3326</f>
        <v>1.3326</v>
      </c>
      <c r="G753">
        <f>5.701</f>
        <v>5.7009999999999996</v>
      </c>
      <c r="H753">
        <f>0.813</f>
        <v>0.81299999999999994</v>
      </c>
    </row>
    <row r="754" spans="1:8" x14ac:dyDescent="0.25">
      <c r="A754" s="1">
        <v>43739</v>
      </c>
      <c r="C754">
        <f>24.7313</f>
        <v>24.731300000000001</v>
      </c>
      <c r="D754">
        <f>0.9147</f>
        <v>0.91469999999999996</v>
      </c>
      <c r="E754">
        <f>107.75</f>
        <v>107.75</v>
      </c>
      <c r="F754">
        <f>1.3221</f>
        <v>1.3221000000000001</v>
      </c>
      <c r="G754">
        <f>5.7231</f>
        <v>5.7230999999999996</v>
      </c>
      <c r="H754">
        <f>0.8127</f>
        <v>0.81269999999999998</v>
      </c>
    </row>
    <row r="755" spans="1:8" x14ac:dyDescent="0.25">
      <c r="A755" s="1">
        <v>43738</v>
      </c>
      <c r="C755">
        <f>24.36</f>
        <v>24.36</v>
      </c>
      <c r="D755">
        <f>0.9176</f>
        <v>0.91759999999999997</v>
      </c>
      <c r="E755">
        <f>108.08</f>
        <v>108.08</v>
      </c>
      <c r="F755">
        <f>1.3241</f>
        <v>1.3241000000000001</v>
      </c>
      <c r="G755">
        <f>5.6504</f>
        <v>5.6504000000000003</v>
      </c>
      <c r="H755">
        <f>0.8135</f>
        <v>0.8135</v>
      </c>
    </row>
    <row r="756" spans="1:8" x14ac:dyDescent="0.25">
      <c r="A756" s="1">
        <v>43735</v>
      </c>
      <c r="C756">
        <f>24.1187</f>
        <v>24.1187</v>
      </c>
      <c r="D756">
        <f>0.914</f>
        <v>0.91400000000000003</v>
      </c>
      <c r="E756">
        <f>107.92</f>
        <v>107.92</v>
      </c>
      <c r="F756">
        <f>1.3247</f>
        <v>1.3247</v>
      </c>
      <c r="G756">
        <f>5.6726</f>
        <v>5.6726000000000001</v>
      </c>
      <c r="H756">
        <f>0.8136</f>
        <v>0.81359999999999999</v>
      </c>
    </row>
    <row r="757" spans="1:8" x14ac:dyDescent="0.25">
      <c r="A757" s="1">
        <v>43734</v>
      </c>
      <c r="C757">
        <f>24.085</f>
        <v>24.085000000000001</v>
      </c>
      <c r="D757">
        <f>0.9157</f>
        <v>0.91569999999999996</v>
      </c>
      <c r="E757">
        <f>107.83</f>
        <v>107.83</v>
      </c>
      <c r="F757">
        <f>1.3268</f>
        <v>1.3268</v>
      </c>
      <c r="G757">
        <f>5.6672</f>
        <v>5.6672000000000002</v>
      </c>
      <c r="H757">
        <f>0.8112</f>
        <v>0.81120000000000003</v>
      </c>
    </row>
    <row r="758" spans="1:8" x14ac:dyDescent="0.25">
      <c r="A758" s="1">
        <v>43733</v>
      </c>
      <c r="C758">
        <f>24.0799</f>
        <v>24.079899999999999</v>
      </c>
      <c r="D758">
        <f>0.9139</f>
        <v>0.91390000000000005</v>
      </c>
      <c r="E758">
        <f>107.77</f>
        <v>107.77</v>
      </c>
      <c r="F758">
        <f>1.3268</f>
        <v>1.3268</v>
      </c>
      <c r="G758">
        <f>5.6697</f>
        <v>5.6696999999999997</v>
      </c>
      <c r="H758">
        <f>0.8097</f>
        <v>0.80969999999999998</v>
      </c>
    </row>
    <row r="759" spans="1:8" x14ac:dyDescent="0.25">
      <c r="A759" s="1">
        <v>43732</v>
      </c>
      <c r="C759">
        <f>24.2642</f>
        <v>24.264199999999999</v>
      </c>
      <c r="D759">
        <f>0.9074</f>
        <v>0.90739999999999998</v>
      </c>
      <c r="E759">
        <f>107.07</f>
        <v>107.07</v>
      </c>
      <c r="F759">
        <f>1.3243</f>
        <v>1.3243</v>
      </c>
      <c r="G759">
        <f>5.6979</f>
        <v>5.6978999999999997</v>
      </c>
      <c r="H759">
        <f>0.8003</f>
        <v>0.80030000000000001</v>
      </c>
    </row>
    <row r="760" spans="1:8" x14ac:dyDescent="0.25">
      <c r="A760" s="1">
        <v>43731</v>
      </c>
      <c r="C760">
        <f>24.2422</f>
        <v>24.2422</v>
      </c>
      <c r="D760">
        <f>0.9096</f>
        <v>0.90959999999999996</v>
      </c>
      <c r="E760">
        <f>107.55</f>
        <v>107.55</v>
      </c>
      <c r="F760">
        <f>1.3263</f>
        <v>1.3263</v>
      </c>
      <c r="G760">
        <f>5.7177</f>
        <v>5.7176999999999998</v>
      </c>
      <c r="H760">
        <f>0.8043</f>
        <v>0.80430000000000001</v>
      </c>
    </row>
    <row r="761" spans="1:8" x14ac:dyDescent="0.25">
      <c r="A761" s="1">
        <v>43728</v>
      </c>
      <c r="C761">
        <f>24.3681</f>
        <v>24.368099999999998</v>
      </c>
      <c r="D761">
        <f>0.9076</f>
        <v>0.90759999999999996</v>
      </c>
      <c r="E761">
        <f>107.56</f>
        <v>107.56</v>
      </c>
      <c r="F761">
        <f>1.3263</f>
        <v>1.3263</v>
      </c>
      <c r="G761">
        <f>5.743</f>
        <v>5.7430000000000003</v>
      </c>
      <c r="H761">
        <f>0.8015</f>
        <v>0.80149999999999999</v>
      </c>
    </row>
    <row r="762" spans="1:8" x14ac:dyDescent="0.25">
      <c r="A762" s="1">
        <v>43727</v>
      </c>
      <c r="C762">
        <f>24.3981</f>
        <v>24.398099999999999</v>
      </c>
      <c r="D762">
        <f>0.9057</f>
        <v>0.90569999999999995</v>
      </c>
      <c r="E762">
        <f>108.02</f>
        <v>108.02</v>
      </c>
      <c r="F762">
        <f>1.326</f>
        <v>1.3260000000000001</v>
      </c>
      <c r="G762">
        <f>5.7187</f>
        <v>5.7187000000000001</v>
      </c>
      <c r="H762">
        <f>0.7985</f>
        <v>0.79849999999999999</v>
      </c>
    </row>
    <row r="763" spans="1:8" x14ac:dyDescent="0.25">
      <c r="A763" s="1">
        <v>43726</v>
      </c>
      <c r="C763">
        <f>24.4912</f>
        <v>24.491199999999999</v>
      </c>
      <c r="D763">
        <f>0.9066</f>
        <v>0.90659999999999996</v>
      </c>
      <c r="E763">
        <f>108.45</f>
        <v>108.45</v>
      </c>
      <c r="F763">
        <f>1.3289</f>
        <v>1.3289</v>
      </c>
      <c r="G763">
        <f>5.6768</f>
        <v>5.6768000000000001</v>
      </c>
      <c r="H763">
        <f>0.8018</f>
        <v>0.80179999999999996</v>
      </c>
    </row>
    <row r="764" spans="1:8" x14ac:dyDescent="0.25">
      <c r="A764" s="1">
        <v>43725</v>
      </c>
      <c r="C764">
        <f>24.8349</f>
        <v>24.834900000000001</v>
      </c>
      <c r="D764">
        <f>0.9031</f>
        <v>0.90310000000000001</v>
      </c>
      <c r="E764">
        <f>108.13</f>
        <v>108.13</v>
      </c>
      <c r="F764">
        <f>1.3244</f>
        <v>1.3244</v>
      </c>
      <c r="G764">
        <f>5.7009</f>
        <v>5.7008999999999999</v>
      </c>
      <c r="H764">
        <f>0.8</f>
        <v>0.8</v>
      </c>
    </row>
    <row r="765" spans="1:8" x14ac:dyDescent="0.25">
      <c r="A765" s="1">
        <v>43724</v>
      </c>
      <c r="C765">
        <f>24.6227</f>
        <v>24.622699999999998</v>
      </c>
      <c r="D765">
        <f>0.9089</f>
        <v>0.90890000000000004</v>
      </c>
      <c r="E765">
        <f>108.12</f>
        <v>108.12</v>
      </c>
      <c r="F765">
        <f>1.324</f>
        <v>1.3240000000000001</v>
      </c>
      <c r="G765">
        <f>5.7285</f>
        <v>5.7285000000000004</v>
      </c>
      <c r="H765">
        <f>0.8045</f>
        <v>0.80449999999999999</v>
      </c>
    </row>
    <row r="766" spans="1:8" x14ac:dyDescent="0.25">
      <c r="A766" s="1">
        <v>43721</v>
      </c>
      <c r="C766">
        <f>24.7987</f>
        <v>24.7987</v>
      </c>
      <c r="D766">
        <f>0.903</f>
        <v>0.90300000000000002</v>
      </c>
      <c r="E766">
        <f>108.09</f>
        <v>108.09</v>
      </c>
      <c r="F766">
        <f>1.3288</f>
        <v>1.3288</v>
      </c>
      <c r="G766">
        <f>5.6873</f>
        <v>5.6872999999999996</v>
      </c>
      <c r="H766">
        <f>0.7999</f>
        <v>0.79990000000000006</v>
      </c>
    </row>
    <row r="767" spans="1:8" x14ac:dyDescent="0.25">
      <c r="A767" s="1">
        <v>43720</v>
      </c>
      <c r="C767">
        <f>24.745</f>
        <v>24.745000000000001</v>
      </c>
      <c r="D767">
        <f>0.9039</f>
        <v>0.90390000000000004</v>
      </c>
      <c r="E767">
        <f>108.1</f>
        <v>108.1</v>
      </c>
      <c r="F767">
        <f>1.321</f>
        <v>1.321</v>
      </c>
      <c r="G767">
        <f>5.6579</f>
        <v>5.6578999999999997</v>
      </c>
      <c r="H767">
        <f>0.8107</f>
        <v>0.81069999999999998</v>
      </c>
    </row>
    <row r="768" spans="1:8" x14ac:dyDescent="0.25">
      <c r="A768" s="1">
        <v>43719</v>
      </c>
      <c r="C768">
        <f>24.815</f>
        <v>24.815000000000001</v>
      </c>
      <c r="D768">
        <f>0.9082</f>
        <v>0.90820000000000001</v>
      </c>
      <c r="E768">
        <f>107.82</f>
        <v>107.82</v>
      </c>
      <c r="F768">
        <f>1.3194</f>
        <v>1.3193999999999999</v>
      </c>
      <c r="G768">
        <f>5.7495</f>
        <v>5.7495000000000003</v>
      </c>
      <c r="H768">
        <f>0.8112</f>
        <v>0.81120000000000003</v>
      </c>
    </row>
    <row r="769" spans="1:8" x14ac:dyDescent="0.25">
      <c r="A769" s="1">
        <v>43718</v>
      </c>
      <c r="C769">
        <f>24.97</f>
        <v>24.97</v>
      </c>
      <c r="D769">
        <f>0.9055</f>
        <v>0.90549999999999997</v>
      </c>
      <c r="E769">
        <f>107.54</f>
        <v>107.54</v>
      </c>
      <c r="F769">
        <f>1.3152</f>
        <v>1.3151999999999999</v>
      </c>
      <c r="G769">
        <f>5.7693</f>
        <v>5.7693000000000003</v>
      </c>
      <c r="H769">
        <f>0.8094</f>
        <v>0.80940000000000001</v>
      </c>
    </row>
    <row r="770" spans="1:8" x14ac:dyDescent="0.25">
      <c r="A770" s="1">
        <v>43717</v>
      </c>
      <c r="C770">
        <f>24.9475</f>
        <v>24.947500000000002</v>
      </c>
      <c r="D770">
        <f>0.9051</f>
        <v>0.90510000000000002</v>
      </c>
      <c r="E770">
        <f>107.24</f>
        <v>107.24</v>
      </c>
      <c r="F770">
        <f>1.3168</f>
        <v>1.3168</v>
      </c>
      <c r="G770">
        <f>5.7492</f>
        <v>5.7492000000000001</v>
      </c>
      <c r="H770">
        <f>0.81</f>
        <v>0.81</v>
      </c>
    </row>
    <row r="771" spans="1:8" x14ac:dyDescent="0.25">
      <c r="A771" s="1">
        <v>43714</v>
      </c>
      <c r="C771">
        <f>25.0681</f>
        <v>25.068100000000001</v>
      </c>
      <c r="D771">
        <f>0.9067</f>
        <v>0.90669999999999995</v>
      </c>
      <c r="E771">
        <f>106.92</f>
        <v>106.92</v>
      </c>
      <c r="F771">
        <f>1.3173</f>
        <v>1.3172999999999999</v>
      </c>
      <c r="G771">
        <f>5.7118</f>
        <v>5.7118000000000002</v>
      </c>
      <c r="H771">
        <f>0.8138</f>
        <v>0.81379999999999997</v>
      </c>
    </row>
    <row r="772" spans="1:8" x14ac:dyDescent="0.25">
      <c r="A772" s="1">
        <v>43713</v>
      </c>
      <c r="C772">
        <f>25.0524</f>
        <v>25.052399999999999</v>
      </c>
      <c r="D772">
        <f>0.9062</f>
        <v>0.90620000000000001</v>
      </c>
      <c r="E772">
        <f>106.94</f>
        <v>106.94</v>
      </c>
      <c r="F772">
        <f>1.323</f>
        <v>1.323</v>
      </c>
      <c r="G772">
        <f>5.6917</f>
        <v>5.6917</v>
      </c>
      <c r="H772">
        <f>0.8109</f>
        <v>0.81089999999999995</v>
      </c>
    </row>
    <row r="773" spans="1:8" x14ac:dyDescent="0.25">
      <c r="A773" s="1">
        <v>43712</v>
      </c>
      <c r="C773">
        <f>25.2999</f>
        <v>25.299900000000001</v>
      </c>
      <c r="D773">
        <f>0.9062</f>
        <v>0.90620000000000001</v>
      </c>
      <c r="E773">
        <f>106.39</f>
        <v>106.39</v>
      </c>
      <c r="F773">
        <f>1.3224</f>
        <v>1.3224</v>
      </c>
      <c r="G773">
        <f>5.6646</f>
        <v>5.6646000000000001</v>
      </c>
      <c r="H773">
        <f>0.8162</f>
        <v>0.81620000000000004</v>
      </c>
    </row>
    <row r="774" spans="1:8" x14ac:dyDescent="0.25">
      <c r="A774" s="1">
        <v>43711</v>
      </c>
      <c r="C774">
        <f>25.1076</f>
        <v>25.107600000000001</v>
      </c>
      <c r="D774">
        <f>0.9113</f>
        <v>0.9113</v>
      </c>
      <c r="E774">
        <f>105.94</f>
        <v>105.94</v>
      </c>
      <c r="F774">
        <f>1.3337</f>
        <v>1.3337000000000001</v>
      </c>
      <c r="G774">
        <f>5.729</f>
        <v>5.7290000000000001</v>
      </c>
      <c r="H774">
        <f>0.8276</f>
        <v>0.8276</v>
      </c>
    </row>
    <row r="775" spans="1:8" x14ac:dyDescent="0.25">
      <c r="A775" s="1">
        <v>43710</v>
      </c>
      <c r="C775">
        <f>25.2365</f>
        <v>25.236499999999999</v>
      </c>
      <c r="D775">
        <f>0.9116</f>
        <v>0.91159999999999997</v>
      </c>
      <c r="E775">
        <f>106.24</f>
        <v>106.24</v>
      </c>
      <c r="F775">
        <f>1.3326</f>
        <v>1.3326</v>
      </c>
      <c r="G775">
        <f>5.8065</f>
        <v>5.8064999999999998</v>
      </c>
      <c r="H775">
        <f>0.8288</f>
        <v>0.82879999999999998</v>
      </c>
    </row>
    <row r="776" spans="1:8" x14ac:dyDescent="0.25">
      <c r="A776" s="1">
        <v>43707</v>
      </c>
      <c r="C776">
        <f>25.1375</f>
        <v>25.137499999999999</v>
      </c>
      <c r="D776">
        <f>0.9102</f>
        <v>0.91020000000000001</v>
      </c>
      <c r="E776">
        <f>106.28</f>
        <v>106.28</v>
      </c>
      <c r="F776">
        <f>1.3311</f>
        <v>1.3310999999999999</v>
      </c>
      <c r="G776">
        <f>5.8324</f>
        <v>5.8323999999999998</v>
      </c>
      <c r="H776">
        <f>0.8222</f>
        <v>0.82220000000000004</v>
      </c>
    </row>
    <row r="777" spans="1:8" x14ac:dyDescent="0.25">
      <c r="A777" s="1">
        <v>43706</v>
      </c>
      <c r="C777">
        <f>25.2175</f>
        <v>25.217500000000001</v>
      </c>
      <c r="D777">
        <f>0.9044</f>
        <v>0.90439999999999998</v>
      </c>
      <c r="E777">
        <f>106.52</f>
        <v>106.52</v>
      </c>
      <c r="F777">
        <f>1.3287</f>
        <v>1.3287</v>
      </c>
      <c r="G777">
        <f>5.8382</f>
        <v>5.8381999999999996</v>
      </c>
      <c r="H777">
        <f>0.8209</f>
        <v>0.82089999999999996</v>
      </c>
    </row>
    <row r="778" spans="1:8" x14ac:dyDescent="0.25">
      <c r="A778" s="1">
        <v>43705</v>
      </c>
      <c r="C778">
        <f>25.0875</f>
        <v>25.087499999999999</v>
      </c>
      <c r="D778">
        <f>0.9027</f>
        <v>0.90269999999999995</v>
      </c>
      <c r="E778">
        <f>106.12</f>
        <v>106.12</v>
      </c>
      <c r="F778">
        <f>1.3306</f>
        <v>1.3306</v>
      </c>
      <c r="G778">
        <f>5.8151</f>
        <v>5.8151000000000002</v>
      </c>
      <c r="H778">
        <f>0.8189</f>
        <v>0.81889999999999996</v>
      </c>
    </row>
    <row r="779" spans="1:8" x14ac:dyDescent="0.25">
      <c r="A779" s="1">
        <v>43704</v>
      </c>
      <c r="C779">
        <f>25.1125</f>
        <v>25.112500000000001</v>
      </c>
      <c r="D779">
        <f>0.9017</f>
        <v>0.90169999999999995</v>
      </c>
      <c r="E779">
        <f>105.75</f>
        <v>105.75</v>
      </c>
      <c r="F779">
        <f>1.3283</f>
        <v>1.3283</v>
      </c>
      <c r="G779">
        <f>5.8278</f>
        <v>5.8277999999999999</v>
      </c>
      <c r="H779">
        <f>0.8136</f>
        <v>0.81359999999999999</v>
      </c>
    </row>
    <row r="780" spans="1:8" x14ac:dyDescent="0.25">
      <c r="A780" s="1">
        <v>43703</v>
      </c>
      <c r="C780">
        <f>25.09</f>
        <v>25.09</v>
      </c>
      <c r="D780">
        <f>0.9008</f>
        <v>0.90080000000000005</v>
      </c>
      <c r="E780">
        <f>106.12</f>
        <v>106.12</v>
      </c>
      <c r="F780">
        <f>1.3254</f>
        <v>1.3253999999999999</v>
      </c>
      <c r="G780">
        <f>5.8235</f>
        <v>5.8235000000000001</v>
      </c>
      <c r="H780">
        <f>0.8185</f>
        <v>0.81850000000000001</v>
      </c>
    </row>
    <row r="781" spans="1:8" x14ac:dyDescent="0.25">
      <c r="A781" s="1">
        <v>43700</v>
      </c>
      <c r="C781">
        <f>25.09</f>
        <v>25.09</v>
      </c>
      <c r="D781">
        <f>0.8975</f>
        <v>0.89749999999999996</v>
      </c>
      <c r="E781">
        <f>105.39</f>
        <v>105.39</v>
      </c>
      <c r="F781">
        <f>1.3283</f>
        <v>1.3283</v>
      </c>
      <c r="G781">
        <f>5.7593</f>
        <v>5.7592999999999996</v>
      </c>
      <c r="H781">
        <f>0.8138</f>
        <v>0.81379999999999997</v>
      </c>
    </row>
    <row r="782" spans="1:8" x14ac:dyDescent="0.25">
      <c r="A782" s="1">
        <v>43699</v>
      </c>
      <c r="C782">
        <f>25.08</f>
        <v>25.08</v>
      </c>
      <c r="D782">
        <f>0.9025</f>
        <v>0.90249999999999997</v>
      </c>
      <c r="E782">
        <f>106.44</f>
        <v>106.44</v>
      </c>
      <c r="F782">
        <f>1.3303</f>
        <v>1.3303</v>
      </c>
      <c r="G782">
        <f>5.7686</f>
        <v>5.7686000000000002</v>
      </c>
      <c r="H782">
        <f>0.8161</f>
        <v>0.81610000000000005</v>
      </c>
    </row>
    <row r="783" spans="1:8" x14ac:dyDescent="0.25">
      <c r="A783" s="1">
        <v>43698</v>
      </c>
      <c r="C783">
        <f>25.08</f>
        <v>25.08</v>
      </c>
      <c r="D783">
        <f>0.9022</f>
        <v>0.9022</v>
      </c>
      <c r="E783">
        <f>106.62</f>
        <v>106.62</v>
      </c>
      <c r="F783">
        <f>1.3291</f>
        <v>1.3290999999999999</v>
      </c>
      <c r="G783">
        <f>5.7166</f>
        <v>5.7165999999999997</v>
      </c>
      <c r="H783">
        <f>0.8248</f>
        <v>0.82479999999999998</v>
      </c>
    </row>
    <row r="784" spans="1:8" x14ac:dyDescent="0.25">
      <c r="A784" s="1">
        <v>43697</v>
      </c>
      <c r="C784">
        <f>25.08</f>
        <v>25.08</v>
      </c>
      <c r="D784">
        <f>0.9009</f>
        <v>0.90090000000000003</v>
      </c>
      <c r="E784">
        <f>106.23</f>
        <v>106.23</v>
      </c>
      <c r="F784">
        <f>1.3319</f>
        <v>1.3319000000000001</v>
      </c>
      <c r="G784">
        <f>5.7314</f>
        <v>5.7313999999999998</v>
      </c>
      <c r="H784">
        <f>0.8217</f>
        <v>0.82169999999999999</v>
      </c>
    </row>
    <row r="785" spans="1:8" x14ac:dyDescent="0.25">
      <c r="A785" s="1">
        <v>43696</v>
      </c>
      <c r="C785">
        <f>25.1153</f>
        <v>25.115300000000001</v>
      </c>
      <c r="D785">
        <f>0.9027</f>
        <v>0.90269999999999995</v>
      </c>
      <c r="E785">
        <f>106.64</f>
        <v>106.64</v>
      </c>
      <c r="F785">
        <f>1.3324</f>
        <v>1.3324</v>
      </c>
      <c r="G785">
        <f>5.6603</f>
        <v>5.6603000000000003</v>
      </c>
      <c r="H785">
        <f>0.8246</f>
        <v>0.8246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EA2A-E75F-4949-AACB-382C21AEF362}">
  <dimension ref="A1:G785"/>
  <sheetViews>
    <sheetView topLeftCell="A22" workbookViewId="0">
      <selection activeCell="B57" sqref="B57"/>
    </sheetView>
  </sheetViews>
  <sheetFormatPr defaultRowHeight="15" x14ac:dyDescent="0.25"/>
  <cols>
    <col min="1" max="1" width="16" bestFit="1" customWidth="1"/>
    <col min="2" max="2" width="11" customWidth="1"/>
    <col min="3" max="7" width="9.140625" bestFit="1" customWidth="1"/>
  </cols>
  <sheetData>
    <row r="1" spans="1:7" x14ac:dyDescent="0.25">
      <c r="A1" t="s">
        <v>0</v>
      </c>
      <c r="B1" t="s">
        <v>7</v>
      </c>
      <c r="C1" t="s">
        <v>24</v>
      </c>
      <c r="D1" t="s">
        <v>6</v>
      </c>
      <c r="E1" t="s">
        <v>23</v>
      </c>
      <c r="F1" t="s">
        <v>22</v>
      </c>
      <c r="G1" t="s">
        <v>21</v>
      </c>
    </row>
    <row r="2" spans="1:7" x14ac:dyDescent="0.25">
      <c r="B2" t="s">
        <v>15</v>
      </c>
      <c r="C2" t="s">
        <v>20</v>
      </c>
      <c r="D2" t="s">
        <v>14</v>
      </c>
      <c r="E2" t="s">
        <v>19</v>
      </c>
      <c r="F2" t="s">
        <v>18</v>
      </c>
      <c r="G2" t="s">
        <v>17</v>
      </c>
    </row>
    <row r="3" spans="1:7" x14ac:dyDescent="0.25">
      <c r="A3" s="1">
        <v>44790</v>
      </c>
      <c r="B3" t="e">
        <f>NA()</f>
        <v>#N/A</v>
      </c>
      <c r="C3">
        <f>93.73</f>
        <v>93.73</v>
      </c>
      <c r="D3">
        <f>88.05</f>
        <v>88.05</v>
      </c>
      <c r="E3">
        <f>227.3</f>
        <v>227.3</v>
      </c>
      <c r="F3">
        <f>442</f>
        <v>442</v>
      </c>
      <c r="G3" t="e">
        <f>NA()</f>
        <v>#N/A</v>
      </c>
    </row>
    <row r="4" spans="1:7" x14ac:dyDescent="0.25">
      <c r="A4" s="1">
        <v>44789</v>
      </c>
      <c r="B4">
        <f>9.214</f>
        <v>9.2140000000000004</v>
      </c>
      <c r="C4">
        <f>93.19</f>
        <v>93.19</v>
      </c>
      <c r="D4">
        <f>86.53</f>
        <v>86.53</v>
      </c>
      <c r="E4">
        <f>223.75</f>
        <v>223.75</v>
      </c>
      <c r="F4">
        <f>434</f>
        <v>434</v>
      </c>
      <c r="G4">
        <f>6.2586</f>
        <v>6.2586000000000004</v>
      </c>
    </row>
    <row r="5" spans="1:7" x14ac:dyDescent="0.25">
      <c r="A5" s="1">
        <v>44788</v>
      </c>
      <c r="B5">
        <f>8.526</f>
        <v>8.5259999999999998</v>
      </c>
      <c r="C5">
        <f>93.89</f>
        <v>93.89</v>
      </c>
      <c r="D5">
        <f>89.41</f>
        <v>89.41</v>
      </c>
      <c r="E5">
        <f>230</f>
        <v>230</v>
      </c>
      <c r="F5">
        <f>402.75</f>
        <v>402.75</v>
      </c>
      <c r="G5">
        <f>5.5934</f>
        <v>5.5933999999999999</v>
      </c>
    </row>
    <row r="6" spans="1:7" x14ac:dyDescent="0.25">
      <c r="A6" s="1">
        <v>44785</v>
      </c>
      <c r="B6">
        <f>8.736</f>
        <v>8.7360000000000007</v>
      </c>
      <c r="C6">
        <f>99.02</f>
        <v>99.02</v>
      </c>
      <c r="D6">
        <f>92.09</f>
        <v>92.09</v>
      </c>
      <c r="E6">
        <f>205.85</f>
        <v>205.85</v>
      </c>
      <c r="F6">
        <f>397.5</f>
        <v>397.5</v>
      </c>
      <c r="G6">
        <f>5.7817</f>
        <v>5.7816999999999998</v>
      </c>
    </row>
    <row r="7" spans="1:7" x14ac:dyDescent="0.25">
      <c r="A7" s="1">
        <v>44784</v>
      </c>
      <c r="B7">
        <f>8.516</f>
        <v>8.516</v>
      </c>
      <c r="C7">
        <f>101.44</f>
        <v>101.44</v>
      </c>
      <c r="D7">
        <f>94.34</f>
        <v>94.34</v>
      </c>
      <c r="E7">
        <f>207.25</f>
        <v>207.25</v>
      </c>
      <c r="F7">
        <f>415</f>
        <v>415</v>
      </c>
      <c r="G7">
        <f>6.0152</f>
        <v>6.0152000000000001</v>
      </c>
    </row>
    <row r="8" spans="1:7" x14ac:dyDescent="0.25">
      <c r="A8" s="1">
        <v>44783</v>
      </c>
      <c r="B8">
        <f>7.87</f>
        <v>7.87</v>
      </c>
      <c r="C8">
        <f>99.07</f>
        <v>99.07</v>
      </c>
      <c r="D8">
        <f>91.93</f>
        <v>91.93</v>
      </c>
      <c r="E8">
        <f>206.75</f>
        <v>206.75</v>
      </c>
      <c r="F8">
        <f>397.7</f>
        <v>397.7</v>
      </c>
      <c r="G8">
        <f>5.4585</f>
        <v>5.4584999999999999</v>
      </c>
    </row>
    <row r="9" spans="1:7" x14ac:dyDescent="0.25">
      <c r="A9" s="1">
        <v>44782</v>
      </c>
      <c r="B9">
        <f>7.888</f>
        <v>7.8879999999999999</v>
      </c>
      <c r="C9">
        <f>99.32</f>
        <v>99.32</v>
      </c>
      <c r="D9">
        <f>90.5</f>
        <v>90.5</v>
      </c>
      <c r="E9">
        <f>195</f>
        <v>195</v>
      </c>
      <c r="F9">
        <f>360</f>
        <v>360</v>
      </c>
      <c r="G9">
        <f>4.5547</f>
        <v>4.5547000000000004</v>
      </c>
    </row>
    <row r="10" spans="1:7" x14ac:dyDescent="0.25">
      <c r="A10" s="1">
        <v>44781</v>
      </c>
      <c r="B10">
        <f>7.775</f>
        <v>7.7750000000000004</v>
      </c>
      <c r="C10">
        <f>100.04</f>
        <v>100.04</v>
      </c>
      <c r="D10">
        <f>90.76</f>
        <v>90.76</v>
      </c>
      <c r="E10">
        <f>192</f>
        <v>192</v>
      </c>
      <c r="F10">
        <f>355</f>
        <v>355</v>
      </c>
      <c r="G10">
        <f>4.3289</f>
        <v>4.3289</v>
      </c>
    </row>
    <row r="11" spans="1:7" x14ac:dyDescent="0.25">
      <c r="A11" s="1">
        <v>44778</v>
      </c>
      <c r="B11">
        <f>8.158</f>
        <v>8.1579999999999995</v>
      </c>
      <c r="C11">
        <f>97.79</f>
        <v>97.79</v>
      </c>
      <c r="D11">
        <f>89.01</f>
        <v>89.01</v>
      </c>
      <c r="E11">
        <f>194.25</f>
        <v>194.25</v>
      </c>
      <c r="F11">
        <f>378</f>
        <v>378</v>
      </c>
      <c r="G11">
        <f>5.0049</f>
        <v>5.0049000000000001</v>
      </c>
    </row>
    <row r="12" spans="1:7" x14ac:dyDescent="0.25">
      <c r="A12" s="1">
        <v>44777</v>
      </c>
      <c r="B12">
        <f>8.378</f>
        <v>8.3780000000000001</v>
      </c>
      <c r="C12">
        <f>95.66</f>
        <v>95.66</v>
      </c>
      <c r="D12">
        <f>88.54</f>
        <v>88.54</v>
      </c>
      <c r="E12">
        <f>200</f>
        <v>200</v>
      </c>
      <c r="F12">
        <f>377.5</f>
        <v>377.5</v>
      </c>
      <c r="G12">
        <f>5.6782</f>
        <v>5.6782000000000004</v>
      </c>
    </row>
    <row r="13" spans="1:7" x14ac:dyDescent="0.25">
      <c r="A13" s="1">
        <v>44776</v>
      </c>
      <c r="B13">
        <f>7.836</f>
        <v>7.8360000000000003</v>
      </c>
      <c r="C13">
        <f>99.35</f>
        <v>99.35</v>
      </c>
      <c r="D13">
        <f>90.66</f>
        <v>90.66</v>
      </c>
      <c r="E13">
        <f>202</f>
        <v>202</v>
      </c>
      <c r="F13" t="e">
        <f>NA()</f>
        <v>#N/A</v>
      </c>
      <c r="G13">
        <f>5.9006</f>
        <v>5.9005999999999998</v>
      </c>
    </row>
    <row r="14" spans="1:7" x14ac:dyDescent="0.25">
      <c r="A14" s="1">
        <v>44775</v>
      </c>
      <c r="B14">
        <f>8.085</f>
        <v>8.0850000000000009</v>
      </c>
      <c r="C14">
        <f>102.66</f>
        <v>102.66</v>
      </c>
      <c r="D14">
        <f>94.42</f>
        <v>94.42</v>
      </c>
      <c r="E14">
        <f>204</f>
        <v>204</v>
      </c>
      <c r="F14">
        <f>359.05</f>
        <v>359.05</v>
      </c>
      <c r="G14">
        <f>5.3151</f>
        <v>5.3151000000000002</v>
      </c>
    </row>
    <row r="15" spans="1:7" x14ac:dyDescent="0.25">
      <c r="A15" s="1">
        <v>44774</v>
      </c>
      <c r="B15">
        <f>8.186</f>
        <v>8.1859999999999999</v>
      </c>
      <c r="C15">
        <f>103.33</f>
        <v>103.33</v>
      </c>
      <c r="D15">
        <f>93.89</f>
        <v>93.89</v>
      </c>
      <c r="E15">
        <f>199.5</f>
        <v>199.5</v>
      </c>
      <c r="F15">
        <f>353</f>
        <v>353</v>
      </c>
      <c r="G15">
        <f>5.8834</f>
        <v>5.8834</v>
      </c>
    </row>
    <row r="16" spans="1:7" x14ac:dyDescent="0.25">
      <c r="A16" s="1">
        <v>44771</v>
      </c>
      <c r="B16">
        <f>8.315</f>
        <v>8.3149999999999995</v>
      </c>
      <c r="C16">
        <f>107.97</f>
        <v>107.97</v>
      </c>
      <c r="D16">
        <f>98.62</f>
        <v>98.62</v>
      </c>
      <c r="E16">
        <f>194.7</f>
        <v>194.7</v>
      </c>
      <c r="F16">
        <f>305</f>
        <v>305</v>
      </c>
      <c r="G16">
        <f>5.7645</f>
        <v>5.7645</v>
      </c>
    </row>
    <row r="17" spans="1:7" x14ac:dyDescent="0.25">
      <c r="A17" s="1">
        <v>44770</v>
      </c>
      <c r="B17">
        <f>8.645</f>
        <v>8.6449999999999996</v>
      </c>
      <c r="C17">
        <f>106.74</f>
        <v>106.74</v>
      </c>
      <c r="D17">
        <f>96.42</f>
        <v>96.42</v>
      </c>
      <c r="E17">
        <f>199.15</f>
        <v>199.15</v>
      </c>
      <c r="F17">
        <f>349.92</f>
        <v>349.92</v>
      </c>
      <c r="G17">
        <f>5.6345</f>
        <v>5.6345000000000001</v>
      </c>
    </row>
    <row r="18" spans="1:7" x14ac:dyDescent="0.25">
      <c r="A18" s="1">
        <v>44769</v>
      </c>
      <c r="B18">
        <f>8.666</f>
        <v>8.6660000000000004</v>
      </c>
      <c r="C18">
        <f>106.35</f>
        <v>106.35</v>
      </c>
      <c r="D18">
        <f>97.26</f>
        <v>97.26</v>
      </c>
      <c r="E18">
        <f>205</f>
        <v>205</v>
      </c>
      <c r="F18">
        <f>372</f>
        <v>372</v>
      </c>
      <c r="G18">
        <f>5.113</f>
        <v>5.1130000000000004</v>
      </c>
    </row>
    <row r="19" spans="1:7" x14ac:dyDescent="0.25">
      <c r="A19" s="1">
        <v>44768</v>
      </c>
      <c r="B19">
        <f>9.436</f>
        <v>9.4359999999999999</v>
      </c>
      <c r="C19">
        <f>103.41</f>
        <v>103.41</v>
      </c>
      <c r="D19">
        <f>94.98</f>
        <v>94.98</v>
      </c>
      <c r="E19">
        <f>202.45</f>
        <v>202.45</v>
      </c>
      <c r="F19">
        <f>352.15</f>
        <v>352.15</v>
      </c>
      <c r="G19">
        <f>5.6204</f>
        <v>5.6204000000000001</v>
      </c>
    </row>
    <row r="20" spans="1:7" x14ac:dyDescent="0.25">
      <c r="A20" s="1">
        <v>44767</v>
      </c>
      <c r="B20">
        <f>8.534</f>
        <v>8.5340000000000007</v>
      </c>
      <c r="C20">
        <f>103.72</f>
        <v>103.72</v>
      </c>
      <c r="D20">
        <f>99.6</f>
        <v>99.6</v>
      </c>
      <c r="E20">
        <f>176.45</f>
        <v>176.45</v>
      </c>
      <c r="F20">
        <f>309.75</f>
        <v>309.75</v>
      </c>
      <c r="G20">
        <f>5.8682</f>
        <v>5.8681999999999999</v>
      </c>
    </row>
    <row r="21" spans="1:7" x14ac:dyDescent="0.25">
      <c r="A21" s="1">
        <v>44764</v>
      </c>
      <c r="B21">
        <f>8.114</f>
        <v>8.1140000000000008</v>
      </c>
      <c r="C21">
        <f>103.15</f>
        <v>103.15</v>
      </c>
      <c r="D21">
        <f>97.95</f>
        <v>97.95</v>
      </c>
      <c r="E21">
        <f>160.75</f>
        <v>160.75</v>
      </c>
      <c r="F21">
        <f>321.84</f>
        <v>321.83999999999997</v>
      </c>
      <c r="G21">
        <f>5.328</f>
        <v>5.3280000000000003</v>
      </c>
    </row>
    <row r="22" spans="1:7" x14ac:dyDescent="0.25">
      <c r="A22" s="1">
        <v>44763</v>
      </c>
      <c r="B22">
        <f>8.009</f>
        <v>8.0090000000000003</v>
      </c>
      <c r="C22">
        <f>106.69</f>
        <v>106.69</v>
      </c>
      <c r="D22">
        <f>99.5</f>
        <v>99.5</v>
      </c>
      <c r="E22">
        <f>157</f>
        <v>157</v>
      </c>
      <c r="F22">
        <f>305</f>
        <v>305</v>
      </c>
      <c r="G22">
        <f>5.4409</f>
        <v>5.4409000000000001</v>
      </c>
    </row>
    <row r="23" spans="1:7" x14ac:dyDescent="0.25">
      <c r="A23" s="1">
        <v>44762</v>
      </c>
      <c r="B23">
        <f>7.57</f>
        <v>7.57</v>
      </c>
      <c r="C23">
        <f>109.32</f>
        <v>109.32</v>
      </c>
      <c r="D23">
        <f>102.26</f>
        <v>102.26</v>
      </c>
      <c r="E23">
        <f>155</f>
        <v>155</v>
      </c>
      <c r="F23">
        <f>275.04</f>
        <v>275.04000000000002</v>
      </c>
      <c r="G23">
        <f>5.6314</f>
        <v>5.6314000000000002</v>
      </c>
    </row>
    <row r="24" spans="1:7" x14ac:dyDescent="0.25">
      <c r="A24" s="1">
        <v>44761</v>
      </c>
      <c r="B24">
        <f>7.359</f>
        <v>7.359</v>
      </c>
      <c r="C24">
        <f>111.09</f>
        <v>111.09</v>
      </c>
      <c r="D24">
        <f>104.22</f>
        <v>104.22</v>
      </c>
      <c r="E24">
        <f>154.25</f>
        <v>154.25</v>
      </c>
      <c r="F24">
        <f>221.04</f>
        <v>221.04</v>
      </c>
      <c r="G24">
        <f>4.9502</f>
        <v>4.9501999999999997</v>
      </c>
    </row>
    <row r="25" spans="1:7" x14ac:dyDescent="0.25">
      <c r="A25" s="1">
        <v>44760</v>
      </c>
      <c r="B25">
        <f>7.571</f>
        <v>7.5709999999999997</v>
      </c>
      <c r="C25">
        <f>110.5</f>
        <v>110.5</v>
      </c>
      <c r="D25">
        <f>102.6</f>
        <v>102.6</v>
      </c>
      <c r="E25">
        <f>159.2</f>
        <v>159.19999999999999</v>
      </c>
      <c r="F25">
        <f>198</f>
        <v>198</v>
      </c>
      <c r="G25">
        <f>5.5262</f>
        <v>5.5262000000000002</v>
      </c>
    </row>
    <row r="26" spans="1:7" x14ac:dyDescent="0.25">
      <c r="A26" s="1">
        <v>44757</v>
      </c>
      <c r="B26">
        <f>6.572</f>
        <v>6.5720000000000001</v>
      </c>
      <c r="C26">
        <f>109.09</f>
        <v>109.09</v>
      </c>
      <c r="D26">
        <f>97.59</f>
        <v>97.59</v>
      </c>
      <c r="E26">
        <f>157.9</f>
        <v>157.9</v>
      </c>
      <c r="F26">
        <f>202</f>
        <v>202</v>
      </c>
      <c r="G26">
        <f>5.0723</f>
        <v>5.0723000000000003</v>
      </c>
    </row>
    <row r="27" spans="1:7" x14ac:dyDescent="0.25">
      <c r="A27" s="1">
        <v>44756</v>
      </c>
      <c r="B27">
        <f>6.965</f>
        <v>6.9649999999999999</v>
      </c>
      <c r="C27">
        <f>106.59</f>
        <v>106.59</v>
      </c>
      <c r="D27">
        <f>95.78</f>
        <v>95.78</v>
      </c>
      <c r="E27">
        <f>174.625</f>
        <v>174.625</v>
      </c>
      <c r="F27">
        <f>242.5</f>
        <v>242.5</v>
      </c>
      <c r="G27">
        <f>4.4301</f>
        <v>4.4301000000000004</v>
      </c>
    </row>
    <row r="28" spans="1:7" x14ac:dyDescent="0.25">
      <c r="A28" s="1">
        <v>44755</v>
      </c>
      <c r="B28">
        <f>6.651</f>
        <v>6.6509999999999998</v>
      </c>
      <c r="C28">
        <f>106.1</f>
        <v>106.1</v>
      </c>
      <c r="D28">
        <f>96.3</f>
        <v>96.3</v>
      </c>
      <c r="E28">
        <f>181.2</f>
        <v>181.2</v>
      </c>
      <c r="F28">
        <f>270</f>
        <v>270</v>
      </c>
      <c r="G28">
        <f>4.117</f>
        <v>4.117</v>
      </c>
    </row>
    <row r="29" spans="1:7" x14ac:dyDescent="0.25">
      <c r="A29" s="1">
        <v>44754</v>
      </c>
      <c r="B29">
        <f>6.761</f>
        <v>6.7610000000000001</v>
      </c>
      <c r="C29">
        <f>105.14</f>
        <v>105.14</v>
      </c>
      <c r="D29">
        <f>95.84</f>
        <v>95.84</v>
      </c>
      <c r="E29">
        <f>175.5</f>
        <v>175.5</v>
      </c>
      <c r="F29">
        <f>257.25</f>
        <v>257.25</v>
      </c>
      <c r="G29">
        <f>4.2897</f>
        <v>4.2896999999999998</v>
      </c>
    </row>
    <row r="30" spans="1:7" x14ac:dyDescent="0.25">
      <c r="A30" s="1">
        <v>44753</v>
      </c>
      <c r="B30">
        <f>6.777</f>
        <v>6.7770000000000001</v>
      </c>
      <c r="C30">
        <f>112.39</f>
        <v>112.39</v>
      </c>
      <c r="D30">
        <f>104.09</f>
        <v>104.09</v>
      </c>
      <c r="E30">
        <f>164.4</f>
        <v>164.4</v>
      </c>
      <c r="F30">
        <f>244.01</f>
        <v>244.01</v>
      </c>
      <c r="G30">
        <f>4.8094</f>
        <v>4.8094000000000001</v>
      </c>
    </row>
    <row r="31" spans="1:7" x14ac:dyDescent="0.25">
      <c r="A31" s="1">
        <v>44750</v>
      </c>
      <c r="B31">
        <f>6.362</f>
        <v>6.3620000000000001</v>
      </c>
      <c r="C31">
        <f>112.98</f>
        <v>112.98</v>
      </c>
      <c r="D31">
        <f>104.79</f>
        <v>104.79</v>
      </c>
      <c r="E31">
        <f>169.5</f>
        <v>169.5</v>
      </c>
      <c r="F31">
        <f>272.03</f>
        <v>272.02999999999997</v>
      </c>
      <c r="G31">
        <f>4.8604</f>
        <v>4.8604000000000003</v>
      </c>
    </row>
    <row r="32" spans="1:7" x14ac:dyDescent="0.25">
      <c r="A32" s="1">
        <v>44749</v>
      </c>
      <c r="B32">
        <f>5.932</f>
        <v>5.9320000000000004</v>
      </c>
      <c r="C32">
        <f>110.34</f>
        <v>110.34</v>
      </c>
      <c r="D32">
        <f>102.73</f>
        <v>102.73</v>
      </c>
      <c r="E32">
        <f>185.8</f>
        <v>185.8</v>
      </c>
      <c r="F32">
        <f>303.12</f>
        <v>303.12</v>
      </c>
      <c r="G32">
        <f>5.1424</f>
        <v>5.1424000000000003</v>
      </c>
    </row>
    <row r="33" spans="1:7" x14ac:dyDescent="0.25">
      <c r="A33" s="1">
        <v>44748</v>
      </c>
      <c r="B33">
        <f>5.71</f>
        <v>5.71</v>
      </c>
      <c r="C33">
        <f>106.07</f>
        <v>106.07</v>
      </c>
      <c r="D33">
        <f>98.53</f>
        <v>98.53</v>
      </c>
      <c r="E33">
        <f>174</f>
        <v>174</v>
      </c>
      <c r="F33">
        <f>276.97</f>
        <v>276.97000000000003</v>
      </c>
      <c r="G33">
        <f>4.2809</f>
        <v>4.2808999999999999</v>
      </c>
    </row>
    <row r="34" spans="1:7" x14ac:dyDescent="0.25">
      <c r="A34" s="1">
        <v>44747</v>
      </c>
      <c r="B34">
        <f>5.746</f>
        <v>5.7460000000000004</v>
      </c>
      <c r="C34">
        <f>109.79</f>
        <v>109.79</v>
      </c>
      <c r="D34">
        <f>99.5</f>
        <v>99.5</v>
      </c>
      <c r="E34">
        <f>163.15</f>
        <v>163.15</v>
      </c>
      <c r="F34">
        <f>283</f>
        <v>283</v>
      </c>
      <c r="G34">
        <f>4.2951</f>
        <v>4.2950999999999997</v>
      </c>
    </row>
    <row r="35" spans="1:7" x14ac:dyDescent="0.25">
      <c r="A35" s="1">
        <v>44746</v>
      </c>
      <c r="B35" t="e">
        <f>NA()</f>
        <v>#N/A</v>
      </c>
      <c r="C35">
        <f>121.46</f>
        <v>121.46</v>
      </c>
      <c r="D35" t="e">
        <f>NA()</f>
        <v>#N/A</v>
      </c>
      <c r="E35">
        <f>164</f>
        <v>164</v>
      </c>
      <c r="F35">
        <f>288.72</f>
        <v>288.72000000000003</v>
      </c>
      <c r="G35" t="e">
        <f>NA()</f>
        <v>#N/A</v>
      </c>
    </row>
    <row r="36" spans="1:7" x14ac:dyDescent="0.25">
      <c r="A36" s="1">
        <v>44743</v>
      </c>
      <c r="B36">
        <f>5.682</f>
        <v>5.6820000000000004</v>
      </c>
      <c r="C36">
        <f>118.39</f>
        <v>118.39</v>
      </c>
      <c r="D36">
        <f>108.43</f>
        <v>108.43</v>
      </c>
      <c r="E36">
        <f>147</f>
        <v>147</v>
      </c>
      <c r="F36">
        <f>234</f>
        <v>234</v>
      </c>
      <c r="G36">
        <f>4.4491</f>
        <v>4.4490999999999996</v>
      </c>
    </row>
    <row r="37" spans="1:7" x14ac:dyDescent="0.25">
      <c r="A37" s="1">
        <v>44742</v>
      </c>
      <c r="B37">
        <f>6.487</f>
        <v>6.4870000000000001</v>
      </c>
      <c r="C37">
        <f>115.04</f>
        <v>115.04</v>
      </c>
      <c r="D37">
        <f>105.76</f>
        <v>105.76</v>
      </c>
      <c r="E37">
        <f>144</f>
        <v>144</v>
      </c>
      <c r="F37">
        <f>166</f>
        <v>166</v>
      </c>
      <c r="G37">
        <f>4.2972</f>
        <v>4.2972000000000001</v>
      </c>
    </row>
    <row r="38" spans="1:7" x14ac:dyDescent="0.25">
      <c r="A38" s="1">
        <v>44741</v>
      </c>
      <c r="B38">
        <f>6.6</f>
        <v>6.6</v>
      </c>
      <c r="C38">
        <f>117.94</f>
        <v>117.94</v>
      </c>
      <c r="D38">
        <f>109.78</f>
        <v>109.78</v>
      </c>
      <c r="E38">
        <f>138.25</f>
        <v>138.25</v>
      </c>
      <c r="F38">
        <f>174</f>
        <v>174</v>
      </c>
      <c r="G38">
        <f>5.4501</f>
        <v>5.4500999999999999</v>
      </c>
    </row>
    <row r="39" spans="1:7" x14ac:dyDescent="0.25">
      <c r="A39" s="1">
        <v>44740</v>
      </c>
      <c r="B39">
        <f>6.553</f>
        <v>6.5529999999999999</v>
      </c>
      <c r="C39">
        <f>119.12</f>
        <v>119.12</v>
      </c>
      <c r="D39">
        <f>111.76</f>
        <v>111.76</v>
      </c>
      <c r="E39">
        <f>130</f>
        <v>130</v>
      </c>
      <c r="F39">
        <f>171.85</f>
        <v>171.85</v>
      </c>
      <c r="G39">
        <f>6.9732</f>
        <v>6.9732000000000003</v>
      </c>
    </row>
    <row r="40" spans="1:7" x14ac:dyDescent="0.25">
      <c r="A40" s="1">
        <v>44739</v>
      </c>
      <c r="B40">
        <f>6.07</f>
        <v>6.07</v>
      </c>
      <c r="C40">
        <f>116.13</f>
        <v>116.13</v>
      </c>
      <c r="D40">
        <f>109.57</f>
        <v>109.57</v>
      </c>
      <c r="E40">
        <f>129.4</f>
        <v>129.4</v>
      </c>
      <c r="F40">
        <f>170</f>
        <v>170</v>
      </c>
      <c r="G40">
        <f>6.7053</f>
        <v>6.7053000000000003</v>
      </c>
    </row>
    <row r="41" spans="1:7" x14ac:dyDescent="0.25">
      <c r="A41" s="1">
        <v>44736</v>
      </c>
      <c r="B41">
        <f>5.979</f>
        <v>5.9790000000000001</v>
      </c>
      <c r="C41">
        <f>113.48</f>
        <v>113.48</v>
      </c>
      <c r="D41">
        <f>109.47</f>
        <v>109.47</v>
      </c>
      <c r="E41">
        <f>129.5</f>
        <v>129.5</v>
      </c>
      <c r="F41">
        <f>165</f>
        <v>165</v>
      </c>
      <c r="G41">
        <f>6.0324</f>
        <v>6.0324</v>
      </c>
    </row>
    <row r="42" spans="1:7" x14ac:dyDescent="0.25">
      <c r="A42" s="1">
        <v>44735</v>
      </c>
      <c r="B42">
        <f>6.501</f>
        <v>6.5010000000000003</v>
      </c>
      <c r="C42">
        <f>110.41</f>
        <v>110.41</v>
      </c>
      <c r="D42">
        <f>106.12</f>
        <v>106.12</v>
      </c>
      <c r="E42">
        <f>130</f>
        <v>130</v>
      </c>
      <c r="F42">
        <f>187.33</f>
        <v>187.33</v>
      </c>
      <c r="G42">
        <f>6.1352</f>
        <v>6.1352000000000002</v>
      </c>
    </row>
    <row r="43" spans="1:7" x14ac:dyDescent="0.25">
      <c r="A43" s="1">
        <v>44734</v>
      </c>
      <c r="B43">
        <f>6.803</f>
        <v>6.8029999999999999</v>
      </c>
      <c r="C43">
        <f>110.56</f>
        <v>110.56</v>
      </c>
      <c r="D43">
        <f>107.69</f>
        <v>107.69</v>
      </c>
      <c r="E43">
        <f>127.5</f>
        <v>127.5</v>
      </c>
      <c r="F43">
        <f>183</f>
        <v>183</v>
      </c>
      <c r="G43">
        <f>6.7015</f>
        <v>6.7015000000000002</v>
      </c>
    </row>
    <row r="44" spans="1:7" x14ac:dyDescent="0.25">
      <c r="A44" s="1">
        <v>44733</v>
      </c>
      <c r="B44">
        <f>6.611</f>
        <v>6.6109999999999998</v>
      </c>
      <c r="C44">
        <f>115.5</f>
        <v>115.5</v>
      </c>
      <c r="D44">
        <f>110.65</f>
        <v>110.65</v>
      </c>
      <c r="E44">
        <f>125.2</f>
        <v>125.2</v>
      </c>
      <c r="F44">
        <f>207</f>
        <v>207</v>
      </c>
      <c r="G44">
        <f>6.6574</f>
        <v>6.6574</v>
      </c>
    </row>
    <row r="45" spans="1:7" x14ac:dyDescent="0.25">
      <c r="A45" s="1">
        <v>44732</v>
      </c>
      <c r="B45" t="e">
        <f>NA()</f>
        <v>#N/A</v>
      </c>
      <c r="C45">
        <f>116.05</f>
        <v>116.05</v>
      </c>
      <c r="D45" t="e">
        <f>NA()</f>
        <v>#N/A</v>
      </c>
      <c r="E45">
        <f>124</f>
        <v>124</v>
      </c>
      <c r="F45">
        <f>200</f>
        <v>200</v>
      </c>
      <c r="G45" t="e">
        <f>NA()</f>
        <v>#N/A</v>
      </c>
    </row>
    <row r="46" spans="1:7" x14ac:dyDescent="0.25">
      <c r="A46" s="1">
        <v>44729</v>
      </c>
      <c r="B46">
        <f>7.3</f>
        <v>7.3</v>
      </c>
      <c r="C46">
        <f>117.03</f>
        <v>117.03</v>
      </c>
      <c r="D46">
        <f>109.56</f>
        <v>109.56</v>
      </c>
      <c r="E46">
        <f>122.5</f>
        <v>122.5</v>
      </c>
      <c r="F46">
        <f>206.2</f>
        <v>206.2</v>
      </c>
      <c r="G46">
        <f>6.7034</f>
        <v>6.7034000000000002</v>
      </c>
    </row>
    <row r="47" spans="1:7" x14ac:dyDescent="0.25">
      <c r="A47" s="1">
        <v>44728</v>
      </c>
      <c r="B47">
        <f>7.868</f>
        <v>7.8680000000000003</v>
      </c>
      <c r="C47">
        <f>122.17</f>
        <v>122.17</v>
      </c>
      <c r="D47">
        <f>117.58</f>
        <v>117.58</v>
      </c>
      <c r="E47">
        <f>120</f>
        <v>120</v>
      </c>
      <c r="F47">
        <f>270</f>
        <v>270</v>
      </c>
      <c r="G47">
        <f>6.9821</f>
        <v>6.9821</v>
      </c>
    </row>
    <row r="48" spans="1:7" x14ac:dyDescent="0.25">
      <c r="A48" s="1">
        <v>44727</v>
      </c>
      <c r="B48">
        <f>7.7</f>
        <v>7.7</v>
      </c>
      <c r="C48">
        <f>123.26</f>
        <v>123.26</v>
      </c>
      <c r="D48">
        <f>115.31</f>
        <v>115.31</v>
      </c>
      <c r="E48">
        <f>115.75</f>
        <v>115.75</v>
      </c>
      <c r="F48">
        <f>255</f>
        <v>255</v>
      </c>
      <c r="G48">
        <f>6.1992</f>
        <v>6.1992000000000003</v>
      </c>
    </row>
    <row r="49" spans="1:7" x14ac:dyDescent="0.25">
      <c r="A49" s="1">
        <v>44726</v>
      </c>
      <c r="B49">
        <f>7.563</f>
        <v>7.5629999999999997</v>
      </c>
      <c r="C49">
        <f>124.96</f>
        <v>124.96</v>
      </c>
      <c r="D49">
        <f>118.93</f>
        <v>118.93</v>
      </c>
      <c r="E49">
        <f>97</f>
        <v>97</v>
      </c>
      <c r="F49">
        <f>196.5</f>
        <v>196.5</v>
      </c>
      <c r="G49">
        <f>5.6666</f>
        <v>5.6665999999999999</v>
      </c>
    </row>
    <row r="50" spans="1:7" x14ac:dyDescent="0.25">
      <c r="A50" s="1">
        <v>44725</v>
      </c>
      <c r="B50">
        <f>8.934</f>
        <v>8.9339999999999993</v>
      </c>
      <c r="C50">
        <f>126.38</f>
        <v>126.38</v>
      </c>
      <c r="D50">
        <f>120.93</f>
        <v>120.93</v>
      </c>
      <c r="E50">
        <f>84</f>
        <v>84</v>
      </c>
      <c r="F50" t="e">
        <f>NA()</f>
        <v>#N/A</v>
      </c>
      <c r="G50">
        <f>7.1641</f>
        <v>7.1641000000000004</v>
      </c>
    </row>
    <row r="51" spans="1:7" x14ac:dyDescent="0.25">
      <c r="A51" s="1">
        <v>44722</v>
      </c>
      <c r="B51">
        <f>8.636</f>
        <v>8.6359999999999992</v>
      </c>
      <c r="C51">
        <f>125.8</f>
        <v>125.8</v>
      </c>
      <c r="D51">
        <f>120.67</f>
        <v>120.67</v>
      </c>
      <c r="E51">
        <f>82.85</f>
        <v>82.85</v>
      </c>
      <c r="F51" t="e">
        <f>NA()</f>
        <v>#N/A</v>
      </c>
      <c r="G51">
        <f>7.184</f>
        <v>7.1840000000000002</v>
      </c>
    </row>
    <row r="52" spans="1:7" x14ac:dyDescent="0.25">
      <c r="A52" s="1">
        <v>44721</v>
      </c>
      <c r="B52">
        <f>8.18</f>
        <v>8.18</v>
      </c>
      <c r="C52">
        <f>125.87</f>
        <v>125.87</v>
      </c>
      <c r="D52">
        <f>121.51</f>
        <v>121.51</v>
      </c>
      <c r="E52">
        <f>86.125</f>
        <v>86.125</v>
      </c>
      <c r="F52" t="e">
        <f>NA()</f>
        <v>#N/A</v>
      </c>
      <c r="G52">
        <f>7.108</f>
        <v>7.1079999999999997</v>
      </c>
    </row>
    <row r="53" spans="1:7" x14ac:dyDescent="0.25">
      <c r="A53" s="1">
        <v>44720</v>
      </c>
      <c r="B53">
        <f>9.445</f>
        <v>9.4450000000000003</v>
      </c>
      <c r="C53">
        <f>127.18</f>
        <v>127.18</v>
      </c>
      <c r="D53">
        <f>122.11</f>
        <v>122.11</v>
      </c>
      <c r="E53">
        <f>78.5</f>
        <v>78.5</v>
      </c>
      <c r="F53">
        <f>130</f>
        <v>130</v>
      </c>
      <c r="G53">
        <f>6.8386</f>
        <v>6.8385999999999996</v>
      </c>
    </row>
    <row r="54" spans="1:7" x14ac:dyDescent="0.25">
      <c r="A54" s="1">
        <v>44719</v>
      </c>
      <c r="B54">
        <f>9.272</f>
        <v>9.2720000000000002</v>
      </c>
      <c r="C54">
        <f>124.38</f>
        <v>124.38</v>
      </c>
      <c r="D54">
        <f>119.41</f>
        <v>119.41</v>
      </c>
      <c r="E54">
        <f>80.25</f>
        <v>80.25</v>
      </c>
      <c r="F54">
        <f>136.4</f>
        <v>136.4</v>
      </c>
      <c r="G54">
        <f>7.9441</f>
        <v>7.9440999999999997</v>
      </c>
    </row>
    <row r="55" spans="1:7" x14ac:dyDescent="0.25">
      <c r="A55" s="1">
        <v>44718</v>
      </c>
      <c r="B55">
        <f>8.971</f>
        <v>8.9710000000000001</v>
      </c>
      <c r="C55">
        <f>123.56</f>
        <v>123.56</v>
      </c>
      <c r="D55">
        <f>118.5</f>
        <v>118.5</v>
      </c>
      <c r="E55">
        <f>81.1</f>
        <v>81.099999999999994</v>
      </c>
      <c r="F55" t="e">
        <f>NA()</f>
        <v>#N/A</v>
      </c>
      <c r="G55">
        <f>7.9908</f>
        <v>7.9908000000000001</v>
      </c>
    </row>
    <row r="56" spans="1:7" x14ac:dyDescent="0.25">
      <c r="A56" s="1">
        <v>44715</v>
      </c>
      <c r="B56">
        <f>8.329</f>
        <v>8.3290000000000006</v>
      </c>
      <c r="C56">
        <f>124.5</f>
        <v>124.5</v>
      </c>
      <c r="D56">
        <f>118.87</f>
        <v>118.87</v>
      </c>
      <c r="E56">
        <f>83.75</f>
        <v>83.75</v>
      </c>
      <c r="F56" t="e">
        <f>NA()</f>
        <v>#N/A</v>
      </c>
      <c r="G56">
        <f>6.569</f>
        <v>6.569</v>
      </c>
    </row>
    <row r="57" spans="1:7" x14ac:dyDescent="0.25">
      <c r="A57" s="1">
        <v>44714</v>
      </c>
      <c r="B57">
        <f>8.857</f>
        <v>8.8569999999999993</v>
      </c>
      <c r="C57">
        <f>122.91</f>
        <v>122.91</v>
      </c>
      <c r="D57">
        <f>116.87</f>
        <v>116.87</v>
      </c>
      <c r="E57">
        <f>83.798</f>
        <v>83.798000000000002</v>
      </c>
      <c r="F57" t="e">
        <f>NA()</f>
        <v>#N/A</v>
      </c>
      <c r="G57">
        <f>6.9013</f>
        <v>6.9013</v>
      </c>
    </row>
    <row r="58" spans="1:7" x14ac:dyDescent="0.25">
      <c r="A58" s="1">
        <v>44713</v>
      </c>
      <c r="B58">
        <f>8.498</f>
        <v>8.4979999999999993</v>
      </c>
      <c r="C58">
        <f>119.56</f>
        <v>119.56</v>
      </c>
      <c r="D58">
        <f>115.26</f>
        <v>115.26</v>
      </c>
      <c r="E58">
        <f>81.85</f>
        <v>81.849999999999994</v>
      </c>
      <c r="F58">
        <f>152.77</f>
        <v>152.77000000000001</v>
      </c>
      <c r="G58">
        <f>6.7094</f>
        <v>6.7093999999999996</v>
      </c>
    </row>
    <row r="59" spans="1:7" x14ac:dyDescent="0.25">
      <c r="A59" s="1">
        <v>44712</v>
      </c>
      <c r="B59">
        <f>8.449</f>
        <v>8.4489999999999998</v>
      </c>
      <c r="C59">
        <f>119.85</f>
        <v>119.85</v>
      </c>
      <c r="D59">
        <f>114.67</f>
        <v>114.67</v>
      </c>
      <c r="E59">
        <f>87</f>
        <v>87</v>
      </c>
      <c r="F59">
        <f>173</f>
        <v>173</v>
      </c>
      <c r="G59">
        <f>6.0312</f>
        <v>6.0312000000000001</v>
      </c>
    </row>
    <row r="60" spans="1:7" x14ac:dyDescent="0.25">
      <c r="A60" s="1">
        <v>44711</v>
      </c>
      <c r="B60" t="e">
        <f>NA()</f>
        <v>#N/A</v>
      </c>
      <c r="C60">
        <f>121.15</f>
        <v>121.15</v>
      </c>
      <c r="D60" t="e">
        <f>NA()</f>
        <v>#N/A</v>
      </c>
      <c r="E60">
        <f>86.9</f>
        <v>86.9</v>
      </c>
      <c r="F60">
        <f>165</f>
        <v>165</v>
      </c>
      <c r="G60" t="e">
        <f>NA()</f>
        <v>#N/A</v>
      </c>
    </row>
    <row r="61" spans="1:7" x14ac:dyDescent="0.25">
      <c r="A61" s="1">
        <v>44708</v>
      </c>
      <c r="B61">
        <f>8.237</f>
        <v>8.2370000000000001</v>
      </c>
      <c r="C61">
        <f>118.81</f>
        <v>118.81</v>
      </c>
      <c r="D61">
        <f>115.07</f>
        <v>115.07</v>
      </c>
      <c r="E61">
        <f>87.5</f>
        <v>87.5</v>
      </c>
      <c r="F61">
        <f>158</f>
        <v>158</v>
      </c>
      <c r="G61">
        <f>7.3564</f>
        <v>7.3563999999999998</v>
      </c>
    </row>
    <row r="62" spans="1:7" x14ac:dyDescent="0.25">
      <c r="A62" s="1">
        <v>44707</v>
      </c>
      <c r="B62">
        <f>9.096</f>
        <v>9.0960000000000001</v>
      </c>
      <c r="C62">
        <f>117.68</f>
        <v>117.68</v>
      </c>
      <c r="D62">
        <f>114.09</f>
        <v>114.09</v>
      </c>
      <c r="E62">
        <f>85</f>
        <v>85</v>
      </c>
      <c r="F62">
        <f>145</f>
        <v>145</v>
      </c>
      <c r="G62">
        <f>7.51</f>
        <v>7.51</v>
      </c>
    </row>
    <row r="63" spans="1:7" x14ac:dyDescent="0.25">
      <c r="A63" s="1">
        <v>44706</v>
      </c>
      <c r="B63">
        <f>9.386</f>
        <v>9.3859999999999992</v>
      </c>
      <c r="C63">
        <f>114.45</f>
        <v>114.45</v>
      </c>
      <c r="D63">
        <f>112.58</f>
        <v>112.58</v>
      </c>
      <c r="E63">
        <f>87.55</f>
        <v>87.55</v>
      </c>
      <c r="F63">
        <f>145</f>
        <v>145</v>
      </c>
      <c r="G63">
        <f>7.5216</f>
        <v>7.5216000000000003</v>
      </c>
    </row>
    <row r="64" spans="1:7" x14ac:dyDescent="0.25">
      <c r="A64" s="1">
        <v>44705</v>
      </c>
      <c r="B64">
        <f>8.79</f>
        <v>8.7899999999999991</v>
      </c>
      <c r="C64">
        <f>113.89</f>
        <v>113.89</v>
      </c>
      <c r="D64">
        <f>112.02</f>
        <v>112.02</v>
      </c>
      <c r="E64">
        <f>84.7</f>
        <v>84.7</v>
      </c>
      <c r="F64">
        <f>138.24</f>
        <v>138.24</v>
      </c>
      <c r="G64">
        <f>7.816</f>
        <v>7.8159999999999998</v>
      </c>
    </row>
    <row r="65" spans="1:7" x14ac:dyDescent="0.25">
      <c r="A65" s="1">
        <v>44704</v>
      </c>
      <c r="B65">
        <f>8.254</f>
        <v>8.2539999999999996</v>
      </c>
      <c r="C65">
        <f>114.01</f>
        <v>114.01</v>
      </c>
      <c r="D65">
        <f>113.04</f>
        <v>113.04</v>
      </c>
      <c r="E65">
        <f>84.5</f>
        <v>84.5</v>
      </c>
      <c r="F65">
        <f>135</f>
        <v>135</v>
      </c>
      <c r="G65">
        <f>7.4893</f>
        <v>7.4893000000000001</v>
      </c>
    </row>
    <row r="66" spans="1:7" x14ac:dyDescent="0.25">
      <c r="A66" s="1">
        <v>44701</v>
      </c>
      <c r="B66">
        <f>7.98</f>
        <v>7.98</v>
      </c>
      <c r="C66">
        <f>114.23</f>
        <v>114.23</v>
      </c>
      <c r="D66">
        <f>113.23</f>
        <v>113.23</v>
      </c>
      <c r="E66">
        <f>87.5</f>
        <v>87.5</v>
      </c>
      <c r="F66">
        <f>147.01</f>
        <v>147.01</v>
      </c>
      <c r="G66">
        <f>6.7213</f>
        <v>6.7213000000000003</v>
      </c>
    </row>
    <row r="67" spans="1:7" x14ac:dyDescent="0.25">
      <c r="A67" s="1">
        <v>44700</v>
      </c>
      <c r="B67">
        <f>8.203</f>
        <v>8.2029999999999994</v>
      </c>
      <c r="C67">
        <f>112.52</f>
        <v>112.52</v>
      </c>
      <c r="D67">
        <f>112.21</f>
        <v>112.21</v>
      </c>
      <c r="E67">
        <f>89.85</f>
        <v>89.85</v>
      </c>
      <c r="F67">
        <f>163</f>
        <v>163</v>
      </c>
      <c r="G67">
        <f>6.9653</f>
        <v>6.9653</v>
      </c>
    </row>
    <row r="68" spans="1:7" x14ac:dyDescent="0.25">
      <c r="A68" s="1">
        <v>44699</v>
      </c>
      <c r="B68">
        <f>8.429</f>
        <v>8.4290000000000003</v>
      </c>
      <c r="C68">
        <f>110.41</f>
        <v>110.41</v>
      </c>
      <c r="D68">
        <f>109.59</f>
        <v>109.59</v>
      </c>
      <c r="E68">
        <f>92.8</f>
        <v>92.8</v>
      </c>
      <c r="F68">
        <f>181.44</f>
        <v>181.44</v>
      </c>
      <c r="G68">
        <f>7.3653</f>
        <v>7.3653000000000004</v>
      </c>
    </row>
    <row r="69" spans="1:7" x14ac:dyDescent="0.25">
      <c r="A69" s="1">
        <v>44698</v>
      </c>
      <c r="B69">
        <f>8.272</f>
        <v>8.2720000000000002</v>
      </c>
      <c r="C69">
        <f>114.06</f>
        <v>114.06</v>
      </c>
      <c r="D69">
        <f>112.4</f>
        <v>112.4</v>
      </c>
      <c r="E69">
        <f>94</f>
        <v>94</v>
      </c>
      <c r="F69">
        <f>187.2</f>
        <v>187.2</v>
      </c>
      <c r="G69">
        <f>7.3754</f>
        <v>7.3754</v>
      </c>
    </row>
    <row r="70" spans="1:7" x14ac:dyDescent="0.25">
      <c r="A70" s="1">
        <v>44697</v>
      </c>
      <c r="B70">
        <f>7.999</f>
        <v>7.9989999999999997</v>
      </c>
      <c r="C70">
        <f>114.93</f>
        <v>114.93</v>
      </c>
      <c r="D70">
        <f>114.2</f>
        <v>114.2</v>
      </c>
      <c r="E70">
        <f>92.4</f>
        <v>92.4</v>
      </c>
      <c r="F70">
        <f>172</f>
        <v>172</v>
      </c>
      <c r="G70">
        <f>7.1265</f>
        <v>7.1265000000000001</v>
      </c>
    </row>
    <row r="71" spans="1:7" x14ac:dyDescent="0.25">
      <c r="A71" s="1">
        <v>44694</v>
      </c>
      <c r="B71">
        <f>7.766</f>
        <v>7.766</v>
      </c>
      <c r="C71">
        <f>111.97</f>
        <v>111.97</v>
      </c>
      <c r="D71">
        <f>110.49</f>
        <v>110.49</v>
      </c>
      <c r="E71">
        <f>96.75</f>
        <v>96.75</v>
      </c>
      <c r="F71">
        <f>150</f>
        <v>150</v>
      </c>
      <c r="G71">
        <f>6.9064</f>
        <v>6.9063999999999997</v>
      </c>
    </row>
    <row r="72" spans="1:7" x14ac:dyDescent="0.25">
      <c r="A72" s="1">
        <v>44693</v>
      </c>
      <c r="B72">
        <f>7.264</f>
        <v>7.2640000000000002</v>
      </c>
      <c r="C72">
        <f>108.38</f>
        <v>108.38</v>
      </c>
      <c r="D72">
        <f>106.13</f>
        <v>106.13</v>
      </c>
      <c r="E72">
        <f>105</f>
        <v>105</v>
      </c>
      <c r="F72">
        <f>174.75</f>
        <v>174.75</v>
      </c>
      <c r="G72">
        <f>7.2508</f>
        <v>7.2507999999999999</v>
      </c>
    </row>
    <row r="73" spans="1:7" x14ac:dyDescent="0.25">
      <c r="A73" s="1">
        <v>44692</v>
      </c>
      <c r="B73">
        <f>7.491</f>
        <v>7.4909999999999997</v>
      </c>
      <c r="C73">
        <f>107.87</f>
        <v>107.87</v>
      </c>
      <c r="D73">
        <f>105.71</f>
        <v>105.71</v>
      </c>
      <c r="E73">
        <f>93.7</f>
        <v>93.7</v>
      </c>
      <c r="F73">
        <f>140.25</f>
        <v>140.25</v>
      </c>
      <c r="G73">
        <f>7.2969</f>
        <v>7.2968999999999999</v>
      </c>
    </row>
    <row r="74" spans="1:7" x14ac:dyDescent="0.25">
      <c r="A74" s="1">
        <v>44691</v>
      </c>
      <c r="B74">
        <f>6.987</f>
        <v>6.9870000000000001</v>
      </c>
      <c r="C74">
        <f>101.95</f>
        <v>101.95</v>
      </c>
      <c r="D74">
        <f>99.76</f>
        <v>99.76</v>
      </c>
      <c r="E74">
        <f>97</f>
        <v>97</v>
      </c>
      <c r="F74">
        <f>140.35</f>
        <v>140.35</v>
      </c>
      <c r="G74">
        <f>6.3821</f>
        <v>6.3821000000000003</v>
      </c>
    </row>
    <row r="75" spans="1:7" x14ac:dyDescent="0.25">
      <c r="A75" s="1">
        <v>44690</v>
      </c>
      <c r="B75">
        <f>8.012</f>
        <v>8.0120000000000005</v>
      </c>
      <c r="C75">
        <f>105.58</f>
        <v>105.58</v>
      </c>
      <c r="D75">
        <f>103.09</f>
        <v>103.09</v>
      </c>
      <c r="E75">
        <f>94.45</f>
        <v>94.45</v>
      </c>
      <c r="F75">
        <f>127</f>
        <v>127</v>
      </c>
      <c r="G75">
        <f>5.8549</f>
        <v>5.8548999999999998</v>
      </c>
    </row>
    <row r="76" spans="1:7" x14ac:dyDescent="0.25">
      <c r="A76" s="1">
        <v>44687</v>
      </c>
      <c r="B76">
        <f>8.399</f>
        <v>8.3989999999999991</v>
      </c>
      <c r="C76">
        <f>114.14</f>
        <v>114.14</v>
      </c>
      <c r="D76">
        <f>109.77</f>
        <v>109.77</v>
      </c>
      <c r="E76">
        <f>100</f>
        <v>100</v>
      </c>
      <c r="F76">
        <f>149.17</f>
        <v>149.16999999999999</v>
      </c>
      <c r="G76">
        <f>7.0655</f>
        <v>7.0655000000000001</v>
      </c>
    </row>
    <row r="77" spans="1:7" x14ac:dyDescent="0.25">
      <c r="A77" s="1">
        <v>44686</v>
      </c>
      <c r="B77">
        <f>8.457</f>
        <v>8.4570000000000007</v>
      </c>
      <c r="C77">
        <f>112.11</f>
        <v>112.11</v>
      </c>
      <c r="D77">
        <f>108.26</f>
        <v>108.26</v>
      </c>
      <c r="E77">
        <f>110.75</f>
        <v>110.75</v>
      </c>
      <c r="F77">
        <f>166.19</f>
        <v>166.19</v>
      </c>
      <c r="G77">
        <f>8.1207</f>
        <v>8.1206999999999994</v>
      </c>
    </row>
    <row r="78" spans="1:7" x14ac:dyDescent="0.25">
      <c r="A78" s="1">
        <v>44685</v>
      </c>
      <c r="B78">
        <f>8.301</f>
        <v>8.3010000000000002</v>
      </c>
      <c r="C78">
        <f>110.64</f>
        <v>110.64</v>
      </c>
      <c r="D78">
        <f>107.81</f>
        <v>107.81</v>
      </c>
      <c r="E78">
        <f>106.3</f>
        <v>106.3</v>
      </c>
      <c r="F78">
        <f>158.99</f>
        <v>158.99</v>
      </c>
      <c r="G78">
        <f>7.7654</f>
        <v>7.7653999999999996</v>
      </c>
    </row>
    <row r="79" spans="1:7" x14ac:dyDescent="0.25">
      <c r="A79" s="1">
        <v>44684</v>
      </c>
      <c r="B79">
        <f>7.812</f>
        <v>7.8120000000000003</v>
      </c>
      <c r="C79">
        <f>106.29</f>
        <v>106.29</v>
      </c>
      <c r="D79">
        <f>102.41</f>
        <v>102.41</v>
      </c>
      <c r="E79">
        <f>99</f>
        <v>99</v>
      </c>
      <c r="F79">
        <f>152.28</f>
        <v>152.28</v>
      </c>
      <c r="G79">
        <f>7.1838</f>
        <v>7.1837999999999997</v>
      </c>
    </row>
    <row r="80" spans="1:7" x14ac:dyDescent="0.25">
      <c r="A80" s="1">
        <v>44683</v>
      </c>
      <c r="B80">
        <f>7.299</f>
        <v>7.2990000000000004</v>
      </c>
      <c r="C80">
        <f>107.13</f>
        <v>107.13</v>
      </c>
      <c r="D80">
        <f>105.17</f>
        <v>105.17</v>
      </c>
      <c r="E80" t="e">
        <f>NA()</f>
        <v>#N/A</v>
      </c>
      <c r="F80" t="e">
        <f>NA()</f>
        <v>#N/A</v>
      </c>
      <c r="G80">
        <f>6.781</f>
        <v>6.7809999999999997</v>
      </c>
    </row>
    <row r="81" spans="1:7" x14ac:dyDescent="0.25">
      <c r="A81" s="1">
        <v>44680</v>
      </c>
      <c r="B81">
        <f>6.831</f>
        <v>6.8310000000000004</v>
      </c>
      <c r="C81">
        <f>106.58</f>
        <v>106.58</v>
      </c>
      <c r="D81">
        <f>104.69</f>
        <v>104.69</v>
      </c>
      <c r="E81">
        <f>98</f>
        <v>98</v>
      </c>
      <c r="F81">
        <f>120</f>
        <v>120</v>
      </c>
      <c r="G81">
        <f>6.4184</f>
        <v>6.4184000000000001</v>
      </c>
    </row>
    <row r="82" spans="1:7" x14ac:dyDescent="0.25">
      <c r="A82" s="1">
        <v>44679</v>
      </c>
      <c r="B82">
        <f>6.795</f>
        <v>6.7949999999999999</v>
      </c>
      <c r="C82">
        <f>106.93</f>
        <v>106.93</v>
      </c>
      <c r="D82">
        <f>105.36</f>
        <v>105.36</v>
      </c>
      <c r="E82">
        <f>97.75</f>
        <v>97.75</v>
      </c>
      <c r="F82">
        <f>127</f>
        <v>127</v>
      </c>
      <c r="G82">
        <f>6.0695</f>
        <v>6.0694999999999997</v>
      </c>
    </row>
    <row r="83" spans="1:7" x14ac:dyDescent="0.25">
      <c r="A83" s="1">
        <v>44678</v>
      </c>
      <c r="B83">
        <f>6.891</f>
        <v>6.891</v>
      </c>
      <c r="C83">
        <f>104.32</f>
        <v>104.32</v>
      </c>
      <c r="D83">
        <f>102.02</f>
        <v>102.02</v>
      </c>
      <c r="E83">
        <f>108</f>
        <v>108</v>
      </c>
      <c r="F83">
        <f>145</f>
        <v>145</v>
      </c>
      <c r="G83">
        <f>6.5406</f>
        <v>6.5406000000000004</v>
      </c>
    </row>
    <row r="84" spans="1:7" x14ac:dyDescent="0.25">
      <c r="A84" s="1">
        <v>44677</v>
      </c>
      <c r="B84">
        <f>6.843</f>
        <v>6.843</v>
      </c>
      <c r="C84">
        <f>104.29</f>
        <v>104.29</v>
      </c>
      <c r="D84">
        <f>101.7</f>
        <v>101.7</v>
      </c>
      <c r="E84">
        <f>98.2</f>
        <v>98.2</v>
      </c>
      <c r="F84">
        <f>152.64</f>
        <v>152.63999999999999</v>
      </c>
      <c r="G84">
        <f>5.9753</f>
        <v>5.9752999999999998</v>
      </c>
    </row>
    <row r="85" spans="1:7" x14ac:dyDescent="0.25">
      <c r="A85" s="1">
        <v>44676</v>
      </c>
      <c r="B85">
        <f>6.41</f>
        <v>6.41</v>
      </c>
      <c r="C85">
        <f>101.4</f>
        <v>101.4</v>
      </c>
      <c r="D85">
        <f>99.54</f>
        <v>99.54</v>
      </c>
      <c r="E85">
        <f>92.75</f>
        <v>92.75</v>
      </c>
      <c r="F85">
        <f>153</f>
        <v>153</v>
      </c>
      <c r="G85">
        <f>5.6066</f>
        <v>5.6066000000000003</v>
      </c>
    </row>
    <row r="86" spans="1:7" x14ac:dyDescent="0.25">
      <c r="A86" s="1">
        <v>44673</v>
      </c>
      <c r="B86">
        <f>6.58</f>
        <v>6.58</v>
      </c>
      <c r="C86">
        <f>105.32</f>
        <v>105.32</v>
      </c>
      <c r="D86">
        <f>103.07</f>
        <v>103.07</v>
      </c>
      <c r="E86">
        <f>95</f>
        <v>95</v>
      </c>
      <c r="F86">
        <f>185.63</f>
        <v>185.63</v>
      </c>
      <c r="G86">
        <f>5.0623</f>
        <v>5.0622999999999996</v>
      </c>
    </row>
    <row r="87" spans="1:7" x14ac:dyDescent="0.25">
      <c r="A87" s="1">
        <v>44672</v>
      </c>
      <c r="B87">
        <f>6.87</f>
        <v>6.87</v>
      </c>
      <c r="C87">
        <f>107.94</f>
        <v>107.94</v>
      </c>
      <c r="D87">
        <f>104.54</f>
        <v>104.54</v>
      </c>
      <c r="E87">
        <f>100.5</f>
        <v>100.5</v>
      </c>
      <c r="F87">
        <f>191</f>
        <v>191</v>
      </c>
      <c r="G87">
        <f>5.7321</f>
        <v>5.7321</v>
      </c>
    </row>
    <row r="88" spans="1:7" x14ac:dyDescent="0.25">
      <c r="A88" s="1">
        <v>44671</v>
      </c>
      <c r="B88" t="e">
        <f>NA()</f>
        <v>#N/A</v>
      </c>
      <c r="C88">
        <f>105.61</f>
        <v>105.61</v>
      </c>
      <c r="D88">
        <f>102.75</f>
        <v>102.75</v>
      </c>
      <c r="E88">
        <f>92.2</f>
        <v>92.2</v>
      </c>
      <c r="F88">
        <f>173</f>
        <v>173</v>
      </c>
      <c r="G88">
        <f>5.4393</f>
        <v>5.4393000000000002</v>
      </c>
    </row>
    <row r="89" spans="1:7" x14ac:dyDescent="0.25">
      <c r="A89" s="1">
        <v>44670</v>
      </c>
      <c r="B89">
        <f>7.41</f>
        <v>7.41</v>
      </c>
      <c r="C89">
        <f>106.04</f>
        <v>106.04</v>
      </c>
      <c r="D89">
        <f>102.56</f>
        <v>102.56</v>
      </c>
      <c r="E89">
        <f>93.75</f>
        <v>93.75</v>
      </c>
      <c r="F89">
        <f>173</f>
        <v>173</v>
      </c>
      <c r="G89">
        <f>6.54</f>
        <v>6.54</v>
      </c>
    </row>
    <row r="90" spans="1:7" x14ac:dyDescent="0.25">
      <c r="A90" s="1">
        <v>44669</v>
      </c>
      <c r="B90">
        <f>7.49</f>
        <v>7.49</v>
      </c>
      <c r="C90">
        <f>111.84</f>
        <v>111.84</v>
      </c>
      <c r="D90">
        <f>108.21</f>
        <v>108.21</v>
      </c>
      <c r="E90">
        <f>87</f>
        <v>87</v>
      </c>
      <c r="F90" t="e">
        <f>NA()</f>
        <v>#N/A</v>
      </c>
      <c r="G90">
        <f>7.1499</f>
        <v>7.1498999999999997</v>
      </c>
    </row>
    <row r="91" spans="1:7" x14ac:dyDescent="0.25">
      <c r="A91" s="1">
        <v>44666</v>
      </c>
      <c r="B91" t="e">
        <f>NA()</f>
        <v>#N/A</v>
      </c>
      <c r="C91">
        <f>111.58</f>
        <v>111.58</v>
      </c>
      <c r="D91" t="e">
        <f>NA()</f>
        <v>#N/A</v>
      </c>
      <c r="E91">
        <f>95</f>
        <v>95</v>
      </c>
      <c r="F91" t="e">
        <f>NA()</f>
        <v>#N/A</v>
      </c>
      <c r="G91" t="e">
        <f>NA()</f>
        <v>#N/A</v>
      </c>
    </row>
    <row r="92" spans="1:7" x14ac:dyDescent="0.25">
      <c r="A92" s="1">
        <v>44665</v>
      </c>
      <c r="B92">
        <f>6.909</f>
        <v>6.9089999999999998</v>
      </c>
      <c r="C92">
        <f>111.33</f>
        <v>111.33</v>
      </c>
      <c r="D92">
        <f>106.95</f>
        <v>106.95</v>
      </c>
      <c r="E92">
        <f>90.3</f>
        <v>90.3</v>
      </c>
      <c r="F92">
        <f>169.75</f>
        <v>169.75</v>
      </c>
      <c r="G92">
        <f>6.7378</f>
        <v>6.7378</v>
      </c>
    </row>
    <row r="93" spans="1:7" x14ac:dyDescent="0.25">
      <c r="A93" s="1">
        <v>44664</v>
      </c>
      <c r="B93">
        <f>6.688</f>
        <v>6.6879999999999997</v>
      </c>
      <c r="C93">
        <f>108.81</f>
        <v>108.81</v>
      </c>
      <c r="D93">
        <f>104.25</f>
        <v>104.25</v>
      </c>
      <c r="E93">
        <f>104.15</f>
        <v>104.15</v>
      </c>
      <c r="F93">
        <f>211.5</f>
        <v>211.5</v>
      </c>
      <c r="G93">
        <f>6.4438</f>
        <v>6.4438000000000004</v>
      </c>
    </row>
    <row r="94" spans="1:7" x14ac:dyDescent="0.25">
      <c r="A94" s="1">
        <v>44663</v>
      </c>
      <c r="B94">
        <f>6.588</f>
        <v>6.5880000000000001</v>
      </c>
      <c r="C94">
        <f>104.88</f>
        <v>104.88</v>
      </c>
      <c r="D94">
        <f>100.6</f>
        <v>100.6</v>
      </c>
      <c r="E94">
        <f>103.125</f>
        <v>103.125</v>
      </c>
      <c r="F94">
        <f>217.08</f>
        <v>217.08</v>
      </c>
      <c r="G94">
        <f>6.1051</f>
        <v>6.1051000000000002</v>
      </c>
    </row>
    <row r="95" spans="1:7" x14ac:dyDescent="0.25">
      <c r="A95" s="1">
        <v>44662</v>
      </c>
      <c r="B95">
        <f>6.348</f>
        <v>6.3479999999999999</v>
      </c>
      <c r="C95">
        <f>98.99</f>
        <v>98.99</v>
      </c>
      <c r="D95">
        <f>94.29</f>
        <v>94.29</v>
      </c>
      <c r="E95">
        <f>101.35</f>
        <v>101.35</v>
      </c>
      <c r="F95">
        <f>212.5</f>
        <v>212.5</v>
      </c>
      <c r="G95">
        <f>6.1922</f>
        <v>6.1921999999999997</v>
      </c>
    </row>
    <row r="96" spans="1:7" x14ac:dyDescent="0.25">
      <c r="A96" s="1">
        <v>44659</v>
      </c>
      <c r="B96">
        <f>6.292</f>
        <v>6.2919999999999998</v>
      </c>
      <c r="C96">
        <f>101.91</f>
        <v>101.91</v>
      </c>
      <c r="D96">
        <f>98.26</f>
        <v>98.26</v>
      </c>
      <c r="E96">
        <f>103</f>
        <v>103</v>
      </c>
      <c r="F96">
        <f>228</f>
        <v>228</v>
      </c>
      <c r="G96">
        <f>5.8616</f>
        <v>5.8616000000000001</v>
      </c>
    </row>
    <row r="97" spans="1:7" x14ac:dyDescent="0.25">
      <c r="A97" s="1">
        <v>44658</v>
      </c>
      <c r="B97">
        <f>6.054</f>
        <v>6.0540000000000003</v>
      </c>
      <c r="C97">
        <f>101.02</f>
        <v>101.02</v>
      </c>
      <c r="D97">
        <f>96.03</f>
        <v>96.03</v>
      </c>
      <c r="E97">
        <f>104.4</f>
        <v>104.4</v>
      </c>
      <c r="F97">
        <f>233</f>
        <v>233</v>
      </c>
      <c r="G97">
        <f>5.9537</f>
        <v>5.9537000000000004</v>
      </c>
    </row>
    <row r="98" spans="1:7" x14ac:dyDescent="0.25">
      <c r="A98" s="1">
        <v>44657</v>
      </c>
      <c r="B98">
        <f>6.209</f>
        <v>6.2089999999999996</v>
      </c>
      <c r="C98">
        <f>101.92</f>
        <v>101.92</v>
      </c>
      <c r="D98">
        <f>96.23</f>
        <v>96.23</v>
      </c>
      <c r="E98">
        <f>107.3</f>
        <v>107.3</v>
      </c>
      <c r="F98">
        <f>242</f>
        <v>242</v>
      </c>
      <c r="G98">
        <f>5.5203</f>
        <v>5.5202999999999998</v>
      </c>
    </row>
    <row r="99" spans="1:7" x14ac:dyDescent="0.25">
      <c r="A99" s="1">
        <v>44656</v>
      </c>
      <c r="B99">
        <f>5.949</f>
        <v>5.9489999999999998</v>
      </c>
      <c r="C99">
        <f>106.43</f>
        <v>106.43</v>
      </c>
      <c r="D99">
        <f>101.96</f>
        <v>101.96</v>
      </c>
      <c r="E99">
        <f>106</f>
        <v>106</v>
      </c>
      <c r="F99">
        <f>241</f>
        <v>241</v>
      </c>
      <c r="G99">
        <f>5.4321</f>
        <v>5.4321000000000002</v>
      </c>
    </row>
    <row r="100" spans="1:7" x14ac:dyDescent="0.25">
      <c r="A100" s="1">
        <v>44655</v>
      </c>
      <c r="B100">
        <f>5.683</f>
        <v>5.6829999999999998</v>
      </c>
      <c r="C100">
        <f>108.52</f>
        <v>108.52</v>
      </c>
      <c r="D100">
        <f>103.28</f>
        <v>103.28</v>
      </c>
      <c r="E100">
        <f>109.975</f>
        <v>109.97499999999999</v>
      </c>
      <c r="F100">
        <f>247</f>
        <v>247</v>
      </c>
      <c r="G100">
        <f>5.0062</f>
        <v>5.0061999999999998</v>
      </c>
    </row>
    <row r="101" spans="1:7" x14ac:dyDescent="0.25">
      <c r="A101" s="1">
        <v>44652</v>
      </c>
      <c r="B101">
        <f>5.399</f>
        <v>5.399</v>
      </c>
      <c r="C101">
        <f>105.65</f>
        <v>105.65</v>
      </c>
      <c r="D101">
        <f>99.27</f>
        <v>99.27</v>
      </c>
      <c r="E101">
        <f>110.3</f>
        <v>110.3</v>
      </c>
      <c r="F101">
        <f>255</f>
        <v>255</v>
      </c>
      <c r="G101">
        <f>4.9977</f>
        <v>4.9977</v>
      </c>
    </row>
    <row r="102" spans="1:7" x14ac:dyDescent="0.25">
      <c r="A102" s="1">
        <v>44651</v>
      </c>
      <c r="B102">
        <f>5.501</f>
        <v>5.5010000000000003</v>
      </c>
      <c r="C102">
        <f>106.6</f>
        <v>106.6</v>
      </c>
      <c r="D102">
        <f>100.28</f>
        <v>100.28</v>
      </c>
      <c r="E102">
        <f>122.1</f>
        <v>122.1</v>
      </c>
      <c r="F102">
        <f>295</f>
        <v>295</v>
      </c>
      <c r="G102">
        <f>4.9455</f>
        <v>4.9455</v>
      </c>
    </row>
    <row r="103" spans="1:7" x14ac:dyDescent="0.25">
      <c r="A103" s="1">
        <v>44650</v>
      </c>
      <c r="B103">
        <f>5.328</f>
        <v>5.3280000000000003</v>
      </c>
      <c r="C103">
        <f>113.16</f>
        <v>113.16</v>
      </c>
      <c r="D103">
        <f>107.82</f>
        <v>107.82</v>
      </c>
      <c r="E103">
        <f>116.5</f>
        <v>116.5</v>
      </c>
      <c r="F103">
        <f>280</f>
        <v>280</v>
      </c>
      <c r="G103">
        <f>4.6356</f>
        <v>4.6356000000000002</v>
      </c>
    </row>
    <row r="104" spans="1:7" x14ac:dyDescent="0.25">
      <c r="A104" s="1">
        <v>44649</v>
      </c>
      <c r="B104">
        <f>5.318</f>
        <v>5.3179999999999996</v>
      </c>
      <c r="C104">
        <f>111.05</f>
        <v>111.05</v>
      </c>
      <c r="D104">
        <f>104.24</f>
        <v>104.24</v>
      </c>
      <c r="E104">
        <f>107</f>
        <v>107</v>
      </c>
      <c r="F104">
        <f>258.5</f>
        <v>258.5</v>
      </c>
      <c r="G104">
        <f>4.2356</f>
        <v>4.2355999999999998</v>
      </c>
    </row>
    <row r="105" spans="1:7" x14ac:dyDescent="0.25">
      <c r="A105" s="1">
        <v>44648</v>
      </c>
      <c r="B105">
        <f>5.431</f>
        <v>5.431</v>
      </c>
      <c r="C105">
        <f>109.89</f>
        <v>109.89</v>
      </c>
      <c r="D105">
        <f>105.96</f>
        <v>105.96</v>
      </c>
      <c r="E105">
        <f>109</f>
        <v>109</v>
      </c>
      <c r="F105">
        <f>246.5</f>
        <v>246.5</v>
      </c>
      <c r="G105">
        <f>4.5982</f>
        <v>4.5982000000000003</v>
      </c>
    </row>
    <row r="106" spans="1:7" x14ac:dyDescent="0.25">
      <c r="A106" s="1">
        <v>44645</v>
      </c>
      <c r="B106">
        <f>5.439</f>
        <v>5.4390000000000001</v>
      </c>
      <c r="C106">
        <f>119.75</f>
        <v>119.75</v>
      </c>
      <c r="D106">
        <f>115.4</f>
        <v>115.4</v>
      </c>
      <c r="E106">
        <f>98.55</f>
        <v>98.55</v>
      </c>
      <c r="F106">
        <f>232</f>
        <v>232</v>
      </c>
      <c r="G106">
        <f>4.8366</f>
        <v>4.8365999999999998</v>
      </c>
    </row>
    <row r="107" spans="1:7" x14ac:dyDescent="0.25">
      <c r="A107" s="1">
        <v>44644</v>
      </c>
      <c r="B107">
        <f>5.252</f>
        <v>5.2519999999999998</v>
      </c>
      <c r="C107">
        <f>118.3</f>
        <v>118.3</v>
      </c>
      <c r="D107">
        <f>114.34</f>
        <v>114.34</v>
      </c>
      <c r="E107">
        <f>109.95</f>
        <v>109.95</v>
      </c>
      <c r="F107">
        <f>276.97</f>
        <v>276.97000000000003</v>
      </c>
      <c r="G107">
        <f>4.7566</f>
        <v>4.7565999999999997</v>
      </c>
    </row>
    <row r="108" spans="1:7" x14ac:dyDescent="0.25">
      <c r="A108" s="1">
        <v>44643</v>
      </c>
      <c r="B108">
        <f>5.253</f>
        <v>5.2530000000000001</v>
      </c>
      <c r="C108">
        <f>121.86</f>
        <v>121.86</v>
      </c>
      <c r="D108">
        <f>116.63</f>
        <v>116.63</v>
      </c>
      <c r="E108">
        <f>111.9</f>
        <v>111.9</v>
      </c>
      <c r="F108">
        <f>278</f>
        <v>278</v>
      </c>
      <c r="G108">
        <f>4.6885</f>
        <v>4.6885000000000003</v>
      </c>
    </row>
    <row r="109" spans="1:7" x14ac:dyDescent="0.25">
      <c r="A109" s="1">
        <v>44642</v>
      </c>
      <c r="B109">
        <f>4.992</f>
        <v>4.992</v>
      </c>
      <c r="C109">
        <f>115.16</f>
        <v>115.16</v>
      </c>
      <c r="D109">
        <f>111.76</f>
        <v>111.76</v>
      </c>
      <c r="E109">
        <f>99.25</f>
        <v>99.25</v>
      </c>
      <c r="F109">
        <f>234.5</f>
        <v>234.5</v>
      </c>
      <c r="G109">
        <f>4.703</f>
        <v>4.7030000000000003</v>
      </c>
    </row>
    <row r="110" spans="1:7" x14ac:dyDescent="0.25">
      <c r="A110" s="1">
        <v>44641</v>
      </c>
      <c r="B110">
        <f>4.763</f>
        <v>4.7629999999999999</v>
      </c>
      <c r="C110">
        <f>118.55</f>
        <v>118.55</v>
      </c>
      <c r="D110">
        <f>112.12</f>
        <v>112.12</v>
      </c>
      <c r="E110">
        <f>96</f>
        <v>96</v>
      </c>
      <c r="F110">
        <f>223.8</f>
        <v>223.8</v>
      </c>
      <c r="G110">
        <f>4.3768</f>
        <v>4.3768000000000002</v>
      </c>
    </row>
    <row r="111" spans="1:7" x14ac:dyDescent="0.25">
      <c r="A111" s="1">
        <v>44638</v>
      </c>
      <c r="B111">
        <f>4.86</f>
        <v>4.8600000000000003</v>
      </c>
      <c r="C111">
        <f>111.97</f>
        <v>111.97</v>
      </c>
      <c r="D111">
        <f>104.7</f>
        <v>104.7</v>
      </c>
      <c r="E111">
        <f>101</f>
        <v>101</v>
      </c>
      <c r="F111">
        <f>241</f>
        <v>241</v>
      </c>
      <c r="G111">
        <f>4.4891</f>
        <v>4.4890999999999996</v>
      </c>
    </row>
    <row r="112" spans="1:7" x14ac:dyDescent="0.25">
      <c r="A112" s="1">
        <v>44637</v>
      </c>
      <c r="B112">
        <f>4.782</f>
        <v>4.782</v>
      </c>
      <c r="C112">
        <f>110.96</f>
        <v>110.96</v>
      </c>
      <c r="D112">
        <f>102.98</f>
        <v>102.98</v>
      </c>
      <c r="E112">
        <f>105.6</f>
        <v>105.6</v>
      </c>
      <c r="F112">
        <f>251</f>
        <v>251</v>
      </c>
      <c r="G112">
        <f>4.6215</f>
        <v>4.6215000000000002</v>
      </c>
    </row>
    <row r="113" spans="1:7" x14ac:dyDescent="0.25">
      <c r="A113" s="1">
        <v>44636</v>
      </c>
      <c r="B113">
        <f>4.625</f>
        <v>4.625</v>
      </c>
      <c r="C113">
        <f>101.73</f>
        <v>101.73</v>
      </c>
      <c r="D113">
        <f>95.04</f>
        <v>95.04</v>
      </c>
      <c r="E113">
        <f>105</f>
        <v>105</v>
      </c>
      <c r="F113">
        <f>240</f>
        <v>240</v>
      </c>
      <c r="G113">
        <f>4.4261</f>
        <v>4.4260999999999999</v>
      </c>
    </row>
    <row r="114" spans="1:7" x14ac:dyDescent="0.25">
      <c r="A114" s="1">
        <v>44635</v>
      </c>
      <c r="B114">
        <f>4.458</f>
        <v>4.4580000000000002</v>
      </c>
      <c r="C114">
        <f>102.36</f>
        <v>102.36</v>
      </c>
      <c r="D114">
        <f>96.44</f>
        <v>96.44</v>
      </c>
      <c r="E114">
        <f>112.5</f>
        <v>112.5</v>
      </c>
      <c r="F114">
        <f>273.01</f>
        <v>273.01</v>
      </c>
      <c r="G114">
        <f>4.2081</f>
        <v>4.2081</v>
      </c>
    </row>
    <row r="115" spans="1:7" x14ac:dyDescent="0.25">
      <c r="A115" s="1">
        <v>44634</v>
      </c>
      <c r="B115">
        <f>4.548</f>
        <v>4.548</v>
      </c>
      <c r="C115">
        <f>109.43</f>
        <v>109.43</v>
      </c>
      <c r="D115">
        <f>103.01</f>
        <v>103.01</v>
      </c>
      <c r="E115">
        <f>110.5</f>
        <v>110.5</v>
      </c>
      <c r="F115">
        <f>271</f>
        <v>271</v>
      </c>
      <c r="G115">
        <f>4.2911</f>
        <v>4.2911000000000001</v>
      </c>
    </row>
    <row r="116" spans="1:7" x14ac:dyDescent="0.25">
      <c r="A116" s="1">
        <v>44631</v>
      </c>
      <c r="B116">
        <f>4.73</f>
        <v>4.7300000000000004</v>
      </c>
      <c r="C116">
        <f>116.59</f>
        <v>116.59</v>
      </c>
      <c r="D116">
        <f>109.33</f>
        <v>109.33</v>
      </c>
      <c r="E116">
        <f>133.6</f>
        <v>133.6</v>
      </c>
      <c r="F116">
        <f>312.84</f>
        <v>312.83999999999997</v>
      </c>
      <c r="G116">
        <f>4.3713</f>
        <v>4.3712999999999997</v>
      </c>
    </row>
    <row r="117" spans="1:7" x14ac:dyDescent="0.25">
      <c r="A117" s="1">
        <v>44630</v>
      </c>
      <c r="B117">
        <f>4.599</f>
        <v>4.5990000000000002</v>
      </c>
      <c r="C117">
        <f>114.22</f>
        <v>114.22</v>
      </c>
      <c r="D117">
        <f>106.02</f>
        <v>106.02</v>
      </c>
      <c r="E117">
        <f>128</f>
        <v>128</v>
      </c>
      <c r="F117">
        <f>294.89</f>
        <v>294.89</v>
      </c>
      <c r="G117">
        <f>4.1596</f>
        <v>4.1596000000000002</v>
      </c>
    </row>
    <row r="118" spans="1:7" x14ac:dyDescent="0.25">
      <c r="A118" s="1">
        <v>44629</v>
      </c>
      <c r="B118">
        <f>4.518</f>
        <v>4.5179999999999998</v>
      </c>
      <c r="C118">
        <f>118.51</f>
        <v>118.51</v>
      </c>
      <c r="D118">
        <f>108.7</f>
        <v>108.7</v>
      </c>
      <c r="E118">
        <f>147.8</f>
        <v>147.80000000000001</v>
      </c>
      <c r="F118">
        <f>370</f>
        <v>370</v>
      </c>
      <c r="G118">
        <f>3.996</f>
        <v>3.996</v>
      </c>
    </row>
    <row r="119" spans="1:7" x14ac:dyDescent="0.25">
      <c r="A119" s="1">
        <v>44628</v>
      </c>
      <c r="B119">
        <f>4.58</f>
        <v>4.58</v>
      </c>
      <c r="C119">
        <f>133.89</f>
        <v>133.88999999999999</v>
      </c>
      <c r="D119">
        <f>123.7</f>
        <v>123.7</v>
      </c>
      <c r="E119">
        <f>210.5</f>
        <v>210.5</v>
      </c>
      <c r="F119">
        <f>503</f>
        <v>503</v>
      </c>
      <c r="G119">
        <f>4.0805</f>
        <v>4.0804999999999998</v>
      </c>
    </row>
    <row r="120" spans="1:7" x14ac:dyDescent="0.25">
      <c r="A120" s="1">
        <v>44627</v>
      </c>
      <c r="B120">
        <f>4.918</f>
        <v>4.9180000000000001</v>
      </c>
      <c r="C120">
        <f>129.61</f>
        <v>129.61000000000001</v>
      </c>
      <c r="D120">
        <f>119.4</f>
        <v>119.4</v>
      </c>
      <c r="E120">
        <f>212</f>
        <v>212</v>
      </c>
      <c r="F120">
        <f>633.11</f>
        <v>633.11</v>
      </c>
      <c r="G120">
        <f>4.5056</f>
        <v>4.5056000000000003</v>
      </c>
    </row>
    <row r="121" spans="1:7" x14ac:dyDescent="0.25">
      <c r="A121" s="1">
        <v>44624</v>
      </c>
      <c r="B121">
        <f>4.725</f>
        <v>4.7249999999999996</v>
      </c>
      <c r="C121">
        <f>123.54</f>
        <v>123.54</v>
      </c>
      <c r="D121">
        <f>115.68</f>
        <v>115.68</v>
      </c>
      <c r="E121">
        <f>204</f>
        <v>204</v>
      </c>
      <c r="F121">
        <f>467.5</f>
        <v>467.5</v>
      </c>
      <c r="G121">
        <f>4.7365</f>
        <v>4.7365000000000004</v>
      </c>
    </row>
    <row r="122" spans="1:7" x14ac:dyDescent="0.25">
      <c r="A122" s="1">
        <v>44623</v>
      </c>
      <c r="B122">
        <f>4.579</f>
        <v>4.5789999999999997</v>
      </c>
      <c r="C122">
        <f>117.73</f>
        <v>117.73</v>
      </c>
      <c r="D122">
        <f>107.67</f>
        <v>107.67</v>
      </c>
      <c r="E122">
        <f>143.5</f>
        <v>143.5</v>
      </c>
      <c r="F122">
        <f>350</f>
        <v>350</v>
      </c>
      <c r="G122">
        <f>4.4651</f>
        <v>4.4650999999999996</v>
      </c>
    </row>
    <row r="123" spans="1:7" x14ac:dyDescent="0.25">
      <c r="A123" s="1">
        <v>44622</v>
      </c>
      <c r="B123">
        <f>4.655</f>
        <v>4.6550000000000002</v>
      </c>
      <c r="C123">
        <f>122.75</f>
        <v>122.75</v>
      </c>
      <c r="D123">
        <f>110.6</f>
        <v>110.6</v>
      </c>
      <c r="E123">
        <f>174</f>
        <v>174</v>
      </c>
      <c r="F123">
        <f>410.04</f>
        <v>410.04</v>
      </c>
      <c r="G123">
        <f>4.6119</f>
        <v>4.6119000000000003</v>
      </c>
    </row>
    <row r="124" spans="1:7" x14ac:dyDescent="0.25">
      <c r="A124" s="1">
        <v>44621</v>
      </c>
      <c r="B124">
        <f>4.354</f>
        <v>4.3540000000000001</v>
      </c>
      <c r="C124">
        <f>110.97</f>
        <v>110.97</v>
      </c>
      <c r="D124">
        <f>103.41</f>
        <v>103.41</v>
      </c>
      <c r="E124">
        <f>126</f>
        <v>126</v>
      </c>
      <c r="F124">
        <f>291.5</f>
        <v>291.5</v>
      </c>
      <c r="G124">
        <f>4.3024</f>
        <v>4.3023999999999996</v>
      </c>
    </row>
    <row r="125" spans="1:7" x14ac:dyDescent="0.25">
      <c r="A125" s="1">
        <v>44620</v>
      </c>
      <c r="B125">
        <f>4.302</f>
        <v>4.3019999999999996</v>
      </c>
      <c r="C125">
        <f>100.83</f>
        <v>100.83</v>
      </c>
      <c r="D125">
        <f>95.72</f>
        <v>95.72</v>
      </c>
      <c r="E125">
        <f>98.3</f>
        <v>98.3</v>
      </c>
      <c r="F125">
        <f>235</f>
        <v>235</v>
      </c>
      <c r="G125">
        <f>4.1012</f>
        <v>4.1012000000000004</v>
      </c>
    </row>
    <row r="126" spans="1:7" x14ac:dyDescent="0.25">
      <c r="A126" s="1">
        <v>44617</v>
      </c>
      <c r="B126">
        <f>4.554</f>
        <v>4.5540000000000003</v>
      </c>
      <c r="C126">
        <f>97.68</f>
        <v>97.68</v>
      </c>
      <c r="D126">
        <f>92.59</f>
        <v>92.59</v>
      </c>
      <c r="E126">
        <f>91.5</f>
        <v>91.5</v>
      </c>
      <c r="F126">
        <f>225.55</f>
        <v>225.55</v>
      </c>
      <c r="G126">
        <f>4.243</f>
        <v>4.2430000000000003</v>
      </c>
    </row>
    <row r="127" spans="1:7" x14ac:dyDescent="0.25">
      <c r="A127" s="1">
        <v>44616</v>
      </c>
      <c r="B127">
        <f>4.776</f>
        <v>4.7759999999999998</v>
      </c>
      <c r="C127">
        <f>99.09</f>
        <v>99.09</v>
      </c>
      <c r="D127">
        <f>93.41</f>
        <v>93.41</v>
      </c>
      <c r="E127">
        <f>114.5</f>
        <v>114.5</v>
      </c>
      <c r="F127">
        <f>321.97</f>
        <v>321.97000000000003</v>
      </c>
      <c r="G127">
        <f>4.5224</f>
        <v>4.5224000000000002</v>
      </c>
    </row>
    <row r="128" spans="1:7" x14ac:dyDescent="0.25">
      <c r="A128" s="1">
        <v>44615</v>
      </c>
      <c r="B128">
        <f>4.575</f>
        <v>4.5750000000000002</v>
      </c>
      <c r="C128">
        <f>97.59</f>
        <v>97.59</v>
      </c>
      <c r="D128">
        <f>92.7</f>
        <v>92.7</v>
      </c>
      <c r="E128">
        <f>87.5</f>
        <v>87.5</v>
      </c>
      <c r="F128">
        <f>213.33</f>
        <v>213.33</v>
      </c>
      <c r="G128">
        <f>4.5738</f>
        <v>4.5738000000000003</v>
      </c>
    </row>
    <row r="129" spans="1:7" x14ac:dyDescent="0.25">
      <c r="A129" s="1">
        <v>44614</v>
      </c>
      <c r="B129">
        <f>4.493</f>
        <v>4.4930000000000003</v>
      </c>
      <c r="C129">
        <f>96.69</f>
        <v>96.69</v>
      </c>
      <c r="D129">
        <f>92.35</f>
        <v>92.35</v>
      </c>
      <c r="E129">
        <f>80</f>
        <v>80</v>
      </c>
      <c r="F129">
        <f>190.99</f>
        <v>190.99</v>
      </c>
      <c r="G129">
        <f>4.4661</f>
        <v>4.4661</v>
      </c>
    </row>
    <row r="130" spans="1:7" x14ac:dyDescent="0.25">
      <c r="A130" s="1">
        <v>44613</v>
      </c>
      <c r="B130" t="e">
        <f>NA()</f>
        <v>#N/A</v>
      </c>
      <c r="C130">
        <f>97.71</f>
        <v>97.71</v>
      </c>
      <c r="D130" t="e">
        <f>NA()</f>
        <v>#N/A</v>
      </c>
      <c r="E130">
        <f>71.85</f>
        <v>71.849999999999994</v>
      </c>
      <c r="F130">
        <f>173.53</f>
        <v>173.53</v>
      </c>
      <c r="G130" t="e">
        <f>NA()</f>
        <v>#N/A</v>
      </c>
    </row>
    <row r="131" spans="1:7" x14ac:dyDescent="0.25">
      <c r="A131" s="1">
        <v>44610</v>
      </c>
      <c r="B131">
        <f>4.594</f>
        <v>4.5940000000000003</v>
      </c>
      <c r="C131">
        <f>95.88</f>
        <v>95.88</v>
      </c>
      <c r="D131">
        <f>91.07</f>
        <v>91.07</v>
      </c>
      <c r="E131">
        <f>72.15</f>
        <v>72.150000000000006</v>
      </c>
      <c r="F131">
        <f>176</f>
        <v>176</v>
      </c>
      <c r="G131">
        <f>4.1347</f>
        <v>4.1346999999999996</v>
      </c>
    </row>
    <row r="132" spans="1:7" x14ac:dyDescent="0.25">
      <c r="A132" s="1">
        <v>44609</v>
      </c>
      <c r="B132">
        <f>4.574</f>
        <v>4.5739999999999998</v>
      </c>
      <c r="C132">
        <f>95.14</f>
        <v>95.14</v>
      </c>
      <c r="D132">
        <f>91.76</f>
        <v>91.76</v>
      </c>
      <c r="E132">
        <f>74.25</f>
        <v>74.25</v>
      </c>
      <c r="F132">
        <f>179.67</f>
        <v>179.67</v>
      </c>
      <c r="G132">
        <f>4.5361</f>
        <v>4.5361000000000002</v>
      </c>
    </row>
    <row r="133" spans="1:7" x14ac:dyDescent="0.25">
      <c r="A133" s="1">
        <v>44608</v>
      </c>
      <c r="B133">
        <f>4.403</f>
        <v>4.4029999999999996</v>
      </c>
      <c r="C133">
        <f>94.83</f>
        <v>94.83</v>
      </c>
      <c r="D133">
        <f>93.66</f>
        <v>93.66</v>
      </c>
      <c r="E133">
        <f>70</f>
        <v>70</v>
      </c>
      <c r="F133">
        <f>166.92</f>
        <v>166.92</v>
      </c>
      <c r="G133">
        <f>4.7513</f>
        <v>4.7512999999999996</v>
      </c>
    </row>
    <row r="134" spans="1:7" x14ac:dyDescent="0.25">
      <c r="A134" s="1">
        <v>44607</v>
      </c>
      <c r="B134">
        <f>4.296</f>
        <v>4.2960000000000003</v>
      </c>
      <c r="C134">
        <f>95.66</f>
        <v>95.66</v>
      </c>
      <c r="D134">
        <f>92.07</f>
        <v>92.07</v>
      </c>
      <c r="E134">
        <f>67.6</f>
        <v>67.599999999999994</v>
      </c>
      <c r="F134">
        <f>164.5</f>
        <v>164.5</v>
      </c>
      <c r="G134">
        <f>4.5181</f>
        <v>4.5180999999999996</v>
      </c>
    </row>
    <row r="135" spans="1:7" x14ac:dyDescent="0.25">
      <c r="A135" s="1">
        <v>44606</v>
      </c>
      <c r="B135">
        <f>4.062</f>
        <v>4.0620000000000003</v>
      </c>
      <c r="C135">
        <f>97.67</f>
        <v>97.67</v>
      </c>
      <c r="D135">
        <f>95.46</f>
        <v>95.46</v>
      </c>
      <c r="E135">
        <f>80.65</f>
        <v>80.650000000000006</v>
      </c>
      <c r="F135">
        <f>193.45</f>
        <v>193.45</v>
      </c>
      <c r="G135">
        <f>4.2567</f>
        <v>4.2567000000000004</v>
      </c>
    </row>
    <row r="136" spans="1:7" x14ac:dyDescent="0.25">
      <c r="A136" s="1">
        <v>44603</v>
      </c>
      <c r="B136">
        <f>3.923</f>
        <v>3.923</v>
      </c>
      <c r="C136">
        <f>97.59</f>
        <v>97.59</v>
      </c>
      <c r="D136">
        <f>93.1</f>
        <v>93.1</v>
      </c>
      <c r="E136">
        <f>76.4</f>
        <v>76.400000000000006</v>
      </c>
      <c r="F136">
        <f>186</f>
        <v>186</v>
      </c>
      <c r="G136">
        <f>3.9904</f>
        <v>3.9904000000000002</v>
      </c>
    </row>
    <row r="137" spans="1:7" x14ac:dyDescent="0.25">
      <c r="A137" s="1">
        <v>44602</v>
      </c>
      <c r="B137">
        <f>3.887</f>
        <v>3.887</v>
      </c>
      <c r="C137">
        <f>93.97</f>
        <v>93.97</v>
      </c>
      <c r="D137">
        <f>89.88</f>
        <v>89.88</v>
      </c>
      <c r="E137">
        <f>73</f>
        <v>73</v>
      </c>
      <c r="F137">
        <f>178.5</f>
        <v>178.5</v>
      </c>
      <c r="G137">
        <f>3.9483</f>
        <v>3.9483000000000001</v>
      </c>
    </row>
    <row r="138" spans="1:7" x14ac:dyDescent="0.25">
      <c r="A138" s="1">
        <v>44601</v>
      </c>
      <c r="B138">
        <f>4.027</f>
        <v>4.0270000000000001</v>
      </c>
      <c r="C138">
        <f>94.38</f>
        <v>94.38</v>
      </c>
      <c r="D138">
        <f>89.66</f>
        <v>89.66</v>
      </c>
      <c r="E138">
        <f>75.6</f>
        <v>75.599999999999994</v>
      </c>
      <c r="F138">
        <f>181</f>
        <v>181</v>
      </c>
      <c r="G138">
        <f>4.02</f>
        <v>4.0199999999999996</v>
      </c>
    </row>
    <row r="139" spans="1:7" x14ac:dyDescent="0.25">
      <c r="A139" s="1">
        <v>44600</v>
      </c>
      <c r="B139">
        <f>4.304</f>
        <v>4.3040000000000003</v>
      </c>
      <c r="C139">
        <f>93.92</f>
        <v>93.92</v>
      </c>
      <c r="D139">
        <f>89.36</f>
        <v>89.36</v>
      </c>
      <c r="E139">
        <f>75.5</f>
        <v>75.5</v>
      </c>
      <c r="F139">
        <f>183.24</f>
        <v>183.24</v>
      </c>
      <c r="G139">
        <f>4.0553</f>
        <v>4.0552999999999999</v>
      </c>
    </row>
    <row r="140" spans="1:7" x14ac:dyDescent="0.25">
      <c r="A140" s="1">
        <v>44599</v>
      </c>
      <c r="B140">
        <f>4.355</f>
        <v>4.3550000000000004</v>
      </c>
      <c r="C140">
        <f>95.97</f>
        <v>95.97</v>
      </c>
      <c r="D140">
        <f>91.32</f>
        <v>91.32</v>
      </c>
      <c r="E140">
        <f>77.5</f>
        <v>77.5</v>
      </c>
      <c r="F140">
        <f>193.83</f>
        <v>193.83</v>
      </c>
      <c r="G140">
        <f>3.9067</f>
        <v>3.9066999999999998</v>
      </c>
    </row>
    <row r="141" spans="1:7" x14ac:dyDescent="0.25">
      <c r="A141" s="1">
        <v>44596</v>
      </c>
      <c r="B141">
        <f>5.323</f>
        <v>5.3230000000000004</v>
      </c>
      <c r="C141">
        <f>95.43</f>
        <v>95.43</v>
      </c>
      <c r="D141">
        <f>92.31</f>
        <v>92.31</v>
      </c>
      <c r="E141">
        <f>81.6</f>
        <v>81.599999999999994</v>
      </c>
      <c r="F141">
        <f>198.5</f>
        <v>198.5</v>
      </c>
      <c r="G141">
        <f>3.8697</f>
        <v>3.8696999999999999</v>
      </c>
    </row>
    <row r="142" spans="1:7" x14ac:dyDescent="0.25">
      <c r="A142" s="1">
        <v>44595</v>
      </c>
      <c r="B142">
        <f>6.082</f>
        <v>6.0819999999999999</v>
      </c>
      <c r="C142">
        <f>92.9</f>
        <v>92.9</v>
      </c>
      <c r="D142">
        <f>90.27</f>
        <v>90.27</v>
      </c>
      <c r="E142">
        <f>80.665</f>
        <v>80.665000000000006</v>
      </c>
      <c r="F142">
        <f>193</f>
        <v>193</v>
      </c>
      <c r="G142">
        <f>4.7475</f>
        <v>4.7474999999999996</v>
      </c>
    </row>
    <row r="143" spans="1:7" x14ac:dyDescent="0.25">
      <c r="A143" s="1">
        <v>44594</v>
      </c>
      <c r="B143">
        <f>6.517</f>
        <v>6.5170000000000003</v>
      </c>
      <c r="C143">
        <f>91.01</f>
        <v>91.01</v>
      </c>
      <c r="D143">
        <f>88.26</f>
        <v>88.26</v>
      </c>
      <c r="E143">
        <f>77.4</f>
        <v>77.400000000000006</v>
      </c>
      <c r="F143">
        <f>184.5</f>
        <v>184.5</v>
      </c>
      <c r="G143">
        <f>5.1865</f>
        <v>5.1864999999999997</v>
      </c>
    </row>
    <row r="144" spans="1:7" x14ac:dyDescent="0.25">
      <c r="A144" s="1">
        <v>44593</v>
      </c>
      <c r="B144">
        <f>5.45</f>
        <v>5.45</v>
      </c>
      <c r="C144">
        <f>91.31</f>
        <v>91.31</v>
      </c>
      <c r="D144">
        <f>88.2</f>
        <v>88.2</v>
      </c>
      <c r="E144">
        <f>75.8</f>
        <v>75.8</v>
      </c>
      <c r="F144">
        <f>180.5</f>
        <v>180.5</v>
      </c>
      <c r="G144">
        <f>4.6523</f>
        <v>4.6523000000000003</v>
      </c>
    </row>
    <row r="145" spans="1:7" x14ac:dyDescent="0.25">
      <c r="A145" s="1">
        <v>44592</v>
      </c>
      <c r="B145">
        <f>5.539</f>
        <v>5.5389999999999997</v>
      </c>
      <c r="C145">
        <f>90.95</f>
        <v>90.95</v>
      </c>
      <c r="D145">
        <f>88.15</f>
        <v>88.15</v>
      </c>
      <c r="E145">
        <f>85.05</f>
        <v>85.05</v>
      </c>
      <c r="F145">
        <f>202</f>
        <v>202</v>
      </c>
      <c r="G145">
        <f>4.9102</f>
        <v>4.9101999999999997</v>
      </c>
    </row>
    <row r="146" spans="1:7" x14ac:dyDescent="0.25">
      <c r="A146" s="1">
        <v>44589</v>
      </c>
      <c r="B146">
        <f>5.63</f>
        <v>5.63</v>
      </c>
      <c r="C146">
        <f>90.43</f>
        <v>90.43</v>
      </c>
      <c r="D146">
        <f>86.82</f>
        <v>86.82</v>
      </c>
      <c r="E146">
        <f>92.5</f>
        <v>92.5</v>
      </c>
      <c r="F146">
        <f>220</f>
        <v>220</v>
      </c>
      <c r="G146">
        <f>4.6795</f>
        <v>4.6795</v>
      </c>
    </row>
    <row r="147" spans="1:7" x14ac:dyDescent="0.25">
      <c r="A147" s="1">
        <v>44588</v>
      </c>
      <c r="B147">
        <f>4.432</f>
        <v>4.4320000000000004</v>
      </c>
      <c r="C147">
        <f>89.64</f>
        <v>89.64</v>
      </c>
      <c r="D147">
        <f>86.61</f>
        <v>86.61</v>
      </c>
      <c r="E147">
        <f>90.8</f>
        <v>90.8</v>
      </c>
      <c r="F147">
        <f>220.3</f>
        <v>220.3</v>
      </c>
      <c r="G147">
        <f>7.047</f>
        <v>7.0469999999999997</v>
      </c>
    </row>
    <row r="148" spans="1:7" x14ac:dyDescent="0.25">
      <c r="A148" s="1">
        <v>44587</v>
      </c>
      <c r="B148">
        <f>4.439</f>
        <v>4.4390000000000001</v>
      </c>
      <c r="C148">
        <f>89.64</f>
        <v>89.64</v>
      </c>
      <c r="D148">
        <f>87.35</f>
        <v>87.35</v>
      </c>
      <c r="E148">
        <f>90.35</f>
        <v>90.35</v>
      </c>
      <c r="F148">
        <f>218</f>
        <v>218</v>
      </c>
      <c r="G148">
        <f>4.6776</f>
        <v>4.6776</v>
      </c>
    </row>
    <row r="149" spans="1:7" x14ac:dyDescent="0.25">
      <c r="A149" s="1">
        <v>44586</v>
      </c>
      <c r="B149">
        <f>4.149</f>
        <v>4.149</v>
      </c>
      <c r="C149">
        <f>87.61</f>
        <v>87.61</v>
      </c>
      <c r="D149">
        <f>86.55</f>
        <v>86.55</v>
      </c>
      <c r="E149">
        <f>93.95</f>
        <v>93.95</v>
      </c>
      <c r="F149">
        <f>226.8</f>
        <v>226.8</v>
      </c>
      <c r="G149">
        <f>4.4159</f>
        <v>4.4158999999999997</v>
      </c>
    </row>
    <row r="150" spans="1:7" x14ac:dyDescent="0.25">
      <c r="A150" s="1">
        <v>44585</v>
      </c>
      <c r="B150">
        <f>4.159</f>
        <v>4.1589999999999998</v>
      </c>
      <c r="C150">
        <f>86.63</f>
        <v>86.63</v>
      </c>
      <c r="D150">
        <f>84.11</f>
        <v>84.11</v>
      </c>
      <c r="E150">
        <f>91.75</f>
        <v>91.75</v>
      </c>
      <c r="F150">
        <f>222</f>
        <v>222</v>
      </c>
      <c r="G150">
        <f>4.4954</f>
        <v>4.4954000000000001</v>
      </c>
    </row>
    <row r="151" spans="1:7" x14ac:dyDescent="0.25">
      <c r="A151" s="1">
        <v>44582</v>
      </c>
      <c r="B151">
        <f>4.079</f>
        <v>4.0789999999999997</v>
      </c>
      <c r="C151">
        <f>88.18</f>
        <v>88.18</v>
      </c>
      <c r="D151">
        <f>86.24</f>
        <v>86.24</v>
      </c>
      <c r="E151">
        <f>79.3</f>
        <v>79.3</v>
      </c>
      <c r="F151">
        <f>197</f>
        <v>197</v>
      </c>
      <c r="G151">
        <f>4.2556</f>
        <v>4.2556000000000003</v>
      </c>
    </row>
    <row r="152" spans="1:7" x14ac:dyDescent="0.25">
      <c r="A152" s="1">
        <v>44581</v>
      </c>
      <c r="B152">
        <f>4.159</f>
        <v>4.1589999999999998</v>
      </c>
      <c r="C152">
        <f>87.82</f>
        <v>87.82</v>
      </c>
      <c r="D152">
        <f>86.9</f>
        <v>86.9</v>
      </c>
      <c r="E152">
        <f>78.6</f>
        <v>78.599999999999994</v>
      </c>
      <c r="F152">
        <f>176</f>
        <v>176</v>
      </c>
      <c r="G152">
        <f>3.8645</f>
        <v>3.8645</v>
      </c>
    </row>
    <row r="153" spans="1:7" x14ac:dyDescent="0.25">
      <c r="A153" s="1">
        <v>44580</v>
      </c>
      <c r="B153">
        <f>4.794</f>
        <v>4.7939999999999996</v>
      </c>
      <c r="C153">
        <f>87.62</f>
        <v>87.62</v>
      </c>
      <c r="D153">
        <f>86.96</f>
        <v>86.96</v>
      </c>
      <c r="E153">
        <f>73.35</f>
        <v>73.349999999999994</v>
      </c>
      <c r="F153">
        <f>175.5</f>
        <v>175.5</v>
      </c>
      <c r="G153">
        <f>4.09</f>
        <v>4.09</v>
      </c>
    </row>
    <row r="154" spans="1:7" x14ac:dyDescent="0.25">
      <c r="A154" s="1">
        <v>44579</v>
      </c>
      <c r="B154">
        <f>4.468</f>
        <v>4.468</v>
      </c>
      <c r="C154">
        <f>88.32</f>
        <v>88.32</v>
      </c>
      <c r="D154">
        <f>85.43</f>
        <v>85.43</v>
      </c>
      <c r="E154">
        <f>80</f>
        <v>80</v>
      </c>
      <c r="F154">
        <f>180</f>
        <v>180</v>
      </c>
      <c r="G154" t="e">
        <f>NA()</f>
        <v>#N/A</v>
      </c>
    </row>
    <row r="155" spans="1:7" x14ac:dyDescent="0.25">
      <c r="A155" s="1">
        <v>44578</v>
      </c>
      <c r="B155" t="e">
        <f>NA()</f>
        <v>#N/A</v>
      </c>
      <c r="C155">
        <f>86.35</f>
        <v>86.35</v>
      </c>
      <c r="D155" t="e">
        <f>NA()</f>
        <v>#N/A</v>
      </c>
      <c r="E155">
        <f>77.25</f>
        <v>77.25</v>
      </c>
      <c r="F155">
        <f>197</f>
        <v>197</v>
      </c>
      <c r="G155" t="e">
        <f>NA()</f>
        <v>#N/A</v>
      </c>
    </row>
    <row r="156" spans="1:7" x14ac:dyDescent="0.25">
      <c r="A156" s="1">
        <v>44575</v>
      </c>
      <c r="B156">
        <f>4.348</f>
        <v>4.3479999999999999</v>
      </c>
      <c r="C156">
        <f>86.34</f>
        <v>86.34</v>
      </c>
      <c r="D156">
        <f>83.82</f>
        <v>83.82</v>
      </c>
      <c r="E156">
        <f>83.4</f>
        <v>83.4</v>
      </c>
      <c r="F156">
        <f>217.5</f>
        <v>217.5</v>
      </c>
      <c r="G156">
        <f>4.022</f>
        <v>4.0220000000000002</v>
      </c>
    </row>
    <row r="157" spans="1:7" x14ac:dyDescent="0.25">
      <c r="A157" s="1">
        <v>44574</v>
      </c>
      <c r="B157">
        <f>4.737</f>
        <v>4.7370000000000001</v>
      </c>
      <c r="C157">
        <f>84.41</f>
        <v>84.41</v>
      </c>
      <c r="D157">
        <f>82.12</f>
        <v>82.12</v>
      </c>
      <c r="E157">
        <f>84.25</f>
        <v>84.25</v>
      </c>
      <c r="F157">
        <f>200</f>
        <v>200</v>
      </c>
      <c r="G157">
        <f>4.3923</f>
        <v>4.3922999999999996</v>
      </c>
    </row>
    <row r="158" spans="1:7" x14ac:dyDescent="0.25">
      <c r="A158" s="1">
        <v>44573</v>
      </c>
      <c r="B158">
        <f>4.613</f>
        <v>4.6130000000000004</v>
      </c>
      <c r="C158">
        <f>85.04</f>
        <v>85.04</v>
      </c>
      <c r="D158">
        <f>82.64</f>
        <v>82.64</v>
      </c>
      <c r="E158">
        <f>74.25</f>
        <v>74.25</v>
      </c>
      <c r="F158">
        <f>180.75</f>
        <v>180.75</v>
      </c>
      <c r="G158">
        <f>5.1008</f>
        <v>5.1007999999999996</v>
      </c>
    </row>
    <row r="159" spans="1:7" x14ac:dyDescent="0.25">
      <c r="A159" s="1">
        <v>44572</v>
      </c>
      <c r="B159">
        <f>4.039</f>
        <v>4.0389999999999997</v>
      </c>
      <c r="C159">
        <f>83.69</f>
        <v>83.69</v>
      </c>
      <c r="D159">
        <f>81.22</f>
        <v>81.22</v>
      </c>
      <c r="E159">
        <f>81</f>
        <v>81</v>
      </c>
      <c r="F159">
        <f>190</f>
        <v>190</v>
      </c>
      <c r="G159">
        <f>4.4446</f>
        <v>4.4446000000000003</v>
      </c>
    </row>
    <row r="160" spans="1:7" x14ac:dyDescent="0.25">
      <c r="A160" s="1">
        <v>44571</v>
      </c>
      <c r="B160">
        <f>4.125</f>
        <v>4.125</v>
      </c>
      <c r="C160">
        <f>81.11</f>
        <v>81.11</v>
      </c>
      <c r="D160">
        <f>78.23</f>
        <v>78.23</v>
      </c>
      <c r="E160">
        <f>84.325</f>
        <v>84.325000000000003</v>
      </c>
      <c r="F160">
        <f>210</f>
        <v>210</v>
      </c>
      <c r="G160">
        <f>4.3303</f>
        <v>4.3303000000000003</v>
      </c>
    </row>
    <row r="161" spans="1:7" x14ac:dyDescent="0.25">
      <c r="A161" s="1">
        <v>44568</v>
      </c>
      <c r="B161">
        <f>3.84</f>
        <v>3.84</v>
      </c>
      <c r="C161">
        <f>81.92</f>
        <v>81.92</v>
      </c>
      <c r="D161">
        <f>78.9</f>
        <v>78.900000000000006</v>
      </c>
      <c r="E161">
        <f>84</f>
        <v>84</v>
      </c>
      <c r="F161" t="e">
        <f>NA()</f>
        <v>#N/A</v>
      </c>
      <c r="G161">
        <f>4.0738</f>
        <v>4.0738000000000003</v>
      </c>
    </row>
    <row r="162" spans="1:7" x14ac:dyDescent="0.25">
      <c r="A162" s="1">
        <v>44567</v>
      </c>
      <c r="B162">
        <f>3.92</f>
        <v>3.92</v>
      </c>
      <c r="C162">
        <f>82.09</f>
        <v>82.09</v>
      </c>
      <c r="D162">
        <f>79.46</f>
        <v>79.459999999999994</v>
      </c>
      <c r="E162">
        <f>98</f>
        <v>98</v>
      </c>
      <c r="F162">
        <f>226</f>
        <v>226</v>
      </c>
      <c r="G162">
        <f>3.9825</f>
        <v>3.9824999999999999</v>
      </c>
    </row>
    <row r="163" spans="1:7" x14ac:dyDescent="0.25">
      <c r="A163" s="1">
        <v>44566</v>
      </c>
      <c r="B163">
        <f>3.779</f>
        <v>3.7789999999999999</v>
      </c>
      <c r="C163">
        <f>80.1</f>
        <v>80.099999999999994</v>
      </c>
      <c r="D163">
        <f>77.85</f>
        <v>77.849999999999994</v>
      </c>
      <c r="E163">
        <f>96</f>
        <v>96</v>
      </c>
      <c r="F163">
        <f>230.99</f>
        <v>230.99</v>
      </c>
      <c r="G163">
        <f>3.9698</f>
        <v>3.9698000000000002</v>
      </c>
    </row>
    <row r="164" spans="1:7" x14ac:dyDescent="0.25">
      <c r="A164" s="1">
        <v>44565</v>
      </c>
      <c r="B164">
        <f>3.738</f>
        <v>3.738</v>
      </c>
      <c r="C164">
        <f>79.83</f>
        <v>79.83</v>
      </c>
      <c r="D164">
        <f>76.99</f>
        <v>76.989999999999995</v>
      </c>
      <c r="E164">
        <f>88.1</f>
        <v>88.1</v>
      </c>
      <c r="F164">
        <f>218.5</f>
        <v>218.5</v>
      </c>
      <c r="G164">
        <f>3.8853</f>
        <v>3.8853</v>
      </c>
    </row>
    <row r="165" spans="1:7" x14ac:dyDescent="0.25">
      <c r="A165" s="1">
        <v>44564</v>
      </c>
      <c r="B165">
        <f>3.581</f>
        <v>3.581</v>
      </c>
      <c r="C165">
        <f>78.4</f>
        <v>78.400000000000006</v>
      </c>
      <c r="D165">
        <f>76.08</f>
        <v>76.08</v>
      </c>
      <c r="E165" t="e">
        <f>NA()</f>
        <v>#N/A</v>
      </c>
      <c r="F165" t="e">
        <f>NA()</f>
        <v>#N/A</v>
      </c>
      <c r="G165">
        <f>4.0114</f>
        <v>4.0114000000000001</v>
      </c>
    </row>
    <row r="166" spans="1:7" x14ac:dyDescent="0.25">
      <c r="A166" s="1">
        <v>44561</v>
      </c>
      <c r="B166" t="e">
        <f>NA()</f>
        <v>#N/A</v>
      </c>
      <c r="C166">
        <f>77.46</f>
        <v>77.459999999999994</v>
      </c>
      <c r="D166" t="e">
        <f>NA()</f>
        <v>#N/A</v>
      </c>
      <c r="E166">
        <f>65.5</f>
        <v>65.5</v>
      </c>
      <c r="F166">
        <f>155</f>
        <v>155</v>
      </c>
      <c r="G166" t="e">
        <f>NA()</f>
        <v>#N/A</v>
      </c>
    </row>
    <row r="167" spans="1:7" x14ac:dyDescent="0.25">
      <c r="A167" s="1">
        <v>44560</v>
      </c>
      <c r="B167">
        <f>3.65</f>
        <v>3.65</v>
      </c>
      <c r="C167">
        <f>78.62</f>
        <v>78.62</v>
      </c>
      <c r="D167">
        <f>76.99</f>
        <v>76.989999999999995</v>
      </c>
      <c r="E167">
        <f>86.59</f>
        <v>86.59</v>
      </c>
      <c r="F167">
        <f>206</f>
        <v>206</v>
      </c>
      <c r="G167">
        <f>3.8495</f>
        <v>3.8494999999999999</v>
      </c>
    </row>
    <row r="168" spans="1:7" x14ac:dyDescent="0.25">
      <c r="A168" s="1">
        <v>44559</v>
      </c>
      <c r="B168">
        <f>3.396</f>
        <v>3.3959999999999999</v>
      </c>
      <c r="C168">
        <f>78.86</f>
        <v>78.86</v>
      </c>
      <c r="D168">
        <f>76.56</f>
        <v>76.56</v>
      </c>
      <c r="E168">
        <f>96.7</f>
        <v>96.7</v>
      </c>
      <c r="F168">
        <f>233</f>
        <v>233</v>
      </c>
      <c r="G168">
        <f>4.091</f>
        <v>4.0910000000000002</v>
      </c>
    </row>
    <row r="169" spans="1:7" x14ac:dyDescent="0.25">
      <c r="A169" s="1">
        <v>44558</v>
      </c>
      <c r="B169">
        <f>3.337</f>
        <v>3.3370000000000002</v>
      </c>
      <c r="C169">
        <f>78.34</f>
        <v>78.34</v>
      </c>
      <c r="D169">
        <f>75.98</f>
        <v>75.98</v>
      </c>
      <c r="E169" t="e">
        <f>NA()</f>
        <v>#N/A</v>
      </c>
      <c r="F169" t="e">
        <f>NA()</f>
        <v>#N/A</v>
      </c>
      <c r="G169">
        <f>4.4654</f>
        <v>4.4653999999999998</v>
      </c>
    </row>
    <row r="170" spans="1:7" x14ac:dyDescent="0.25">
      <c r="A170" s="1">
        <v>44557</v>
      </c>
      <c r="B170">
        <f>3.411</f>
        <v>3.411</v>
      </c>
      <c r="C170">
        <f>77.99</f>
        <v>77.989999999999995</v>
      </c>
      <c r="D170">
        <f>75.57</f>
        <v>75.569999999999993</v>
      </c>
      <c r="E170">
        <f>98.45</f>
        <v>98.45</v>
      </c>
      <c r="F170" t="e">
        <f>NA()</f>
        <v>#N/A</v>
      </c>
      <c r="G170">
        <f>4.4246</f>
        <v>4.4245999999999999</v>
      </c>
    </row>
    <row r="171" spans="1:7" x14ac:dyDescent="0.25">
      <c r="A171" s="1">
        <v>44554</v>
      </c>
      <c r="B171" t="e">
        <f>NA()</f>
        <v>#N/A</v>
      </c>
      <c r="C171">
        <f>75.19</f>
        <v>75.19</v>
      </c>
      <c r="D171" t="e">
        <f>NA()</f>
        <v>#N/A</v>
      </c>
      <c r="E171">
        <f>102</f>
        <v>102</v>
      </c>
      <c r="F171">
        <f>264</f>
        <v>264</v>
      </c>
      <c r="G171" t="e">
        <f>NA()</f>
        <v>#N/A</v>
      </c>
    </row>
    <row r="172" spans="1:7" x14ac:dyDescent="0.25">
      <c r="A172" s="1">
        <v>44553</v>
      </c>
      <c r="B172">
        <f>3.543</f>
        <v>3.5430000000000001</v>
      </c>
      <c r="C172">
        <f>76.04</f>
        <v>76.040000000000006</v>
      </c>
      <c r="D172">
        <f>73.74</f>
        <v>73.739999999999995</v>
      </c>
      <c r="E172">
        <f>126</f>
        <v>126</v>
      </c>
      <c r="F172">
        <f>325</f>
        <v>325</v>
      </c>
      <c r="G172">
        <f>3.7832</f>
        <v>3.7831999999999999</v>
      </c>
    </row>
    <row r="173" spans="1:7" x14ac:dyDescent="0.25">
      <c r="A173" s="1">
        <v>44552</v>
      </c>
      <c r="B173">
        <f>4</f>
        <v>4</v>
      </c>
      <c r="C173">
        <f>75.09</f>
        <v>75.09</v>
      </c>
      <c r="D173">
        <f>72.86</f>
        <v>72.86</v>
      </c>
      <c r="E173">
        <f>165.5</f>
        <v>165.5</v>
      </c>
      <c r="F173">
        <f>433</f>
        <v>433</v>
      </c>
      <c r="G173">
        <f>4.0337</f>
        <v>4.0336999999999996</v>
      </c>
    </row>
    <row r="174" spans="1:7" x14ac:dyDescent="0.25">
      <c r="A174" s="1">
        <v>44551</v>
      </c>
      <c r="B174">
        <f>3.879</f>
        <v>3.879</v>
      </c>
      <c r="C174">
        <f>73.28</f>
        <v>73.28</v>
      </c>
      <c r="D174">
        <f>71.22</f>
        <v>71.22</v>
      </c>
      <c r="E174">
        <f>180.68</f>
        <v>180.68</v>
      </c>
      <c r="F174">
        <f>451.25</f>
        <v>451.25</v>
      </c>
      <c r="G174">
        <f>4.0015</f>
        <v>4.0015000000000001</v>
      </c>
    </row>
    <row r="175" spans="1:7" x14ac:dyDescent="0.25">
      <c r="A175" s="1">
        <v>44550</v>
      </c>
      <c r="B175">
        <f>3.892</f>
        <v>3.8919999999999999</v>
      </c>
      <c r="C175">
        <f>71.37</f>
        <v>71.37</v>
      </c>
      <c r="D175">
        <f>68.23</f>
        <v>68.23</v>
      </c>
      <c r="E175">
        <f>147.125</f>
        <v>147.125</v>
      </c>
      <c r="F175">
        <f>373</f>
        <v>373</v>
      </c>
      <c r="G175">
        <f>4.0056</f>
        <v>4.0056000000000003</v>
      </c>
    </row>
    <row r="176" spans="1:7" x14ac:dyDescent="0.25">
      <c r="A176" s="1">
        <v>44547</v>
      </c>
      <c r="B176">
        <f>3.677</f>
        <v>3.677</v>
      </c>
      <c r="C176">
        <f>72.09</f>
        <v>72.09</v>
      </c>
      <c r="D176">
        <f>70.86</f>
        <v>70.86</v>
      </c>
      <c r="E176">
        <f>134.9</f>
        <v>134.9</v>
      </c>
      <c r="F176">
        <f>342</f>
        <v>342</v>
      </c>
      <c r="G176">
        <f>3.72</f>
        <v>3.72</v>
      </c>
    </row>
    <row r="177" spans="1:7" x14ac:dyDescent="0.25">
      <c r="A177" s="1">
        <v>44546</v>
      </c>
      <c r="B177">
        <f>3.677</f>
        <v>3.677</v>
      </c>
      <c r="C177">
        <f>74.1</f>
        <v>74.099999999999994</v>
      </c>
      <c r="D177">
        <f>72.38</f>
        <v>72.38</v>
      </c>
      <c r="E177">
        <f>135.6</f>
        <v>135.6</v>
      </c>
      <c r="F177">
        <f>346</f>
        <v>346</v>
      </c>
      <c r="G177">
        <f>3.7734</f>
        <v>3.7734000000000001</v>
      </c>
    </row>
    <row r="178" spans="1:7" x14ac:dyDescent="0.25">
      <c r="A178" s="1">
        <v>44545</v>
      </c>
      <c r="B178">
        <f>3.767</f>
        <v>3.7669999999999999</v>
      </c>
      <c r="C178">
        <f>73.96</f>
        <v>73.959999999999994</v>
      </c>
      <c r="D178">
        <f>70.87</f>
        <v>70.87</v>
      </c>
      <c r="E178">
        <f>124.35</f>
        <v>124.35</v>
      </c>
      <c r="F178">
        <f>327.75</f>
        <v>327.75</v>
      </c>
      <c r="G178">
        <f>3.7305</f>
        <v>3.7305000000000001</v>
      </c>
    </row>
    <row r="179" spans="1:7" x14ac:dyDescent="0.25">
      <c r="A179" s="1">
        <v>44544</v>
      </c>
      <c r="B179">
        <f>3.63</f>
        <v>3.63</v>
      </c>
      <c r="C179">
        <f>72.73</f>
        <v>72.73</v>
      </c>
      <c r="D179">
        <f>70.73</f>
        <v>70.73</v>
      </c>
      <c r="E179">
        <f>130.5</f>
        <v>130.5</v>
      </c>
      <c r="F179">
        <f>324.25</f>
        <v>324.25</v>
      </c>
      <c r="G179">
        <f>3.6517</f>
        <v>3.6516999999999999</v>
      </c>
    </row>
    <row r="180" spans="1:7" x14ac:dyDescent="0.25">
      <c r="A180" s="1">
        <v>44543</v>
      </c>
      <c r="B180">
        <f>4.014</f>
        <v>4.0140000000000002</v>
      </c>
      <c r="C180">
        <f>73.7</f>
        <v>73.7</v>
      </c>
      <c r="D180">
        <f>71.29</f>
        <v>71.290000000000006</v>
      </c>
      <c r="E180">
        <f>115.7</f>
        <v>115.7</v>
      </c>
      <c r="F180">
        <f>295</f>
        <v>295</v>
      </c>
      <c r="G180">
        <f>3.6792</f>
        <v>3.6791999999999998</v>
      </c>
    </row>
    <row r="181" spans="1:7" x14ac:dyDescent="0.25">
      <c r="A181" s="1">
        <v>44540</v>
      </c>
      <c r="B181">
        <f>3.639</f>
        <v>3.6389999999999998</v>
      </c>
      <c r="C181">
        <f>74.74</f>
        <v>74.739999999999995</v>
      </c>
      <c r="D181">
        <f>71.67</f>
        <v>71.67</v>
      </c>
      <c r="E181">
        <f>105.75</f>
        <v>105.75</v>
      </c>
      <c r="F181">
        <f>270</f>
        <v>270</v>
      </c>
      <c r="G181">
        <f>3.7608</f>
        <v>3.7608000000000001</v>
      </c>
    </row>
    <row r="182" spans="1:7" x14ac:dyDescent="0.25">
      <c r="A182" s="1">
        <v>44539</v>
      </c>
      <c r="B182">
        <f>3.654</f>
        <v>3.6539999999999999</v>
      </c>
      <c r="C182">
        <f>73.6</f>
        <v>73.599999999999994</v>
      </c>
      <c r="D182">
        <f>70.94</f>
        <v>70.94</v>
      </c>
      <c r="E182">
        <f>101.55</f>
        <v>101.55</v>
      </c>
      <c r="F182">
        <f>256</f>
        <v>256</v>
      </c>
      <c r="G182">
        <f>3.5704</f>
        <v>3.5703999999999998</v>
      </c>
    </row>
    <row r="183" spans="1:7" x14ac:dyDescent="0.25">
      <c r="A183" s="1">
        <v>44538</v>
      </c>
      <c r="B183">
        <f>3.783</f>
        <v>3.7829999999999999</v>
      </c>
      <c r="C183">
        <f>75.5</f>
        <v>75.5</v>
      </c>
      <c r="D183">
        <f>72.36</f>
        <v>72.36</v>
      </c>
      <c r="E183">
        <f>102.55</f>
        <v>102.55</v>
      </c>
      <c r="F183">
        <f>260.64</f>
        <v>260.64</v>
      </c>
      <c r="G183">
        <f>3.4666</f>
        <v>3.4666000000000001</v>
      </c>
    </row>
    <row r="184" spans="1:7" x14ac:dyDescent="0.25">
      <c r="A184" s="1">
        <v>44537</v>
      </c>
      <c r="B184">
        <f>3.637</f>
        <v>3.637</v>
      </c>
      <c r="C184">
        <f>74.79</f>
        <v>74.790000000000006</v>
      </c>
      <c r="D184">
        <f>72.05</f>
        <v>72.05</v>
      </c>
      <c r="E184">
        <f>95.5</f>
        <v>95.5</v>
      </c>
      <c r="F184">
        <f>245.3</f>
        <v>245.3</v>
      </c>
      <c r="G184">
        <f>3.0526</f>
        <v>3.0526</v>
      </c>
    </row>
    <row r="185" spans="1:7" x14ac:dyDescent="0.25">
      <c r="A185" s="1">
        <v>44536</v>
      </c>
      <c r="B185">
        <f>3.637</f>
        <v>3.637</v>
      </c>
      <c r="C185">
        <f>73.28</f>
        <v>73.28</v>
      </c>
      <c r="D185">
        <f>69.49</f>
        <v>69.489999999999995</v>
      </c>
      <c r="E185">
        <f>89.5</f>
        <v>89.5</v>
      </c>
      <c r="F185" t="e">
        <f>NA()</f>
        <v>#N/A</v>
      </c>
      <c r="G185">
        <f>2.9151</f>
        <v>2.9150999999999998</v>
      </c>
    </row>
    <row r="186" spans="1:7" x14ac:dyDescent="0.25">
      <c r="A186" s="1">
        <v>44533</v>
      </c>
      <c r="B186">
        <f>3.817</f>
        <v>3.8170000000000002</v>
      </c>
      <c r="C186">
        <f>69.77</f>
        <v>69.77</v>
      </c>
      <c r="D186">
        <f>66.26</f>
        <v>66.260000000000005</v>
      </c>
      <c r="E186">
        <f>89</f>
        <v>89</v>
      </c>
      <c r="F186">
        <f>234.49</f>
        <v>234.49</v>
      </c>
      <c r="G186" t="e">
        <f>NA()</f>
        <v>#N/A</v>
      </c>
    </row>
    <row r="187" spans="1:7" x14ac:dyDescent="0.25">
      <c r="A187" s="1">
        <v>44532</v>
      </c>
      <c r="B187">
        <f>4.062</f>
        <v>4.0620000000000003</v>
      </c>
      <c r="C187">
        <f>70.02</f>
        <v>70.02</v>
      </c>
      <c r="D187">
        <f>66.5</f>
        <v>66.5</v>
      </c>
      <c r="E187">
        <f>90.9</f>
        <v>90.9</v>
      </c>
      <c r="F187">
        <f>239.5</f>
        <v>239.5</v>
      </c>
      <c r="G187">
        <f>3.3537</f>
        <v>3.3536999999999999</v>
      </c>
    </row>
    <row r="188" spans="1:7" x14ac:dyDescent="0.25">
      <c r="A188" s="1">
        <v>44531</v>
      </c>
      <c r="B188">
        <f>4.261</f>
        <v>4.2610000000000001</v>
      </c>
      <c r="C188">
        <f>68.58</f>
        <v>68.58</v>
      </c>
      <c r="D188">
        <f>65.57</f>
        <v>65.569999999999993</v>
      </c>
      <c r="E188">
        <f>96.3</f>
        <v>96.3</v>
      </c>
      <c r="F188">
        <f>243</f>
        <v>243</v>
      </c>
      <c r="G188">
        <f>3.5181</f>
        <v>3.5181</v>
      </c>
    </row>
    <row r="189" spans="1:7" x14ac:dyDescent="0.25">
      <c r="A189" s="1">
        <v>44530</v>
      </c>
      <c r="B189">
        <f>4.529</f>
        <v>4.5289999999999999</v>
      </c>
      <c r="C189">
        <f>69.75</f>
        <v>69.75</v>
      </c>
      <c r="D189">
        <f>66.18</f>
        <v>66.180000000000007</v>
      </c>
      <c r="E189">
        <f>92.25</f>
        <v>92.25</v>
      </c>
      <c r="F189">
        <f>234</f>
        <v>234</v>
      </c>
      <c r="G189">
        <f>3.8461</f>
        <v>3.8460999999999999</v>
      </c>
    </row>
    <row r="190" spans="1:7" x14ac:dyDescent="0.25">
      <c r="A190" s="1">
        <v>44529</v>
      </c>
      <c r="B190">
        <f>4.86</f>
        <v>4.8600000000000003</v>
      </c>
      <c r="C190">
        <f>72.88</f>
        <v>72.88</v>
      </c>
      <c r="D190">
        <f>69.95</f>
        <v>69.95</v>
      </c>
      <c r="E190">
        <f>94.85</f>
        <v>94.85</v>
      </c>
      <c r="F190">
        <f>236.04</f>
        <v>236.04</v>
      </c>
      <c r="G190">
        <f>4.2781</f>
        <v>4.2781000000000002</v>
      </c>
    </row>
    <row r="191" spans="1:7" x14ac:dyDescent="0.25">
      <c r="A191" s="1">
        <v>44526</v>
      </c>
      <c r="B191" t="e">
        <f>NA()</f>
        <v>#N/A</v>
      </c>
      <c r="C191">
        <f>71.55</f>
        <v>71.55</v>
      </c>
      <c r="D191" t="e">
        <f>NA()</f>
        <v>#N/A</v>
      </c>
      <c r="E191">
        <f>88.25</f>
        <v>88.25</v>
      </c>
      <c r="F191">
        <f>222.08</f>
        <v>222.08</v>
      </c>
      <c r="G191" t="e">
        <f>NA()</f>
        <v>#N/A</v>
      </c>
    </row>
    <row r="192" spans="1:7" x14ac:dyDescent="0.25">
      <c r="A192" s="1">
        <v>44525</v>
      </c>
      <c r="B192" t="e">
        <f>NA()</f>
        <v>#N/A</v>
      </c>
      <c r="C192">
        <f>81.1</f>
        <v>81.099999999999994</v>
      </c>
      <c r="D192" t="e">
        <f>NA()</f>
        <v>#N/A</v>
      </c>
      <c r="E192">
        <f>92.7</f>
        <v>92.7</v>
      </c>
      <c r="F192">
        <f>233.66</f>
        <v>233.66</v>
      </c>
      <c r="G192" t="e">
        <f>NA()</f>
        <v>#N/A</v>
      </c>
    </row>
    <row r="193" spans="1:7" x14ac:dyDescent="0.25">
      <c r="A193" s="1">
        <v>44524</v>
      </c>
      <c r="B193">
        <f>4.909</f>
        <v>4.9089999999999998</v>
      </c>
      <c r="C193">
        <f>81.44</f>
        <v>81.44</v>
      </c>
      <c r="D193">
        <f>78.39</f>
        <v>78.39</v>
      </c>
      <c r="E193">
        <f>93.45</f>
        <v>93.45</v>
      </c>
      <c r="F193">
        <f>235.37</f>
        <v>235.37</v>
      </c>
      <c r="G193">
        <f>4.8932</f>
        <v>4.8932000000000002</v>
      </c>
    </row>
    <row r="194" spans="1:7" x14ac:dyDescent="0.25">
      <c r="A194" s="1">
        <v>44523</v>
      </c>
      <c r="B194">
        <f>4.91</f>
        <v>4.91</v>
      </c>
      <c r="C194">
        <f>81.68</f>
        <v>81.680000000000007</v>
      </c>
      <c r="D194">
        <f>78.45</f>
        <v>78.45</v>
      </c>
      <c r="E194">
        <f>91.65</f>
        <v>91.65</v>
      </c>
      <c r="F194">
        <f>230</f>
        <v>230</v>
      </c>
      <c r="G194">
        <f>4.647</f>
        <v>4.6470000000000002</v>
      </c>
    </row>
    <row r="195" spans="1:7" x14ac:dyDescent="0.25">
      <c r="A195" s="1">
        <v>44522</v>
      </c>
      <c r="B195">
        <f>4.779</f>
        <v>4.7789999999999999</v>
      </c>
      <c r="C195">
        <f>79.48</f>
        <v>79.48</v>
      </c>
      <c r="D195">
        <f>76.75</f>
        <v>76.75</v>
      </c>
      <c r="E195">
        <f>85.15</f>
        <v>85.15</v>
      </c>
      <c r="F195">
        <f>211.17</f>
        <v>211.17</v>
      </c>
      <c r="G195">
        <f>4.5766</f>
        <v>4.5766</v>
      </c>
    </row>
    <row r="196" spans="1:7" x14ac:dyDescent="0.25">
      <c r="A196" s="1">
        <v>44519</v>
      </c>
      <c r="B196">
        <f>4.909</f>
        <v>4.9089999999999998</v>
      </c>
      <c r="C196">
        <f>79.24</f>
        <v>79.239999999999995</v>
      </c>
      <c r="D196">
        <f>76.1</f>
        <v>76.099999999999994</v>
      </c>
      <c r="E196">
        <f>86.7</f>
        <v>86.7</v>
      </c>
      <c r="F196">
        <f>219.51</f>
        <v>219.51</v>
      </c>
      <c r="G196">
        <f>5.0176</f>
        <v>5.0175999999999998</v>
      </c>
    </row>
    <row r="197" spans="1:7" x14ac:dyDescent="0.25">
      <c r="A197" s="1">
        <v>44518</v>
      </c>
      <c r="B197">
        <f>4.968</f>
        <v>4.968</v>
      </c>
      <c r="C197">
        <f>81.74</f>
        <v>81.739999999999995</v>
      </c>
      <c r="D197">
        <f>79.01</f>
        <v>79.010000000000005</v>
      </c>
      <c r="E197">
        <f>92.75</f>
        <v>92.75</v>
      </c>
      <c r="F197">
        <f>239.8</f>
        <v>239.8</v>
      </c>
      <c r="G197">
        <f>4.7015</f>
        <v>4.7015000000000002</v>
      </c>
    </row>
    <row r="198" spans="1:7" x14ac:dyDescent="0.25">
      <c r="A198" s="1">
        <v>44517</v>
      </c>
      <c r="B198">
        <f>4.789</f>
        <v>4.7889999999999997</v>
      </c>
      <c r="C198">
        <f>80.82</f>
        <v>80.819999999999993</v>
      </c>
      <c r="D198">
        <f>78.36</f>
        <v>78.36</v>
      </c>
      <c r="E198">
        <f>94</f>
        <v>94</v>
      </c>
      <c r="F198">
        <f>239.01</f>
        <v>239.01</v>
      </c>
      <c r="G198">
        <f>4.7795</f>
        <v>4.7794999999999996</v>
      </c>
    </row>
    <row r="199" spans="1:7" x14ac:dyDescent="0.25">
      <c r="A199" s="1">
        <v>44516</v>
      </c>
      <c r="B199">
        <f>5.059</f>
        <v>5.0590000000000002</v>
      </c>
      <c r="C199">
        <f>82.45</f>
        <v>82.45</v>
      </c>
      <c r="D199">
        <f>80.76</f>
        <v>80.760000000000005</v>
      </c>
      <c r="E199">
        <f>94.4</f>
        <v>94.4</v>
      </c>
      <c r="F199">
        <f>239.91</f>
        <v>239.91</v>
      </c>
      <c r="G199">
        <f>5.1391</f>
        <v>5.1391</v>
      </c>
    </row>
    <row r="200" spans="1:7" x14ac:dyDescent="0.25">
      <c r="A200" s="1">
        <v>44515</v>
      </c>
      <c r="B200">
        <f>4.741</f>
        <v>4.7409999999999997</v>
      </c>
      <c r="C200">
        <f>82.3</f>
        <v>82.3</v>
      </c>
      <c r="D200">
        <f>80.88</f>
        <v>80.88</v>
      </c>
      <c r="E200">
        <f>81.5</f>
        <v>81.5</v>
      </c>
      <c r="F200">
        <f>204.79</f>
        <v>204.79</v>
      </c>
      <c r="G200">
        <f>4.985</f>
        <v>4.9850000000000003</v>
      </c>
    </row>
    <row r="201" spans="1:7" x14ac:dyDescent="0.25">
      <c r="A201" s="1">
        <v>44512</v>
      </c>
      <c r="B201">
        <f>4.879</f>
        <v>4.8789999999999996</v>
      </c>
      <c r="C201">
        <f>82.5</f>
        <v>82.5</v>
      </c>
      <c r="D201">
        <f>80.79</f>
        <v>80.790000000000006</v>
      </c>
      <c r="E201">
        <f>74.7</f>
        <v>74.7</v>
      </c>
      <c r="F201">
        <f>194.05</f>
        <v>194.05</v>
      </c>
      <c r="G201">
        <f>4.7017</f>
        <v>4.7016999999999998</v>
      </c>
    </row>
    <row r="202" spans="1:7" x14ac:dyDescent="0.25">
      <c r="A202" s="1">
        <v>44511</v>
      </c>
      <c r="B202">
        <f>4.802</f>
        <v>4.8019999999999996</v>
      </c>
      <c r="C202">
        <f>83.08</f>
        <v>83.08</v>
      </c>
      <c r="D202">
        <f>81.59</f>
        <v>81.59</v>
      </c>
      <c r="E202">
        <f>75</f>
        <v>75</v>
      </c>
      <c r="F202">
        <f>193.33</f>
        <v>193.33</v>
      </c>
      <c r="G202">
        <f>5.158</f>
        <v>5.1580000000000004</v>
      </c>
    </row>
    <row r="203" spans="1:7" x14ac:dyDescent="0.25">
      <c r="A203" s="1">
        <v>44510</v>
      </c>
      <c r="B203">
        <f>4.569</f>
        <v>4.569</v>
      </c>
      <c r="C203">
        <f>83.11</f>
        <v>83.11</v>
      </c>
      <c r="D203">
        <f>81.34</f>
        <v>81.34</v>
      </c>
      <c r="E203">
        <f>71.55</f>
        <v>71.55</v>
      </c>
      <c r="F203">
        <f>179.98</f>
        <v>179.98</v>
      </c>
      <c r="G203">
        <f>4.5961</f>
        <v>4.5960999999999999</v>
      </c>
    </row>
    <row r="204" spans="1:7" x14ac:dyDescent="0.25">
      <c r="A204" s="1">
        <v>44509</v>
      </c>
      <c r="B204">
        <f>5.197</f>
        <v>5.1970000000000001</v>
      </c>
      <c r="C204">
        <f>85.7</f>
        <v>85.7</v>
      </c>
      <c r="D204">
        <f>84.15</f>
        <v>84.15</v>
      </c>
      <c r="E204">
        <f>70.8</f>
        <v>70.8</v>
      </c>
      <c r="F204">
        <f>199</f>
        <v>199</v>
      </c>
      <c r="G204">
        <f>4.6155</f>
        <v>4.6154999999999999</v>
      </c>
    </row>
    <row r="205" spans="1:7" x14ac:dyDescent="0.25">
      <c r="A205" s="1">
        <v>44508</v>
      </c>
      <c r="B205">
        <f>5.5</f>
        <v>5.5</v>
      </c>
      <c r="C205">
        <f>83.98</f>
        <v>83.98</v>
      </c>
      <c r="D205">
        <f>81.93</f>
        <v>81.93</v>
      </c>
      <c r="E205">
        <f>78.48</f>
        <v>78.48</v>
      </c>
      <c r="F205">
        <f>202.9</f>
        <v>202.9</v>
      </c>
      <c r="G205">
        <f>5.2191</f>
        <v>5.2191000000000001</v>
      </c>
    </row>
    <row r="206" spans="1:7" x14ac:dyDescent="0.25">
      <c r="A206" s="1">
        <v>44505</v>
      </c>
      <c r="B206">
        <f>5.371</f>
        <v>5.3710000000000004</v>
      </c>
      <c r="C206">
        <f>82.5</f>
        <v>82.5</v>
      </c>
      <c r="D206">
        <f>81.27</f>
        <v>81.27</v>
      </c>
      <c r="E206">
        <f>74</f>
        <v>74</v>
      </c>
      <c r="F206">
        <f>191.43</f>
        <v>191.43</v>
      </c>
      <c r="G206">
        <f>5.4497</f>
        <v>5.4497</v>
      </c>
    </row>
    <row r="207" spans="1:7" x14ac:dyDescent="0.25">
      <c r="A207" s="1">
        <v>44504</v>
      </c>
      <c r="B207">
        <f>5.708</f>
        <v>5.7080000000000002</v>
      </c>
      <c r="C207">
        <f>80.94</f>
        <v>80.94</v>
      </c>
      <c r="D207">
        <f>78.81</f>
        <v>78.81</v>
      </c>
      <c r="E207">
        <f>73</f>
        <v>73</v>
      </c>
      <c r="F207">
        <f>189.51</f>
        <v>189.51</v>
      </c>
      <c r="G207">
        <f>5.6324</f>
        <v>5.6323999999999996</v>
      </c>
    </row>
    <row r="208" spans="1:7" x14ac:dyDescent="0.25">
      <c r="A208" s="1">
        <v>44503</v>
      </c>
      <c r="B208">
        <f>5.559</f>
        <v>5.5590000000000002</v>
      </c>
      <c r="C208">
        <f>81.58</f>
        <v>81.58</v>
      </c>
      <c r="D208">
        <f>80.86</f>
        <v>80.86</v>
      </c>
      <c r="E208">
        <f>79.5</f>
        <v>79.5</v>
      </c>
      <c r="F208">
        <f>196.72</f>
        <v>196.72</v>
      </c>
      <c r="G208">
        <f>6.0068</f>
        <v>6.0068000000000001</v>
      </c>
    </row>
    <row r="209" spans="1:7" x14ac:dyDescent="0.25">
      <c r="A209" s="1">
        <v>44502</v>
      </c>
      <c r="B209">
        <f>5.338</f>
        <v>5.3380000000000001</v>
      </c>
      <c r="C209">
        <f>84.28</f>
        <v>84.28</v>
      </c>
      <c r="D209">
        <f>83.91</f>
        <v>83.91</v>
      </c>
      <c r="E209">
        <f>71.15</f>
        <v>71.150000000000006</v>
      </c>
      <c r="F209">
        <f>173.28</f>
        <v>173.28</v>
      </c>
      <c r="G209">
        <f>5.5859</f>
        <v>5.5858999999999996</v>
      </c>
    </row>
    <row r="210" spans="1:7" x14ac:dyDescent="0.25">
      <c r="A210" s="1">
        <v>44501</v>
      </c>
      <c r="B210">
        <f>5.172</f>
        <v>5.1719999999999997</v>
      </c>
      <c r="C210">
        <f>84.76</f>
        <v>84.76</v>
      </c>
      <c r="D210">
        <f>84.05</f>
        <v>84.05</v>
      </c>
      <c r="E210">
        <f>67.65</f>
        <v>67.650000000000006</v>
      </c>
      <c r="F210">
        <f>167.47</f>
        <v>167.47</v>
      </c>
      <c r="G210">
        <f>5.0629</f>
        <v>5.0629</v>
      </c>
    </row>
    <row r="211" spans="1:7" x14ac:dyDescent="0.25">
      <c r="A211" s="1">
        <v>44498</v>
      </c>
      <c r="B211">
        <f>5.412</f>
        <v>5.4119999999999999</v>
      </c>
      <c r="C211">
        <f>83.92</f>
        <v>83.92</v>
      </c>
      <c r="D211">
        <f>83.57</f>
        <v>83.57</v>
      </c>
      <c r="E211">
        <f>65.8</f>
        <v>65.8</v>
      </c>
      <c r="F211">
        <f>167.5</f>
        <v>167.5</v>
      </c>
      <c r="G211">
        <f>5.3466</f>
        <v>5.3465999999999996</v>
      </c>
    </row>
    <row r="212" spans="1:7" x14ac:dyDescent="0.25">
      <c r="A212" s="1">
        <v>44497</v>
      </c>
      <c r="B212">
        <f>5.602</f>
        <v>5.6020000000000003</v>
      </c>
      <c r="C212">
        <f>84.11</f>
        <v>84.11</v>
      </c>
      <c r="D212">
        <f>82.81</f>
        <v>82.81</v>
      </c>
      <c r="E212">
        <f>75.2</f>
        <v>75.2</v>
      </c>
      <c r="F212">
        <f>191</f>
        <v>191</v>
      </c>
      <c r="G212">
        <f>5.6045</f>
        <v>5.6044999999999998</v>
      </c>
    </row>
    <row r="213" spans="1:7" x14ac:dyDescent="0.25">
      <c r="A213" s="1">
        <v>44496</v>
      </c>
      <c r="B213">
        <f>5.859</f>
        <v>5.859</v>
      </c>
      <c r="C213">
        <f>83.6</f>
        <v>83.6</v>
      </c>
      <c r="D213">
        <f>82.66</f>
        <v>82.66</v>
      </c>
      <c r="E213">
        <f>84.85</f>
        <v>84.85</v>
      </c>
      <c r="F213">
        <f>218.45</f>
        <v>218.45</v>
      </c>
      <c r="G213">
        <f>5.6259</f>
        <v>5.6258999999999997</v>
      </c>
    </row>
    <row r="214" spans="1:7" x14ac:dyDescent="0.25">
      <c r="A214" s="1">
        <v>44495</v>
      </c>
      <c r="B214">
        <f>5.593</f>
        <v>5.593</v>
      </c>
      <c r="C214">
        <f>85.54</f>
        <v>85.54</v>
      </c>
      <c r="D214">
        <f>84.65</f>
        <v>84.65</v>
      </c>
      <c r="E214">
        <f>88.8</f>
        <v>88.8</v>
      </c>
      <c r="F214">
        <f>222</f>
        <v>222</v>
      </c>
      <c r="G214">
        <f>5.7344</f>
        <v>5.7343999999999999</v>
      </c>
    </row>
    <row r="215" spans="1:7" x14ac:dyDescent="0.25">
      <c r="A215" s="1">
        <v>44494</v>
      </c>
      <c r="B215">
        <f>5.607</f>
        <v>5.6070000000000002</v>
      </c>
      <c r="C215">
        <f>85.36</f>
        <v>85.36</v>
      </c>
      <c r="D215">
        <f>84.26</f>
        <v>84.26</v>
      </c>
      <c r="E215">
        <f>88</f>
        <v>88</v>
      </c>
      <c r="F215">
        <f>224.5</f>
        <v>224.5</v>
      </c>
      <c r="G215">
        <f>5.9758</f>
        <v>5.9757999999999996</v>
      </c>
    </row>
    <row r="216" spans="1:7" x14ac:dyDescent="0.25">
      <c r="A216" s="1">
        <v>44491</v>
      </c>
      <c r="B216">
        <f>5.087</f>
        <v>5.0869999999999997</v>
      </c>
      <c r="C216">
        <f>84.99</f>
        <v>84.99</v>
      </c>
      <c r="D216">
        <f>84.61</f>
        <v>84.61</v>
      </c>
      <c r="E216">
        <f>87.8</f>
        <v>87.8</v>
      </c>
      <c r="F216">
        <f>220.25</f>
        <v>220.25</v>
      </c>
      <c r="G216">
        <f>5.16</f>
        <v>5.16</v>
      </c>
    </row>
    <row r="217" spans="1:7" x14ac:dyDescent="0.25">
      <c r="A217" s="1">
        <v>44490</v>
      </c>
      <c r="B217">
        <f>4.927</f>
        <v>4.9269999999999996</v>
      </c>
      <c r="C217">
        <f>84.19</f>
        <v>84.19</v>
      </c>
      <c r="D217">
        <f>83.25</f>
        <v>83.25</v>
      </c>
      <c r="E217">
        <f>87.9</f>
        <v>87.9</v>
      </c>
      <c r="F217">
        <f>221</f>
        <v>221</v>
      </c>
      <c r="G217">
        <f>5.0602</f>
        <v>5.0602</v>
      </c>
    </row>
    <row r="218" spans="1:7" x14ac:dyDescent="0.25">
      <c r="A218" s="1">
        <v>44489</v>
      </c>
      <c r="B218">
        <f>4.756</f>
        <v>4.7560000000000002</v>
      </c>
      <c r="C218">
        <f>85.37</f>
        <v>85.37</v>
      </c>
      <c r="D218">
        <f>83.87</f>
        <v>83.87</v>
      </c>
      <c r="E218">
        <f>93.475</f>
        <v>93.474999999999994</v>
      </c>
      <c r="F218">
        <f>235.5</f>
        <v>235.5</v>
      </c>
      <c r="G218">
        <f>4.9911</f>
        <v>4.9911000000000003</v>
      </c>
    </row>
    <row r="219" spans="1:7" x14ac:dyDescent="0.25">
      <c r="A219" s="1">
        <v>44488</v>
      </c>
      <c r="B219">
        <f>4.786</f>
        <v>4.7859999999999996</v>
      </c>
      <c r="C219">
        <f>84.54</f>
        <v>84.54</v>
      </c>
      <c r="D219">
        <f>82.96</f>
        <v>82.96</v>
      </c>
      <c r="E219">
        <f>91.25</f>
        <v>91.25</v>
      </c>
      <c r="F219">
        <f>228</f>
        <v>228</v>
      </c>
      <c r="G219">
        <f>4.5345</f>
        <v>4.5345000000000004</v>
      </c>
    </row>
    <row r="220" spans="1:7" x14ac:dyDescent="0.25">
      <c r="A220" s="1">
        <v>44487</v>
      </c>
      <c r="B220">
        <f>5.027</f>
        <v>5.0270000000000001</v>
      </c>
      <c r="C220">
        <f>83.69</f>
        <v>83.69</v>
      </c>
      <c r="D220">
        <f>82.44</f>
        <v>82.44</v>
      </c>
      <c r="E220">
        <f>89.5</f>
        <v>89.5</v>
      </c>
      <c r="F220">
        <f>233.5</f>
        <v>233.5</v>
      </c>
      <c r="G220">
        <f>4.2902</f>
        <v>4.2901999999999996</v>
      </c>
    </row>
    <row r="221" spans="1:7" x14ac:dyDescent="0.25">
      <c r="A221" s="1">
        <v>44484</v>
      </c>
      <c r="B221">
        <f>5.447</f>
        <v>5.4470000000000001</v>
      </c>
      <c r="C221">
        <f>84.87</f>
        <v>84.87</v>
      </c>
      <c r="D221">
        <f>82.28</f>
        <v>82.28</v>
      </c>
      <c r="E221">
        <f>88.4</f>
        <v>88.4</v>
      </c>
      <c r="F221">
        <f>234.36</f>
        <v>234.36</v>
      </c>
      <c r="G221">
        <f>4.8558</f>
        <v>4.8558000000000003</v>
      </c>
    </row>
    <row r="222" spans="1:7" x14ac:dyDescent="0.25">
      <c r="A222" s="1">
        <v>44483</v>
      </c>
      <c r="B222">
        <f>5.84</f>
        <v>5.84</v>
      </c>
      <c r="C222">
        <f>84.19</f>
        <v>84.19</v>
      </c>
      <c r="D222">
        <f>81.31</f>
        <v>81.31</v>
      </c>
      <c r="E222">
        <f>101.8</f>
        <v>101.8</v>
      </c>
      <c r="F222">
        <f>254</f>
        <v>254</v>
      </c>
      <c r="G222">
        <f>5.1416</f>
        <v>5.1416000000000004</v>
      </c>
    </row>
    <row r="223" spans="1:7" x14ac:dyDescent="0.25">
      <c r="A223" s="1">
        <v>44482</v>
      </c>
      <c r="B223">
        <f>5.426</f>
        <v>5.4260000000000002</v>
      </c>
      <c r="C223">
        <f>83.46</f>
        <v>83.46</v>
      </c>
      <c r="D223">
        <f>80.44</f>
        <v>80.44</v>
      </c>
      <c r="E223">
        <f>94.25</f>
        <v>94.25</v>
      </c>
      <c r="F223">
        <f>238</f>
        <v>238</v>
      </c>
      <c r="G223">
        <f>5.3282</f>
        <v>5.3281999999999998</v>
      </c>
    </row>
    <row r="224" spans="1:7" x14ac:dyDescent="0.25">
      <c r="A224" s="1">
        <v>44481</v>
      </c>
      <c r="B224">
        <f>5.348</f>
        <v>5.3479999999999999</v>
      </c>
      <c r="C224">
        <f>83.66</f>
        <v>83.66</v>
      </c>
      <c r="D224">
        <f>80.64</f>
        <v>80.64</v>
      </c>
      <c r="E224">
        <f>87.6</f>
        <v>87.6</v>
      </c>
      <c r="F224">
        <f>218.16</f>
        <v>218.16</v>
      </c>
      <c r="G224">
        <f>4.9647</f>
        <v>4.9646999999999997</v>
      </c>
    </row>
    <row r="225" spans="1:7" x14ac:dyDescent="0.25">
      <c r="A225" s="1">
        <v>44480</v>
      </c>
      <c r="B225">
        <f>5.399</f>
        <v>5.399</v>
      </c>
      <c r="C225">
        <f>83.9</f>
        <v>83.9</v>
      </c>
      <c r="D225">
        <f>80.52</f>
        <v>80.52</v>
      </c>
      <c r="E225">
        <f>84.4</f>
        <v>84.4</v>
      </c>
      <c r="F225">
        <f>216.56</f>
        <v>216.56</v>
      </c>
      <c r="G225">
        <f>4.9506</f>
        <v>4.9505999999999997</v>
      </c>
    </row>
    <row r="226" spans="1:7" x14ac:dyDescent="0.25">
      <c r="A226" s="1">
        <v>44477</v>
      </c>
      <c r="B226">
        <f>5.683</f>
        <v>5.6829999999999998</v>
      </c>
      <c r="C226">
        <f>82.95</f>
        <v>82.95</v>
      </c>
      <c r="D226">
        <f>79.35</f>
        <v>79.349999999999994</v>
      </c>
      <c r="E226">
        <f>83.75</f>
        <v>83.75</v>
      </c>
      <c r="F226">
        <f>215.5</f>
        <v>215.5</v>
      </c>
      <c r="G226">
        <f>5.1782</f>
        <v>5.1782000000000004</v>
      </c>
    </row>
    <row r="227" spans="1:7" x14ac:dyDescent="0.25">
      <c r="A227" s="1">
        <v>44476</v>
      </c>
      <c r="B227">
        <f>5.702</f>
        <v>5.702</v>
      </c>
      <c r="C227">
        <f>82.75</f>
        <v>82.75</v>
      </c>
      <c r="D227">
        <f>78.3</f>
        <v>78.3</v>
      </c>
      <c r="E227">
        <f>99.5</f>
        <v>99.5</v>
      </c>
      <c r="F227">
        <f>245.49</f>
        <v>245.49</v>
      </c>
      <c r="G227">
        <f>4.8963</f>
        <v>4.8963000000000001</v>
      </c>
    </row>
    <row r="228" spans="1:7" x14ac:dyDescent="0.25">
      <c r="A228" s="1">
        <v>44475</v>
      </c>
      <c r="B228">
        <f>5.951</f>
        <v>5.9509999999999996</v>
      </c>
      <c r="C228">
        <f>81.17</f>
        <v>81.17</v>
      </c>
      <c r="D228">
        <f>77.43</f>
        <v>77.430000000000007</v>
      </c>
      <c r="E228">
        <f>104</f>
        <v>104</v>
      </c>
      <c r="F228">
        <f>273.43</f>
        <v>273.43</v>
      </c>
      <c r="G228">
        <f>4.7058</f>
        <v>4.7058</v>
      </c>
    </row>
    <row r="229" spans="1:7" x14ac:dyDescent="0.25">
      <c r="A229" s="1">
        <v>44474</v>
      </c>
      <c r="B229">
        <f>6.2</f>
        <v>6.2</v>
      </c>
      <c r="C229">
        <f>83.12</f>
        <v>83.12</v>
      </c>
      <c r="D229">
        <f>78.93</f>
        <v>78.930000000000007</v>
      </c>
      <c r="E229">
        <f>117.9</f>
        <v>117.9</v>
      </c>
      <c r="F229">
        <f>293.89</f>
        <v>293.89</v>
      </c>
      <c r="G229">
        <f>5.4247</f>
        <v>5.4246999999999996</v>
      </c>
    </row>
    <row r="230" spans="1:7" x14ac:dyDescent="0.25">
      <c r="A230" s="1">
        <v>44473</v>
      </c>
      <c r="B230">
        <f>5.809</f>
        <v>5.8090000000000002</v>
      </c>
      <c r="C230">
        <f>81.72</f>
        <v>81.72</v>
      </c>
      <c r="D230">
        <f>77.62</f>
        <v>77.62</v>
      </c>
      <c r="E230">
        <f>94.85</f>
        <v>94.85</v>
      </c>
      <c r="F230">
        <f>245.5</f>
        <v>245.5</v>
      </c>
      <c r="G230">
        <f>4.762</f>
        <v>4.7619999999999996</v>
      </c>
    </row>
    <row r="231" spans="1:7" x14ac:dyDescent="0.25">
      <c r="A231" s="1">
        <v>44470</v>
      </c>
      <c r="B231">
        <f>5.582</f>
        <v>5.5819999999999999</v>
      </c>
      <c r="C231">
        <f>79.55</f>
        <v>79.55</v>
      </c>
      <c r="D231">
        <f>75.88</f>
        <v>75.88</v>
      </c>
      <c r="E231">
        <f>91.6</f>
        <v>91.6</v>
      </c>
      <c r="F231">
        <f>243.95</f>
        <v>243.95</v>
      </c>
      <c r="G231">
        <f>4.4336</f>
        <v>4.4336000000000002</v>
      </c>
    </row>
    <row r="232" spans="1:7" x14ac:dyDescent="0.25">
      <c r="A232" s="1">
        <v>44469</v>
      </c>
      <c r="B232">
        <f>5.546</f>
        <v>5.5460000000000003</v>
      </c>
      <c r="C232">
        <f>78.77</f>
        <v>78.77</v>
      </c>
      <c r="D232">
        <f>75.03</f>
        <v>75.03</v>
      </c>
      <c r="E232">
        <f>89.95</f>
        <v>89.95</v>
      </c>
      <c r="F232">
        <f>228</f>
        <v>228</v>
      </c>
      <c r="G232">
        <f>4.4795</f>
        <v>4.4794999999999998</v>
      </c>
    </row>
    <row r="233" spans="1:7" x14ac:dyDescent="0.25">
      <c r="A233" s="1">
        <v>44468</v>
      </c>
      <c r="B233">
        <f>5.63</f>
        <v>5.63</v>
      </c>
      <c r="C233">
        <f>78.4</f>
        <v>78.400000000000006</v>
      </c>
      <c r="D233">
        <f>74.83</f>
        <v>74.83</v>
      </c>
      <c r="E233">
        <f>86.5</f>
        <v>86.5</v>
      </c>
      <c r="F233">
        <f>215.75</f>
        <v>215.75</v>
      </c>
      <c r="G233">
        <f>4.0362</f>
        <v>4.0362</v>
      </c>
    </row>
    <row r="234" spans="1:7" x14ac:dyDescent="0.25">
      <c r="A234" s="1">
        <v>44467</v>
      </c>
      <c r="B234">
        <f>5.919</f>
        <v>5.9189999999999996</v>
      </c>
      <c r="C234">
        <f>77.89</f>
        <v>77.89</v>
      </c>
      <c r="D234">
        <f>75.29</f>
        <v>75.290000000000006</v>
      </c>
      <c r="E234">
        <f>77.5</f>
        <v>77.5</v>
      </c>
      <c r="F234">
        <f>195</f>
        <v>195</v>
      </c>
      <c r="G234">
        <f>2.9693</f>
        <v>2.9693000000000001</v>
      </c>
    </row>
    <row r="235" spans="1:7" x14ac:dyDescent="0.25">
      <c r="A235" s="1">
        <v>44466</v>
      </c>
      <c r="B235">
        <f>5.5</f>
        <v>5.5</v>
      </c>
      <c r="C235">
        <f>79.02</f>
        <v>79.02</v>
      </c>
      <c r="D235">
        <f>75.45</f>
        <v>75.45</v>
      </c>
      <c r="E235">
        <f>78.25</f>
        <v>78.25</v>
      </c>
      <c r="F235">
        <f>191.5</f>
        <v>191.5</v>
      </c>
      <c r="G235">
        <f>4.7602</f>
        <v>4.7602000000000002</v>
      </c>
    </row>
    <row r="236" spans="1:7" x14ac:dyDescent="0.25">
      <c r="A236" s="1">
        <v>44463</v>
      </c>
      <c r="B236">
        <f>5.02</f>
        <v>5.0199999999999996</v>
      </c>
      <c r="C236">
        <f>77.66</f>
        <v>77.66</v>
      </c>
      <c r="D236">
        <f>74.13</f>
        <v>74.13</v>
      </c>
      <c r="E236">
        <f>71.5</f>
        <v>71.5</v>
      </c>
      <c r="F236">
        <f>177.5</f>
        <v>177.5</v>
      </c>
      <c r="G236">
        <f>4.2623</f>
        <v>4.2622999999999998</v>
      </c>
    </row>
    <row r="237" spans="1:7" x14ac:dyDescent="0.25">
      <c r="A237" s="1">
        <v>44462</v>
      </c>
      <c r="B237">
        <f>4.902</f>
        <v>4.9020000000000001</v>
      </c>
      <c r="C237">
        <f>76.89</f>
        <v>76.89</v>
      </c>
      <c r="D237">
        <f>73.45</f>
        <v>73.45</v>
      </c>
      <c r="E237">
        <f>70.725</f>
        <v>70.724999999999994</v>
      </c>
      <c r="F237">
        <f>172.4</f>
        <v>172.4</v>
      </c>
      <c r="G237">
        <f>4.0237</f>
        <v>4.0236999999999998</v>
      </c>
    </row>
    <row r="238" spans="1:7" x14ac:dyDescent="0.25">
      <c r="A238" s="1">
        <v>44461</v>
      </c>
      <c r="B238">
        <f>4.81</f>
        <v>4.8099999999999996</v>
      </c>
      <c r="C238">
        <f>75.52</f>
        <v>75.52</v>
      </c>
      <c r="D238">
        <f>72.33</f>
        <v>72.33</v>
      </c>
      <c r="E238">
        <f>70</f>
        <v>70</v>
      </c>
      <c r="F238">
        <f>176.5</f>
        <v>176.5</v>
      </c>
      <c r="G238">
        <f>3.6765</f>
        <v>3.6764999999999999</v>
      </c>
    </row>
    <row r="239" spans="1:7" x14ac:dyDescent="0.25">
      <c r="A239" s="1">
        <v>44460</v>
      </c>
      <c r="B239">
        <f>4.891</f>
        <v>4.891</v>
      </c>
      <c r="C239">
        <f>74.32</f>
        <v>74.319999999999993</v>
      </c>
      <c r="D239">
        <f>70.56</f>
        <v>70.56</v>
      </c>
      <c r="E239">
        <f>72.28</f>
        <v>72.28</v>
      </c>
      <c r="F239">
        <f>186.75</f>
        <v>186.75</v>
      </c>
      <c r="G239">
        <f>3.7959</f>
        <v>3.7959000000000001</v>
      </c>
    </row>
    <row r="240" spans="1:7" x14ac:dyDescent="0.25">
      <c r="A240" s="1">
        <v>44459</v>
      </c>
      <c r="B240">
        <f>5.145</f>
        <v>5.1449999999999996</v>
      </c>
      <c r="C240">
        <f>73.72</f>
        <v>73.72</v>
      </c>
      <c r="D240">
        <f>70.29</f>
        <v>70.290000000000006</v>
      </c>
      <c r="E240">
        <f>73.6</f>
        <v>73.599999999999994</v>
      </c>
      <c r="F240">
        <f>189.9</f>
        <v>189.9</v>
      </c>
      <c r="G240">
        <f>3.7816</f>
        <v>3.7816000000000001</v>
      </c>
    </row>
    <row r="241" spans="1:7" x14ac:dyDescent="0.25">
      <c r="A241" s="1">
        <v>44456</v>
      </c>
      <c r="B241">
        <f>5.259</f>
        <v>5.2590000000000003</v>
      </c>
      <c r="C241">
        <f>74.86</f>
        <v>74.86</v>
      </c>
      <c r="D241">
        <f>71.97</f>
        <v>71.97</v>
      </c>
      <c r="E241">
        <f>62.9</f>
        <v>62.9</v>
      </c>
      <c r="F241">
        <f>157.65</f>
        <v>157.65</v>
      </c>
      <c r="G241">
        <f>3.7803</f>
        <v>3.7803</v>
      </c>
    </row>
    <row r="242" spans="1:7" x14ac:dyDescent="0.25">
      <c r="A242" s="1">
        <v>44455</v>
      </c>
      <c r="B242">
        <f>5.45</f>
        <v>5.45</v>
      </c>
      <c r="C242">
        <f>75.26</f>
        <v>75.260000000000005</v>
      </c>
      <c r="D242">
        <f>72.61</f>
        <v>72.61</v>
      </c>
      <c r="E242">
        <f>62.35</f>
        <v>62.35</v>
      </c>
      <c r="F242">
        <f>162.5</f>
        <v>162.5</v>
      </c>
      <c r="G242">
        <f>4.2683</f>
        <v>4.2683</v>
      </c>
    </row>
    <row r="243" spans="1:7" x14ac:dyDescent="0.25">
      <c r="A243" s="1">
        <v>44454</v>
      </c>
      <c r="B243">
        <f>5.59</f>
        <v>5.59</v>
      </c>
      <c r="C243">
        <f>75.26</f>
        <v>75.260000000000005</v>
      </c>
      <c r="D243">
        <f>72.61</f>
        <v>72.61</v>
      </c>
      <c r="E243">
        <f>65.55</f>
        <v>65.55</v>
      </c>
      <c r="F243">
        <f>165</f>
        <v>165</v>
      </c>
      <c r="G243">
        <f>4.4969</f>
        <v>4.4969000000000001</v>
      </c>
    </row>
    <row r="244" spans="1:7" x14ac:dyDescent="0.25">
      <c r="A244" s="1">
        <v>44453</v>
      </c>
      <c r="B244">
        <f>5.355</f>
        <v>5.3550000000000004</v>
      </c>
      <c r="C244">
        <f>73.68</f>
        <v>73.680000000000007</v>
      </c>
      <c r="D244">
        <f>70.46</f>
        <v>70.459999999999994</v>
      </c>
      <c r="E244">
        <f>66.275</f>
        <v>66.275000000000006</v>
      </c>
      <c r="F244">
        <f>166.32</f>
        <v>166.32</v>
      </c>
      <c r="G244">
        <f>4.4076</f>
        <v>4.4076000000000004</v>
      </c>
    </row>
    <row r="245" spans="1:7" x14ac:dyDescent="0.25">
      <c r="A245" s="1">
        <v>44452</v>
      </c>
      <c r="B245">
        <f>5.179</f>
        <v>5.1790000000000003</v>
      </c>
      <c r="C245">
        <f>73.48</f>
        <v>73.48</v>
      </c>
      <c r="D245">
        <f>70.45</f>
        <v>70.45</v>
      </c>
      <c r="E245">
        <f>62.05</f>
        <v>62.05</v>
      </c>
      <c r="F245">
        <f>153.375</f>
        <v>153.375</v>
      </c>
      <c r="G245">
        <f>4.2538</f>
        <v>4.2538</v>
      </c>
    </row>
    <row r="246" spans="1:7" x14ac:dyDescent="0.25">
      <c r="A246" s="1">
        <v>44449</v>
      </c>
      <c r="B246">
        <f>5.052</f>
        <v>5.0519999999999996</v>
      </c>
      <c r="C246">
        <f>72.79</f>
        <v>72.790000000000006</v>
      </c>
      <c r="D246">
        <f>69.72</f>
        <v>69.72</v>
      </c>
      <c r="E246">
        <f>55.5</f>
        <v>55.5</v>
      </c>
      <c r="F246">
        <f>145.5</f>
        <v>145.5</v>
      </c>
      <c r="G246">
        <f>3.8736</f>
        <v>3.8736000000000002</v>
      </c>
    </row>
    <row r="247" spans="1:7" x14ac:dyDescent="0.25">
      <c r="A247" s="1">
        <v>44448</v>
      </c>
      <c r="B247">
        <f>4.976</f>
        <v>4.976</v>
      </c>
      <c r="C247">
        <f>71.25</f>
        <v>71.25</v>
      </c>
      <c r="D247">
        <f>68.14</f>
        <v>68.14</v>
      </c>
      <c r="E247">
        <f>56.38</f>
        <v>56.38</v>
      </c>
      <c r="F247">
        <f>139.5</f>
        <v>139.5</v>
      </c>
      <c r="G247">
        <f>4.0249</f>
        <v>4.0248999999999997</v>
      </c>
    </row>
    <row r="248" spans="1:7" x14ac:dyDescent="0.25">
      <c r="A248" s="1">
        <v>44447</v>
      </c>
      <c r="B248">
        <f>4.671</f>
        <v>4.6710000000000003</v>
      </c>
      <c r="C248">
        <f>72.68</f>
        <v>72.680000000000007</v>
      </c>
      <c r="D248">
        <f>69.3</f>
        <v>69.3</v>
      </c>
      <c r="E248">
        <f>55.33</f>
        <v>55.33</v>
      </c>
      <c r="F248">
        <f>139.8</f>
        <v>139.80000000000001</v>
      </c>
      <c r="G248">
        <f>3.6967</f>
        <v>3.6966999999999999</v>
      </c>
    </row>
    <row r="249" spans="1:7" x14ac:dyDescent="0.25">
      <c r="A249" s="1">
        <v>44446</v>
      </c>
      <c r="B249">
        <f>4.687</f>
        <v>4.6870000000000003</v>
      </c>
      <c r="C249">
        <f>71.58</f>
        <v>71.58</v>
      </c>
      <c r="D249">
        <f>68.35</f>
        <v>68.349999999999994</v>
      </c>
      <c r="E249">
        <f>54.06</f>
        <v>54.06</v>
      </c>
      <c r="F249" t="e">
        <f>NA()</f>
        <v>#N/A</v>
      </c>
      <c r="G249">
        <f>3.2592</f>
        <v>3.2591999999999999</v>
      </c>
    </row>
    <row r="250" spans="1:7" x14ac:dyDescent="0.25">
      <c r="A250" s="1">
        <v>44445</v>
      </c>
      <c r="B250" t="e">
        <f>NA()</f>
        <v>#N/A</v>
      </c>
      <c r="C250">
        <f>71.98</f>
        <v>71.98</v>
      </c>
      <c r="D250" t="e">
        <f>NA()</f>
        <v>#N/A</v>
      </c>
      <c r="E250">
        <f>52.45</f>
        <v>52.45</v>
      </c>
      <c r="F250">
        <f>134.5</f>
        <v>134.5</v>
      </c>
      <c r="G250" t="e">
        <f>NA()</f>
        <v>#N/A</v>
      </c>
    </row>
    <row r="251" spans="1:7" x14ac:dyDescent="0.25">
      <c r="A251" s="1">
        <v>44442</v>
      </c>
      <c r="B251">
        <f>4.718</f>
        <v>4.718</v>
      </c>
      <c r="C251">
        <f>72.29</f>
        <v>72.290000000000006</v>
      </c>
      <c r="D251">
        <f>69.29</f>
        <v>69.290000000000006</v>
      </c>
      <c r="E251">
        <f>51.7</f>
        <v>51.7</v>
      </c>
      <c r="F251">
        <f>130.32</f>
        <v>130.32</v>
      </c>
      <c r="G251">
        <f>3.6121</f>
        <v>3.6120999999999999</v>
      </c>
    </row>
    <row r="252" spans="1:7" x14ac:dyDescent="0.25">
      <c r="A252" s="1">
        <v>44441</v>
      </c>
      <c r="B252">
        <f>4.638</f>
        <v>4.6379999999999999</v>
      </c>
      <c r="C252">
        <f>72.76</f>
        <v>72.760000000000005</v>
      </c>
      <c r="D252">
        <f>69.99</f>
        <v>69.989999999999995</v>
      </c>
      <c r="E252">
        <f>51.7</f>
        <v>51.7</v>
      </c>
      <c r="F252">
        <f>133</f>
        <v>133</v>
      </c>
      <c r="G252">
        <f>4.1033</f>
        <v>4.1032999999999999</v>
      </c>
    </row>
    <row r="253" spans="1:7" x14ac:dyDescent="0.25">
      <c r="A253" s="1">
        <v>44440</v>
      </c>
      <c r="B253">
        <f>4.388</f>
        <v>4.3879999999999999</v>
      </c>
      <c r="C253">
        <f>71.1</f>
        <v>71.099999999999994</v>
      </c>
      <c r="D253">
        <f>68.59</f>
        <v>68.59</v>
      </c>
      <c r="E253">
        <f>49.85</f>
        <v>49.85</v>
      </c>
      <c r="F253">
        <f>128</f>
        <v>128</v>
      </c>
      <c r="G253">
        <f>4.3222</f>
        <v>4.3221999999999996</v>
      </c>
    </row>
    <row r="254" spans="1:7" x14ac:dyDescent="0.25">
      <c r="A254" s="1">
        <v>44439</v>
      </c>
      <c r="B254">
        <f>4.337</f>
        <v>4.3369999999999997</v>
      </c>
      <c r="C254">
        <f>71.24</f>
        <v>71.239999999999995</v>
      </c>
      <c r="D254">
        <f>68.5</f>
        <v>68.5</v>
      </c>
      <c r="E254">
        <f>50.37</f>
        <v>50.37</v>
      </c>
      <c r="F254">
        <f>125.9</f>
        <v>125.9</v>
      </c>
      <c r="G254">
        <f>4.2351</f>
        <v>4.2351000000000001</v>
      </c>
    </row>
    <row r="255" spans="1:7" x14ac:dyDescent="0.25">
      <c r="A255" s="1">
        <v>44438</v>
      </c>
      <c r="B255">
        <f>4.246</f>
        <v>4.2460000000000004</v>
      </c>
      <c r="C255">
        <f>71.65</f>
        <v>71.650000000000006</v>
      </c>
      <c r="D255">
        <f>69.21</f>
        <v>69.209999999999994</v>
      </c>
      <c r="E255">
        <f>48.825</f>
        <v>48.825000000000003</v>
      </c>
      <c r="F255" t="e">
        <f>NA()</f>
        <v>#N/A</v>
      </c>
      <c r="G255">
        <f>4.2673</f>
        <v>4.2672999999999996</v>
      </c>
    </row>
    <row r="256" spans="1:7" x14ac:dyDescent="0.25">
      <c r="A256" s="1">
        <v>44435</v>
      </c>
      <c r="B256">
        <f>4.337</f>
        <v>4.3369999999999997</v>
      </c>
      <c r="C256">
        <f>71.29</f>
        <v>71.290000000000006</v>
      </c>
      <c r="D256">
        <f>68.74</f>
        <v>68.739999999999995</v>
      </c>
      <c r="E256">
        <f>47.78</f>
        <v>47.78</v>
      </c>
      <c r="F256">
        <f>118.5</f>
        <v>118.5</v>
      </c>
      <c r="G256">
        <f>4.0425</f>
        <v>4.0425000000000004</v>
      </c>
    </row>
    <row r="257" spans="1:7" x14ac:dyDescent="0.25">
      <c r="A257" s="1">
        <v>44434</v>
      </c>
      <c r="B257">
        <f>4.066</f>
        <v>4.0659999999999998</v>
      </c>
      <c r="C257">
        <f>70.07</f>
        <v>70.069999999999993</v>
      </c>
      <c r="D257">
        <f>67.42</f>
        <v>67.42</v>
      </c>
      <c r="E257">
        <f>45.85</f>
        <v>45.85</v>
      </c>
      <c r="F257">
        <f>114.8</f>
        <v>114.8</v>
      </c>
      <c r="G257">
        <f>3.8271</f>
        <v>3.8271000000000002</v>
      </c>
    </row>
    <row r="258" spans="1:7" x14ac:dyDescent="0.25">
      <c r="A258" s="1">
        <v>44433</v>
      </c>
      <c r="B258">
        <f>3.936</f>
        <v>3.9359999999999999</v>
      </c>
      <c r="C258">
        <f>70.67</f>
        <v>70.67</v>
      </c>
      <c r="D258">
        <f>68.41</f>
        <v>68.41</v>
      </c>
      <c r="E258">
        <f>45.075</f>
        <v>45.075000000000003</v>
      </c>
      <c r="F258">
        <f>113</f>
        <v>113</v>
      </c>
      <c r="G258">
        <f>3.4485</f>
        <v>3.4485000000000001</v>
      </c>
    </row>
    <row r="259" spans="1:7" x14ac:dyDescent="0.25">
      <c r="A259" s="1">
        <v>44432</v>
      </c>
      <c r="B259">
        <f>4.004</f>
        <v>4.0039999999999996</v>
      </c>
      <c r="C259">
        <f>70.25</f>
        <v>70.25</v>
      </c>
      <c r="D259">
        <f>67.67</f>
        <v>67.67</v>
      </c>
      <c r="E259">
        <f>45.4</f>
        <v>45.4</v>
      </c>
      <c r="F259">
        <f>111</f>
        <v>111</v>
      </c>
      <c r="G259">
        <f>3.4495</f>
        <v>3.4495</v>
      </c>
    </row>
    <row r="260" spans="1:7" x14ac:dyDescent="0.25">
      <c r="A260" s="1">
        <v>44431</v>
      </c>
      <c r="B260">
        <f>3.925</f>
        <v>3.9249999999999998</v>
      </c>
      <c r="C260">
        <f>68.14</f>
        <v>68.14</v>
      </c>
      <c r="D260">
        <f>65.81</f>
        <v>65.81</v>
      </c>
      <c r="E260">
        <f>42.6</f>
        <v>42.6</v>
      </c>
      <c r="F260">
        <f>106</f>
        <v>106</v>
      </c>
      <c r="G260">
        <f>3.5372</f>
        <v>3.5371999999999999</v>
      </c>
    </row>
    <row r="261" spans="1:7" x14ac:dyDescent="0.25">
      <c r="A261" s="1">
        <v>44428</v>
      </c>
      <c r="B261">
        <f>3.945</f>
        <v>3.9449999999999998</v>
      </c>
      <c r="C261">
        <f>64.77</f>
        <v>64.77</v>
      </c>
      <c r="D261">
        <f>62.32</f>
        <v>62.32</v>
      </c>
      <c r="E261">
        <f>41.7</f>
        <v>41.7</v>
      </c>
      <c r="F261">
        <f>103.85</f>
        <v>103.85</v>
      </c>
      <c r="G261">
        <f>3.4954</f>
        <v>3.4954000000000001</v>
      </c>
    </row>
    <row r="262" spans="1:7" x14ac:dyDescent="0.25">
      <c r="A262" s="1">
        <v>44427</v>
      </c>
      <c r="B262">
        <f>3.83</f>
        <v>3.83</v>
      </c>
      <c r="C262">
        <f>66.32</f>
        <v>66.319999999999993</v>
      </c>
      <c r="D262">
        <f>63.69</f>
        <v>63.69</v>
      </c>
      <c r="E262">
        <f>40.75</f>
        <v>40.75</v>
      </c>
      <c r="F262">
        <f>99.75</f>
        <v>99.75</v>
      </c>
      <c r="G262">
        <f>3.5148</f>
        <v>3.5148000000000001</v>
      </c>
    </row>
    <row r="263" spans="1:7" x14ac:dyDescent="0.25">
      <c r="A263" s="1">
        <v>44426</v>
      </c>
      <c r="B263">
        <f>3.865</f>
        <v>3.8650000000000002</v>
      </c>
      <c r="C263">
        <f>67.34</f>
        <v>67.34</v>
      </c>
      <c r="D263">
        <f>65.46</f>
        <v>65.459999999999994</v>
      </c>
      <c r="E263">
        <f>44.8</f>
        <v>44.8</v>
      </c>
      <c r="F263">
        <f>111</f>
        <v>111</v>
      </c>
      <c r="G263">
        <f>3.3208</f>
        <v>3.3208000000000002</v>
      </c>
    </row>
    <row r="264" spans="1:7" x14ac:dyDescent="0.25">
      <c r="A264" s="1">
        <v>44425</v>
      </c>
      <c r="B264">
        <f>3.925</f>
        <v>3.9249999999999998</v>
      </c>
      <c r="C264">
        <f>69.03</f>
        <v>69.03</v>
      </c>
      <c r="D264">
        <f>66.59</f>
        <v>66.59</v>
      </c>
      <c r="E264">
        <f>46.5</f>
        <v>46.5</v>
      </c>
      <c r="F264">
        <f>116</f>
        <v>116</v>
      </c>
      <c r="G264">
        <f>3.3433</f>
        <v>3.3433000000000002</v>
      </c>
    </row>
    <row r="265" spans="1:7" x14ac:dyDescent="0.25">
      <c r="A265" s="1">
        <v>44424</v>
      </c>
      <c r="B265">
        <f>3.935</f>
        <v>3.9350000000000001</v>
      </c>
      <c r="C265">
        <f>69.6</f>
        <v>69.599999999999994</v>
      </c>
      <c r="D265">
        <f>67.29</f>
        <v>67.290000000000006</v>
      </c>
      <c r="E265">
        <f>47.85</f>
        <v>47.85</v>
      </c>
      <c r="F265">
        <f>118.7</f>
        <v>118.7</v>
      </c>
      <c r="G265">
        <f>3.3707</f>
        <v>3.3706999999999998</v>
      </c>
    </row>
    <row r="266" spans="1:7" x14ac:dyDescent="0.25">
      <c r="A266" s="1">
        <v>44421</v>
      </c>
      <c r="B266">
        <f>3.904</f>
        <v>3.9039999999999999</v>
      </c>
      <c r="C266">
        <f>70.13</f>
        <v>70.13</v>
      </c>
      <c r="D266">
        <f>68.44</f>
        <v>68.44</v>
      </c>
      <c r="E266">
        <f>44.6</f>
        <v>44.6</v>
      </c>
      <c r="F266">
        <f>112</f>
        <v>112</v>
      </c>
      <c r="G266" t="e">
        <f>NA()</f>
        <v>#N/A</v>
      </c>
    </row>
    <row r="267" spans="1:7" x14ac:dyDescent="0.25">
      <c r="A267" s="1">
        <v>44420</v>
      </c>
      <c r="B267">
        <f>4.053</f>
        <v>4.0529999999999999</v>
      </c>
      <c r="C267">
        <f>71.04</f>
        <v>71.040000000000006</v>
      </c>
      <c r="D267">
        <f>69.09</f>
        <v>69.09</v>
      </c>
      <c r="E267">
        <f>45.6</f>
        <v>45.6</v>
      </c>
      <c r="F267">
        <f>113.25</f>
        <v>113.25</v>
      </c>
      <c r="G267">
        <f>3.1164</f>
        <v>3.1164000000000001</v>
      </c>
    </row>
    <row r="268" spans="1:7" x14ac:dyDescent="0.25">
      <c r="A268" s="1">
        <v>44419</v>
      </c>
      <c r="B268">
        <f>4.066</f>
        <v>4.0659999999999998</v>
      </c>
      <c r="C268">
        <f>71.55</f>
        <v>71.55</v>
      </c>
      <c r="D268">
        <f>69.25</f>
        <v>69.25</v>
      </c>
      <c r="E268">
        <f>46.5</f>
        <v>46.5</v>
      </c>
      <c r="F268">
        <f>116.25</f>
        <v>116.25</v>
      </c>
      <c r="G268">
        <f>3.3342</f>
        <v>3.3342000000000001</v>
      </c>
    </row>
    <row r="269" spans="1:7" x14ac:dyDescent="0.25">
      <c r="A269" s="1">
        <v>44418</v>
      </c>
      <c r="B269">
        <f>4.125</f>
        <v>4.125</v>
      </c>
      <c r="C269">
        <f>70.8</f>
        <v>70.8</v>
      </c>
      <c r="D269">
        <f>68.29</f>
        <v>68.290000000000006</v>
      </c>
      <c r="E269">
        <f>44.45</f>
        <v>44.45</v>
      </c>
      <c r="F269">
        <f>111.675</f>
        <v>111.675</v>
      </c>
      <c r="G269">
        <f>3.5666</f>
        <v>3.5666000000000002</v>
      </c>
    </row>
    <row r="270" spans="1:7" x14ac:dyDescent="0.25">
      <c r="A270" s="1">
        <v>44417</v>
      </c>
      <c r="B270">
        <f>4.13</f>
        <v>4.13</v>
      </c>
      <c r="C270">
        <f>69.1</f>
        <v>69.099999999999994</v>
      </c>
      <c r="D270">
        <f>66.48</f>
        <v>66.48</v>
      </c>
      <c r="E270">
        <f>43.4</f>
        <v>43.4</v>
      </c>
      <c r="F270">
        <f>107.75</f>
        <v>107.75</v>
      </c>
      <c r="G270">
        <f>3.378</f>
        <v>3.3780000000000001</v>
      </c>
    </row>
    <row r="271" spans="1:7" x14ac:dyDescent="0.25">
      <c r="A271" s="1">
        <v>44414</v>
      </c>
      <c r="B271">
        <f>4.146</f>
        <v>4.1459999999999999</v>
      </c>
      <c r="C271">
        <f>70.28</f>
        <v>70.28</v>
      </c>
      <c r="D271">
        <f>68.28</f>
        <v>68.28</v>
      </c>
      <c r="E271">
        <f>43.125</f>
        <v>43.125</v>
      </c>
      <c r="F271">
        <f>107.65</f>
        <v>107.65</v>
      </c>
      <c r="G271">
        <f>3.4008</f>
        <v>3.4007999999999998</v>
      </c>
    </row>
    <row r="272" spans="1:7" x14ac:dyDescent="0.25">
      <c r="A272" s="1">
        <v>44413</v>
      </c>
      <c r="B272">
        <f>4.198</f>
        <v>4.1980000000000004</v>
      </c>
      <c r="C272">
        <f>71.28</f>
        <v>71.28</v>
      </c>
      <c r="D272">
        <f>69.09</f>
        <v>69.09</v>
      </c>
      <c r="E272">
        <f>43.1</f>
        <v>43.1</v>
      </c>
      <c r="F272">
        <f>108.55</f>
        <v>108.55</v>
      </c>
      <c r="G272">
        <f>3.6099</f>
        <v>3.6099000000000001</v>
      </c>
    </row>
    <row r="273" spans="1:7" x14ac:dyDescent="0.25">
      <c r="A273" s="1">
        <v>44412</v>
      </c>
      <c r="B273">
        <f>4.177</f>
        <v>4.1769999999999996</v>
      </c>
      <c r="C273">
        <f>70.27</f>
        <v>70.27</v>
      </c>
      <c r="D273">
        <f>68.15</f>
        <v>68.150000000000006</v>
      </c>
      <c r="E273">
        <f>42.2</f>
        <v>42.2</v>
      </c>
      <c r="F273">
        <f>106.8</f>
        <v>106.8</v>
      </c>
      <c r="G273">
        <f>3.798</f>
        <v>3.798</v>
      </c>
    </row>
    <row r="274" spans="1:7" x14ac:dyDescent="0.25">
      <c r="A274" s="1">
        <v>44411</v>
      </c>
      <c r="B274">
        <f>3.992</f>
        <v>3.992</v>
      </c>
      <c r="C274">
        <f>72.27</f>
        <v>72.27</v>
      </c>
      <c r="D274">
        <f>70.56</f>
        <v>70.56</v>
      </c>
      <c r="E274">
        <f>41.55</f>
        <v>41.55</v>
      </c>
      <c r="F274">
        <f>105.4</f>
        <v>105.4</v>
      </c>
      <c r="G274">
        <f>3.7834</f>
        <v>3.7833999999999999</v>
      </c>
    </row>
    <row r="275" spans="1:7" x14ac:dyDescent="0.25">
      <c r="A275" s="1">
        <v>44410</v>
      </c>
      <c r="B275">
        <f>3.975</f>
        <v>3.9750000000000001</v>
      </c>
      <c r="C275">
        <f>73.37</f>
        <v>73.37</v>
      </c>
      <c r="D275">
        <f>71.26</f>
        <v>71.260000000000005</v>
      </c>
      <c r="E275">
        <f>42.18</f>
        <v>42.18</v>
      </c>
      <c r="F275">
        <f>107.45</f>
        <v>107.45</v>
      </c>
      <c r="G275">
        <f>3.56</f>
        <v>3.56</v>
      </c>
    </row>
    <row r="276" spans="1:7" x14ac:dyDescent="0.25">
      <c r="A276" s="1">
        <v>44407</v>
      </c>
      <c r="B276">
        <f>3.904</f>
        <v>3.9039999999999999</v>
      </c>
      <c r="C276">
        <f>75.38</f>
        <v>75.38</v>
      </c>
      <c r="D276">
        <f>73.95</f>
        <v>73.95</v>
      </c>
      <c r="E276">
        <f>40.6</f>
        <v>40.6</v>
      </c>
      <c r="F276">
        <f>104.76</f>
        <v>104.76</v>
      </c>
      <c r="G276">
        <f>3.4111</f>
        <v>3.4110999999999998</v>
      </c>
    </row>
    <row r="277" spans="1:7" x14ac:dyDescent="0.25">
      <c r="A277" s="1">
        <v>44406</v>
      </c>
      <c r="B277">
        <f>4.005</f>
        <v>4.0049999999999999</v>
      </c>
      <c r="C277">
        <f>75.04</f>
        <v>75.040000000000006</v>
      </c>
      <c r="D277">
        <f>73.62</f>
        <v>73.62</v>
      </c>
      <c r="E277">
        <f>41.1</f>
        <v>41.1</v>
      </c>
      <c r="F277">
        <f>105</f>
        <v>105</v>
      </c>
      <c r="G277">
        <f>3.5978</f>
        <v>3.5977999999999999</v>
      </c>
    </row>
    <row r="278" spans="1:7" x14ac:dyDescent="0.25">
      <c r="A278" s="1">
        <v>44405</v>
      </c>
      <c r="B278">
        <f>4.055</f>
        <v>4.0549999999999997</v>
      </c>
      <c r="C278">
        <f>74.17</f>
        <v>74.17</v>
      </c>
      <c r="D278">
        <f>72.39</f>
        <v>72.39</v>
      </c>
      <c r="E278">
        <f>39.775</f>
        <v>39.774999999999999</v>
      </c>
      <c r="F278">
        <f>101.1</f>
        <v>101.1</v>
      </c>
      <c r="G278">
        <f>3.4116</f>
        <v>3.4116</v>
      </c>
    </row>
    <row r="279" spans="1:7" x14ac:dyDescent="0.25">
      <c r="A279" s="1">
        <v>44404</v>
      </c>
      <c r="B279">
        <f>4.085</f>
        <v>4.085</v>
      </c>
      <c r="C279">
        <f>73.88</f>
        <v>73.88</v>
      </c>
      <c r="D279">
        <f>71.65</f>
        <v>71.650000000000006</v>
      </c>
      <c r="E279">
        <f>37.625</f>
        <v>37.625</v>
      </c>
      <c r="F279">
        <f>95.6</f>
        <v>95.6</v>
      </c>
      <c r="G279">
        <f>3.2721</f>
        <v>3.2721</v>
      </c>
    </row>
    <row r="280" spans="1:7" x14ac:dyDescent="0.25">
      <c r="A280" s="1">
        <v>44403</v>
      </c>
      <c r="B280">
        <f>4.096</f>
        <v>4.0960000000000001</v>
      </c>
      <c r="C280">
        <f>74.16</f>
        <v>74.16</v>
      </c>
      <c r="D280">
        <f>71.91</f>
        <v>71.91</v>
      </c>
      <c r="E280">
        <f>37.03</f>
        <v>37.03</v>
      </c>
      <c r="F280">
        <f>92.79</f>
        <v>92.79</v>
      </c>
      <c r="G280" t="e">
        <f>NA()</f>
        <v>#N/A</v>
      </c>
    </row>
    <row r="281" spans="1:7" x14ac:dyDescent="0.25">
      <c r="A281" s="1">
        <v>44400</v>
      </c>
      <c r="B281">
        <f>4.077</f>
        <v>4.077</v>
      </c>
      <c r="C281">
        <f>73.7</f>
        <v>73.7</v>
      </c>
      <c r="D281">
        <f>72.27</f>
        <v>72.27</v>
      </c>
      <c r="E281">
        <f>35.425</f>
        <v>35.424999999999997</v>
      </c>
      <c r="F281">
        <f>88.1</f>
        <v>88.1</v>
      </c>
      <c r="G281">
        <f>3.6012</f>
        <v>3.6012</v>
      </c>
    </row>
    <row r="282" spans="1:7" x14ac:dyDescent="0.25">
      <c r="A282" s="1">
        <v>44399</v>
      </c>
      <c r="B282">
        <f>3.975</f>
        <v>3.9750000000000001</v>
      </c>
      <c r="C282">
        <f>73.26</f>
        <v>73.260000000000005</v>
      </c>
      <c r="D282">
        <f>72.06</f>
        <v>72.06</v>
      </c>
      <c r="E282">
        <f>35.575</f>
        <v>35.575000000000003</v>
      </c>
      <c r="F282">
        <f>88.6</f>
        <v>88.6</v>
      </c>
      <c r="G282">
        <f>3.5819</f>
        <v>3.5819000000000001</v>
      </c>
    </row>
    <row r="283" spans="1:7" x14ac:dyDescent="0.25">
      <c r="A283" s="1">
        <v>44398</v>
      </c>
      <c r="B283">
        <f>3.893</f>
        <v>3.8929999999999998</v>
      </c>
      <c r="C283">
        <f>72.23</f>
        <v>72.23</v>
      </c>
      <c r="D283">
        <f>70.55</f>
        <v>70.55</v>
      </c>
      <c r="E283">
        <f>35.8</f>
        <v>35.799999999999997</v>
      </c>
      <c r="F283">
        <f>88.9</f>
        <v>88.9</v>
      </c>
      <c r="G283">
        <f>3.5656</f>
        <v>3.5655999999999999</v>
      </c>
    </row>
    <row r="284" spans="1:7" x14ac:dyDescent="0.25">
      <c r="A284" s="1">
        <v>44397</v>
      </c>
      <c r="B284">
        <f>3.827</f>
        <v>3.827</v>
      </c>
      <c r="C284">
        <f>68.59</f>
        <v>68.59</v>
      </c>
      <c r="D284">
        <f>67.42</f>
        <v>67.42</v>
      </c>
      <c r="E284">
        <f>35.25</f>
        <v>35.25</v>
      </c>
      <c r="F284">
        <f>87.75</f>
        <v>87.75</v>
      </c>
      <c r="G284" t="e">
        <f>NA()</f>
        <v>#N/A</v>
      </c>
    </row>
    <row r="285" spans="1:7" x14ac:dyDescent="0.25">
      <c r="A285" s="1">
        <v>44396</v>
      </c>
      <c r="B285">
        <f>3.743</f>
        <v>3.7429999999999999</v>
      </c>
      <c r="C285">
        <f>68.74</f>
        <v>68.739999999999995</v>
      </c>
      <c r="D285">
        <f>66.42</f>
        <v>66.42</v>
      </c>
      <c r="E285">
        <f>36.05</f>
        <v>36.049999999999997</v>
      </c>
      <c r="F285">
        <f>88.05</f>
        <v>88.05</v>
      </c>
      <c r="G285" t="e">
        <f>NA()</f>
        <v>#N/A</v>
      </c>
    </row>
    <row r="286" spans="1:7" x14ac:dyDescent="0.25">
      <c r="A286" s="1">
        <v>44393</v>
      </c>
      <c r="B286">
        <f>3.693</f>
        <v>3.6930000000000001</v>
      </c>
      <c r="C286">
        <f>73.79</f>
        <v>73.790000000000006</v>
      </c>
      <c r="D286">
        <f>71.81</f>
        <v>71.81</v>
      </c>
      <c r="E286">
        <f>35.4</f>
        <v>35.4</v>
      </c>
      <c r="F286">
        <f>85.75</f>
        <v>85.75</v>
      </c>
      <c r="G286" t="e">
        <f>NA()</f>
        <v>#N/A</v>
      </c>
    </row>
    <row r="287" spans="1:7" x14ac:dyDescent="0.25">
      <c r="A287" s="1">
        <v>44392</v>
      </c>
      <c r="B287">
        <f>3.683</f>
        <v>3.6829999999999998</v>
      </c>
      <c r="C287">
        <f>74.21</f>
        <v>74.209999999999994</v>
      </c>
      <c r="D287">
        <f>71.65</f>
        <v>71.650000000000006</v>
      </c>
      <c r="E287">
        <f>33.95</f>
        <v>33.950000000000003</v>
      </c>
      <c r="F287">
        <f>82.75</f>
        <v>82.75</v>
      </c>
      <c r="G287">
        <f>3.2775</f>
        <v>3.2774999999999999</v>
      </c>
    </row>
    <row r="288" spans="1:7" x14ac:dyDescent="0.25">
      <c r="A288" s="1">
        <v>44391</v>
      </c>
      <c r="B288">
        <f>3.753</f>
        <v>3.7530000000000001</v>
      </c>
      <c r="C288">
        <f>75.35</f>
        <v>75.349999999999994</v>
      </c>
      <c r="D288">
        <f>73.13</f>
        <v>73.13</v>
      </c>
      <c r="E288">
        <f>34.2</f>
        <v>34.200000000000003</v>
      </c>
      <c r="F288">
        <f>83.5</f>
        <v>83.5</v>
      </c>
      <c r="G288">
        <f>3.2934</f>
        <v>3.2934000000000001</v>
      </c>
    </row>
    <row r="289" spans="1:7" x14ac:dyDescent="0.25">
      <c r="A289" s="1">
        <v>44390</v>
      </c>
      <c r="B289">
        <f>3.712</f>
        <v>3.7120000000000002</v>
      </c>
      <c r="C289">
        <f>77.15</f>
        <v>77.150000000000006</v>
      </c>
      <c r="D289">
        <f>75.25</f>
        <v>75.25</v>
      </c>
      <c r="E289">
        <f>35.25</f>
        <v>35.25</v>
      </c>
      <c r="F289">
        <f>87.75</f>
        <v>87.75</v>
      </c>
      <c r="G289">
        <f>3.3392</f>
        <v>3.3391999999999999</v>
      </c>
    </row>
    <row r="290" spans="1:7" x14ac:dyDescent="0.25">
      <c r="A290" s="1">
        <v>44389</v>
      </c>
      <c r="B290">
        <f>3.694</f>
        <v>3.694</v>
      </c>
      <c r="C290">
        <f>75.77</f>
        <v>75.77</v>
      </c>
      <c r="D290">
        <f>74.1</f>
        <v>74.099999999999994</v>
      </c>
      <c r="E290">
        <f>34.4</f>
        <v>34.4</v>
      </c>
      <c r="F290">
        <f>84.95</f>
        <v>84.95</v>
      </c>
      <c r="G290">
        <f>3.3875</f>
        <v>3.3875000000000002</v>
      </c>
    </row>
    <row r="291" spans="1:7" x14ac:dyDescent="0.25">
      <c r="A291" s="1">
        <v>44386</v>
      </c>
      <c r="B291">
        <f>3.707</f>
        <v>3.7069999999999999</v>
      </c>
      <c r="C291">
        <f>76.24</f>
        <v>76.239999999999995</v>
      </c>
      <c r="D291">
        <f>74.56</f>
        <v>74.56</v>
      </c>
      <c r="E291">
        <f>36.85</f>
        <v>36.85</v>
      </c>
      <c r="F291">
        <f>89.9</f>
        <v>89.9</v>
      </c>
      <c r="G291" t="e">
        <f>NA()</f>
        <v>#N/A</v>
      </c>
    </row>
    <row r="292" spans="1:7" x14ac:dyDescent="0.25">
      <c r="A292" s="1">
        <v>44385</v>
      </c>
      <c r="B292">
        <f>3.527</f>
        <v>3.5270000000000001</v>
      </c>
      <c r="C292">
        <f>74.88</f>
        <v>74.88</v>
      </c>
      <c r="D292">
        <f>72.94</f>
        <v>72.94</v>
      </c>
      <c r="E292">
        <f>33.625</f>
        <v>33.625</v>
      </c>
      <c r="F292">
        <f>83.2</f>
        <v>83.2</v>
      </c>
      <c r="G292">
        <f>3.3384</f>
        <v>3.3384</v>
      </c>
    </row>
    <row r="293" spans="1:7" x14ac:dyDescent="0.25">
      <c r="A293" s="1">
        <v>44384</v>
      </c>
      <c r="B293">
        <f>3.583</f>
        <v>3.5830000000000002</v>
      </c>
      <c r="C293">
        <f>74.04</f>
        <v>74.040000000000006</v>
      </c>
      <c r="D293">
        <f>72.2</f>
        <v>72.2</v>
      </c>
      <c r="E293">
        <f>33.2</f>
        <v>33.200000000000003</v>
      </c>
      <c r="F293">
        <f>79.2</f>
        <v>79.2</v>
      </c>
      <c r="G293">
        <f>3.2003</f>
        <v>3.2002999999999999</v>
      </c>
    </row>
    <row r="294" spans="1:7" x14ac:dyDescent="0.25">
      <c r="A294" s="1">
        <v>44383</v>
      </c>
      <c r="B294">
        <f>3.674</f>
        <v>3.6739999999999999</v>
      </c>
      <c r="C294">
        <f>75.56</f>
        <v>75.56</v>
      </c>
      <c r="D294">
        <f>73.37</f>
        <v>73.37</v>
      </c>
      <c r="E294">
        <f>33.375</f>
        <v>33.375</v>
      </c>
      <c r="F294">
        <f>81.45</f>
        <v>81.45</v>
      </c>
      <c r="G294">
        <f>3.2745</f>
        <v>3.2745000000000002</v>
      </c>
    </row>
    <row r="295" spans="1:7" x14ac:dyDescent="0.25">
      <c r="A295" s="1">
        <v>44382</v>
      </c>
      <c r="B295" t="e">
        <f>NA()</f>
        <v>#N/A</v>
      </c>
      <c r="C295">
        <f>77.79</f>
        <v>77.790000000000006</v>
      </c>
      <c r="D295" t="e">
        <f>NA()</f>
        <v>#N/A</v>
      </c>
      <c r="E295">
        <f>38.025</f>
        <v>38.024999999999999</v>
      </c>
      <c r="F295">
        <f>93.35</f>
        <v>93.35</v>
      </c>
      <c r="G295" t="e">
        <f>NA()</f>
        <v>#N/A</v>
      </c>
    </row>
    <row r="296" spans="1:7" x14ac:dyDescent="0.25">
      <c r="A296" s="1">
        <v>44379</v>
      </c>
      <c r="B296">
        <f>3.636</f>
        <v>3.6360000000000001</v>
      </c>
      <c r="C296">
        <f>76.4</f>
        <v>76.400000000000006</v>
      </c>
      <c r="D296">
        <f>75.16</f>
        <v>75.16</v>
      </c>
      <c r="E296">
        <f>36.1</f>
        <v>36.1</v>
      </c>
      <c r="F296">
        <f>88.5</f>
        <v>88.5</v>
      </c>
      <c r="G296">
        <f>3.3623</f>
        <v>3.3622999999999998</v>
      </c>
    </row>
    <row r="297" spans="1:7" x14ac:dyDescent="0.25">
      <c r="A297" s="1">
        <v>44378</v>
      </c>
      <c r="B297">
        <f>3.307</f>
        <v>3.3069999999999999</v>
      </c>
      <c r="C297">
        <f>76.18</f>
        <v>76.180000000000007</v>
      </c>
      <c r="D297">
        <f>75.23</f>
        <v>75.23</v>
      </c>
      <c r="E297">
        <f>35.9</f>
        <v>35.9</v>
      </c>
      <c r="F297">
        <f>88.95</f>
        <v>88.95</v>
      </c>
      <c r="G297">
        <f>3.3496</f>
        <v>3.3496000000000001</v>
      </c>
    </row>
    <row r="298" spans="1:7" x14ac:dyDescent="0.25">
      <c r="A298" s="1">
        <v>44377</v>
      </c>
      <c r="B298">
        <f>3.714</f>
        <v>3.714</v>
      </c>
      <c r="C298">
        <f>75.12</f>
        <v>75.12</v>
      </c>
      <c r="D298">
        <f>73.47</f>
        <v>73.47</v>
      </c>
      <c r="E298">
        <f>35.1</f>
        <v>35.1</v>
      </c>
      <c r="F298">
        <f>87</f>
        <v>87</v>
      </c>
      <c r="G298">
        <f>3.3435</f>
        <v>3.3435000000000001</v>
      </c>
    </row>
    <row r="299" spans="1:7" x14ac:dyDescent="0.25">
      <c r="A299" s="1">
        <v>44376</v>
      </c>
      <c r="B299">
        <f>3.757</f>
        <v>3.7570000000000001</v>
      </c>
      <c r="C299">
        <f>75.08</f>
        <v>75.08</v>
      </c>
      <c r="D299">
        <f>72.98</f>
        <v>72.98</v>
      </c>
      <c r="E299">
        <f>33.525</f>
        <v>33.524999999999999</v>
      </c>
      <c r="F299">
        <f>82.95</f>
        <v>82.95</v>
      </c>
      <c r="G299">
        <f>3.307</f>
        <v>3.3069999999999999</v>
      </c>
    </row>
    <row r="300" spans="1:7" x14ac:dyDescent="0.25">
      <c r="A300" s="1">
        <v>44375</v>
      </c>
      <c r="B300">
        <f>3.597</f>
        <v>3.597</v>
      </c>
      <c r="C300">
        <f>74.35</f>
        <v>74.349999999999994</v>
      </c>
      <c r="D300">
        <f>72.91</f>
        <v>72.91</v>
      </c>
      <c r="E300">
        <f>32.5</f>
        <v>32.5</v>
      </c>
      <c r="F300">
        <f>79.65</f>
        <v>79.650000000000006</v>
      </c>
      <c r="G300">
        <f>3.4039</f>
        <v>3.4039000000000001</v>
      </c>
    </row>
    <row r="301" spans="1:7" x14ac:dyDescent="0.25">
      <c r="A301" s="1">
        <v>44372</v>
      </c>
      <c r="B301">
        <f>3.406</f>
        <v>3.4060000000000001</v>
      </c>
      <c r="C301">
        <f>75.78</f>
        <v>75.78</v>
      </c>
      <c r="D301">
        <f>74.25</f>
        <v>74.25</v>
      </c>
      <c r="E301">
        <f>32.05</f>
        <v>32.049999999999997</v>
      </c>
      <c r="F301">
        <f>79.6</f>
        <v>79.599999999999994</v>
      </c>
      <c r="G301">
        <f>3.3061</f>
        <v>3.3060999999999998</v>
      </c>
    </row>
    <row r="302" spans="1:7" x14ac:dyDescent="0.25">
      <c r="A302" s="1">
        <v>44371</v>
      </c>
      <c r="B302">
        <f>3.306</f>
        <v>3.306</v>
      </c>
      <c r="C302">
        <f>75.27</f>
        <v>75.27</v>
      </c>
      <c r="D302">
        <f>73.45</f>
        <v>73.45</v>
      </c>
      <c r="E302">
        <f>31.885</f>
        <v>31.885000000000002</v>
      </c>
      <c r="F302">
        <f>78.6</f>
        <v>78.599999999999994</v>
      </c>
      <c r="G302">
        <f>3.2318</f>
        <v>3.2317999999999998</v>
      </c>
    </row>
    <row r="303" spans="1:7" x14ac:dyDescent="0.25">
      <c r="A303" s="1">
        <v>44370</v>
      </c>
      <c r="B303">
        <f>3.335</f>
        <v>3.335</v>
      </c>
      <c r="C303">
        <f>75.13</f>
        <v>75.13</v>
      </c>
      <c r="D303">
        <f>73.28</f>
        <v>73.28</v>
      </c>
      <c r="E303">
        <f>31.55</f>
        <v>31.55</v>
      </c>
      <c r="F303">
        <f>76.68</f>
        <v>76.680000000000007</v>
      </c>
      <c r="G303">
        <f>3.166</f>
        <v>3.1659999999999999</v>
      </c>
    </row>
    <row r="304" spans="1:7" x14ac:dyDescent="0.25">
      <c r="A304" s="1">
        <v>44369</v>
      </c>
      <c r="B304">
        <f>3.215</f>
        <v>3.2149999999999999</v>
      </c>
      <c r="C304">
        <f>74.6</f>
        <v>74.599999999999994</v>
      </c>
      <c r="D304">
        <f>73.06</f>
        <v>73.06</v>
      </c>
      <c r="E304">
        <f>30.85</f>
        <v>30.85</v>
      </c>
      <c r="F304">
        <f>75</f>
        <v>75</v>
      </c>
      <c r="G304">
        <f>3.129</f>
        <v>3.129</v>
      </c>
    </row>
    <row r="305" spans="1:7" x14ac:dyDescent="0.25">
      <c r="A305" s="1">
        <v>44368</v>
      </c>
      <c r="B305">
        <f>3.146</f>
        <v>3.1459999999999999</v>
      </c>
      <c r="C305">
        <f>74.45</f>
        <v>74.45</v>
      </c>
      <c r="D305">
        <f>73.66</f>
        <v>73.66</v>
      </c>
      <c r="E305">
        <f>29.5</f>
        <v>29.5</v>
      </c>
      <c r="F305">
        <f>73.25</f>
        <v>73.25</v>
      </c>
      <c r="G305">
        <f>2.9896</f>
        <v>2.9895999999999998</v>
      </c>
    </row>
    <row r="306" spans="1:7" x14ac:dyDescent="0.25">
      <c r="A306" s="1">
        <v>44365</v>
      </c>
      <c r="B306">
        <f>3.175</f>
        <v>3.1749999999999998</v>
      </c>
      <c r="C306">
        <f>73.18</f>
        <v>73.180000000000007</v>
      </c>
      <c r="D306">
        <f>71.64</f>
        <v>71.64</v>
      </c>
      <c r="E306">
        <f>29.575</f>
        <v>29.574999999999999</v>
      </c>
      <c r="F306">
        <f>72.4</f>
        <v>72.400000000000006</v>
      </c>
      <c r="G306">
        <f>3.061</f>
        <v>3.0609999999999999</v>
      </c>
    </row>
    <row r="307" spans="1:7" x14ac:dyDescent="0.25">
      <c r="A307" s="1">
        <v>44364</v>
      </c>
      <c r="B307">
        <f>3.186</f>
        <v>3.1859999999999999</v>
      </c>
      <c r="C307">
        <f>73.06</f>
        <v>73.06</v>
      </c>
      <c r="D307">
        <f>71.04</f>
        <v>71.040000000000006</v>
      </c>
      <c r="E307">
        <f>28.75</f>
        <v>28.75</v>
      </c>
      <c r="F307">
        <f>69.8</f>
        <v>69.8</v>
      </c>
      <c r="G307">
        <f>3.1341</f>
        <v>3.1341000000000001</v>
      </c>
    </row>
    <row r="308" spans="1:7" x14ac:dyDescent="0.25">
      <c r="A308" s="1">
        <v>44363</v>
      </c>
      <c r="B308">
        <f>3.204</f>
        <v>3.2040000000000002</v>
      </c>
      <c r="C308">
        <f>73.64</f>
        <v>73.64</v>
      </c>
      <c r="D308">
        <f>72.15</f>
        <v>72.150000000000006</v>
      </c>
      <c r="E308">
        <f>27.85</f>
        <v>27.85</v>
      </c>
      <c r="F308">
        <f>68.75</f>
        <v>68.75</v>
      </c>
      <c r="G308">
        <f>3.0884</f>
        <v>3.0884</v>
      </c>
    </row>
    <row r="309" spans="1:7" x14ac:dyDescent="0.25">
      <c r="A309" s="1">
        <v>44362</v>
      </c>
      <c r="B309">
        <f>3.306</f>
        <v>3.306</v>
      </c>
      <c r="C309">
        <f>73.87</f>
        <v>73.87</v>
      </c>
      <c r="D309">
        <f>72.12</f>
        <v>72.12</v>
      </c>
      <c r="E309">
        <f>27.975</f>
        <v>27.975000000000001</v>
      </c>
      <c r="F309">
        <f>68.6</f>
        <v>68.599999999999994</v>
      </c>
      <c r="G309">
        <f>3.0331</f>
        <v>3.0331000000000001</v>
      </c>
    </row>
    <row r="310" spans="1:7" x14ac:dyDescent="0.25">
      <c r="A310" s="1">
        <v>44361</v>
      </c>
      <c r="B310">
        <f>3.316</f>
        <v>3.3159999999999998</v>
      </c>
      <c r="C310">
        <f>72.7</f>
        <v>72.7</v>
      </c>
      <c r="D310">
        <f>70.88</f>
        <v>70.88</v>
      </c>
      <c r="E310">
        <f>28.65</f>
        <v>28.65</v>
      </c>
      <c r="F310">
        <f>71</f>
        <v>71</v>
      </c>
      <c r="G310">
        <f>3.2</f>
        <v>3.2</v>
      </c>
    </row>
    <row r="311" spans="1:7" x14ac:dyDescent="0.25">
      <c r="A311" s="1">
        <v>44358</v>
      </c>
      <c r="B311">
        <f>3.237</f>
        <v>3.2370000000000001</v>
      </c>
      <c r="C311">
        <f>72.32</f>
        <v>72.319999999999993</v>
      </c>
      <c r="D311">
        <f>70.91</f>
        <v>70.91</v>
      </c>
      <c r="E311">
        <f>28</f>
        <v>28</v>
      </c>
      <c r="F311">
        <f>67.8</f>
        <v>67.8</v>
      </c>
      <c r="G311">
        <f>3.2053</f>
        <v>3.2052999999999998</v>
      </c>
    </row>
    <row r="312" spans="1:7" x14ac:dyDescent="0.25">
      <c r="A312" s="1">
        <v>44357</v>
      </c>
      <c r="B312">
        <f>3.107</f>
        <v>3.1070000000000002</v>
      </c>
      <c r="C312">
        <f>71.8</f>
        <v>71.8</v>
      </c>
      <c r="D312">
        <f>70.29</f>
        <v>70.290000000000006</v>
      </c>
      <c r="E312">
        <f>27.7</f>
        <v>27.7</v>
      </c>
      <c r="F312">
        <f>68.3</f>
        <v>68.3</v>
      </c>
      <c r="G312">
        <f>3.0396</f>
        <v>3.0396000000000001</v>
      </c>
    </row>
    <row r="313" spans="1:7" x14ac:dyDescent="0.25">
      <c r="A313" s="1">
        <v>44356</v>
      </c>
      <c r="B313">
        <f>3.106</f>
        <v>3.1059999999999999</v>
      </c>
      <c r="C313">
        <f>71.52</f>
        <v>71.52</v>
      </c>
      <c r="D313">
        <f>69.96</f>
        <v>69.959999999999994</v>
      </c>
      <c r="E313">
        <f>28.005</f>
        <v>28.004999999999999</v>
      </c>
      <c r="F313">
        <f>69.29</f>
        <v>69.290000000000006</v>
      </c>
      <c r="G313">
        <f>3.0486</f>
        <v>3.0486</v>
      </c>
    </row>
    <row r="314" spans="1:7" x14ac:dyDescent="0.25">
      <c r="A314" s="1">
        <v>44355</v>
      </c>
      <c r="B314">
        <f>3.112</f>
        <v>3.1120000000000001</v>
      </c>
      <c r="C314">
        <f>71.64</f>
        <v>71.64</v>
      </c>
      <c r="D314">
        <f>70.05</f>
        <v>70.05</v>
      </c>
      <c r="E314">
        <f>27.675</f>
        <v>27.675000000000001</v>
      </c>
      <c r="F314">
        <f>67.19</f>
        <v>67.19</v>
      </c>
      <c r="G314">
        <f>3.0575</f>
        <v>3.0575000000000001</v>
      </c>
    </row>
    <row r="315" spans="1:7" x14ac:dyDescent="0.25">
      <c r="A315" s="1">
        <v>44354</v>
      </c>
      <c r="B315">
        <f>2.986</f>
        <v>2.9860000000000002</v>
      </c>
      <c r="C315">
        <f>70.98</f>
        <v>70.98</v>
      </c>
      <c r="D315">
        <f>69.23</f>
        <v>69.23</v>
      </c>
      <c r="E315">
        <f>26.8</f>
        <v>26.8</v>
      </c>
      <c r="F315">
        <f>64.95</f>
        <v>64.95</v>
      </c>
      <c r="G315">
        <f>2.9739</f>
        <v>2.9739</v>
      </c>
    </row>
    <row r="316" spans="1:7" x14ac:dyDescent="0.25">
      <c r="A316" s="1">
        <v>44351</v>
      </c>
      <c r="B316">
        <f>2.965</f>
        <v>2.9649999999999999</v>
      </c>
      <c r="C316">
        <f>71.19</f>
        <v>71.19</v>
      </c>
      <c r="D316">
        <f>69.62</f>
        <v>69.62</v>
      </c>
      <c r="E316">
        <f>25.825</f>
        <v>25.824999999999999</v>
      </c>
      <c r="F316">
        <f>62.4</f>
        <v>62.4</v>
      </c>
      <c r="G316">
        <f>3.0239</f>
        <v>3.0238999999999998</v>
      </c>
    </row>
    <row r="317" spans="1:7" x14ac:dyDescent="0.25">
      <c r="A317" s="1">
        <v>44350</v>
      </c>
      <c r="B317">
        <f>3.013</f>
        <v>3.0129999999999999</v>
      </c>
      <c r="C317">
        <f>70.91</f>
        <v>70.91</v>
      </c>
      <c r="D317">
        <f>68.81</f>
        <v>68.81</v>
      </c>
      <c r="E317">
        <f>25.785</f>
        <v>25.785</v>
      </c>
      <c r="F317">
        <f>63</f>
        <v>63</v>
      </c>
      <c r="G317">
        <f>2.9816</f>
        <v>2.9815999999999998</v>
      </c>
    </row>
    <row r="318" spans="1:7" x14ac:dyDescent="0.25">
      <c r="A318" s="1">
        <v>44349</v>
      </c>
      <c r="B318">
        <f>3.036</f>
        <v>3.036</v>
      </c>
      <c r="C318">
        <f>70.8</f>
        <v>70.8</v>
      </c>
      <c r="D318">
        <f>68.83</f>
        <v>68.83</v>
      </c>
      <c r="E318">
        <f>25.75</f>
        <v>25.75</v>
      </c>
      <c r="F318">
        <f>62</f>
        <v>62</v>
      </c>
      <c r="G318">
        <f>2.9657</f>
        <v>2.9657</v>
      </c>
    </row>
    <row r="319" spans="1:7" x14ac:dyDescent="0.25">
      <c r="A319" s="1">
        <v>44348</v>
      </c>
      <c r="B319">
        <f>2.956</f>
        <v>2.956</v>
      </c>
      <c r="C319">
        <f>70.09</f>
        <v>70.09</v>
      </c>
      <c r="D319">
        <f>67.72</f>
        <v>67.72</v>
      </c>
      <c r="E319">
        <f>25.75</f>
        <v>25.75</v>
      </c>
      <c r="F319">
        <f>63.25</f>
        <v>63.25</v>
      </c>
      <c r="G319">
        <f>3.0211</f>
        <v>3.0211000000000001</v>
      </c>
    </row>
    <row r="320" spans="1:7" x14ac:dyDescent="0.25">
      <c r="A320" s="1">
        <v>44347</v>
      </c>
      <c r="B320" t="e">
        <f>NA()</f>
        <v>#N/A</v>
      </c>
      <c r="C320">
        <f>68.73</f>
        <v>68.73</v>
      </c>
      <c r="D320" t="e">
        <f>NA()</f>
        <v>#N/A</v>
      </c>
      <c r="E320">
        <f>25.5</f>
        <v>25.5</v>
      </c>
      <c r="F320" t="e">
        <f>NA()</f>
        <v>#N/A</v>
      </c>
      <c r="G320" t="e">
        <f>NA()</f>
        <v>#N/A</v>
      </c>
    </row>
    <row r="321" spans="1:7" x14ac:dyDescent="0.25">
      <c r="A321" s="1">
        <v>44344</v>
      </c>
      <c r="B321">
        <f>2.846</f>
        <v>2.8460000000000001</v>
      </c>
      <c r="C321">
        <f>68.43</f>
        <v>68.430000000000007</v>
      </c>
      <c r="D321">
        <f>66.32</f>
        <v>66.319999999999993</v>
      </c>
      <c r="E321">
        <f>25.075</f>
        <v>25.074999999999999</v>
      </c>
      <c r="F321">
        <f>60.8</f>
        <v>60.8</v>
      </c>
      <c r="G321">
        <f>2.9038</f>
        <v>2.9037999999999999</v>
      </c>
    </row>
    <row r="322" spans="1:7" x14ac:dyDescent="0.25">
      <c r="A322" s="1">
        <v>44343</v>
      </c>
      <c r="B322">
        <f>2.843</f>
        <v>2.843</v>
      </c>
      <c r="C322">
        <f>68.65</f>
        <v>68.650000000000006</v>
      </c>
      <c r="D322">
        <f>66.85</f>
        <v>66.849999999999994</v>
      </c>
      <c r="E322">
        <f>25.125</f>
        <v>25.125</v>
      </c>
      <c r="F322">
        <f>62.4</f>
        <v>62.4</v>
      </c>
      <c r="G322">
        <f>2.87</f>
        <v>2.87</v>
      </c>
    </row>
    <row r="323" spans="1:7" x14ac:dyDescent="0.25">
      <c r="A323" s="1">
        <v>44342</v>
      </c>
      <c r="B323">
        <f>2.885</f>
        <v>2.8849999999999998</v>
      </c>
      <c r="C323">
        <f>68.17</f>
        <v>68.17</v>
      </c>
      <c r="D323">
        <f>66.21</f>
        <v>66.209999999999994</v>
      </c>
      <c r="E323">
        <f>26</f>
        <v>26</v>
      </c>
      <c r="F323">
        <f>65.9</f>
        <v>65.900000000000006</v>
      </c>
      <c r="G323">
        <f>2.9767</f>
        <v>2.9767000000000001</v>
      </c>
    </row>
    <row r="324" spans="1:7" x14ac:dyDescent="0.25">
      <c r="A324" s="1">
        <v>44341</v>
      </c>
      <c r="B324">
        <f>2.845</f>
        <v>2.8450000000000002</v>
      </c>
      <c r="C324">
        <f>67.96</f>
        <v>67.959999999999994</v>
      </c>
      <c r="D324">
        <f>66.27</f>
        <v>66.27</v>
      </c>
      <c r="E324">
        <f>26.45</f>
        <v>26.45</v>
      </c>
      <c r="F324">
        <f>66.4</f>
        <v>66.400000000000006</v>
      </c>
      <c r="G324">
        <f>2.9059</f>
        <v>2.9058999999999999</v>
      </c>
    </row>
    <row r="325" spans="1:7" x14ac:dyDescent="0.25">
      <c r="A325" s="1">
        <v>44340</v>
      </c>
      <c r="B325">
        <f>2.786</f>
        <v>2.786</v>
      </c>
      <c r="C325">
        <f>67.9</f>
        <v>67.900000000000006</v>
      </c>
      <c r="D325">
        <f>66.2</f>
        <v>66.2</v>
      </c>
      <c r="E325">
        <f>24.675</f>
        <v>24.675000000000001</v>
      </c>
      <c r="F325">
        <f>62.45</f>
        <v>62.45</v>
      </c>
      <c r="G325">
        <f>2.8143</f>
        <v>2.8142999999999998</v>
      </c>
    </row>
    <row r="326" spans="1:7" x14ac:dyDescent="0.25">
      <c r="A326" s="1">
        <v>44337</v>
      </c>
      <c r="B326">
        <f>2.805</f>
        <v>2.8050000000000002</v>
      </c>
      <c r="C326">
        <f>66.38</f>
        <v>66.38</v>
      </c>
      <c r="D326">
        <f>63.7</f>
        <v>63.7</v>
      </c>
      <c r="E326">
        <f>24.775</f>
        <v>24.774999999999999</v>
      </c>
      <c r="F326">
        <f>62.5</f>
        <v>62.5</v>
      </c>
      <c r="G326">
        <f>2.8275</f>
        <v>2.8275000000000001</v>
      </c>
    </row>
    <row r="327" spans="1:7" x14ac:dyDescent="0.25">
      <c r="A327" s="1">
        <v>44336</v>
      </c>
      <c r="B327">
        <f>2.865</f>
        <v>2.8650000000000002</v>
      </c>
      <c r="C327">
        <f>64.49</f>
        <v>64.489999999999995</v>
      </c>
      <c r="D327">
        <f>62.05</f>
        <v>62.05</v>
      </c>
      <c r="E327">
        <f>24.53</f>
        <v>24.53</v>
      </c>
      <c r="F327">
        <f>62.4</f>
        <v>62.4</v>
      </c>
      <c r="G327">
        <f>2.87</f>
        <v>2.87</v>
      </c>
    </row>
    <row r="328" spans="1:7" x14ac:dyDescent="0.25">
      <c r="A328" s="1">
        <v>44335</v>
      </c>
      <c r="B328">
        <f>2.886</f>
        <v>2.8860000000000001</v>
      </c>
      <c r="C328">
        <f>66.42</f>
        <v>66.42</v>
      </c>
      <c r="D328">
        <f>63.36</f>
        <v>63.36</v>
      </c>
      <c r="E328">
        <f>22.725</f>
        <v>22.725000000000001</v>
      </c>
      <c r="F328">
        <f>58</f>
        <v>58</v>
      </c>
      <c r="G328">
        <f>2.8627</f>
        <v>2.8626999999999998</v>
      </c>
    </row>
    <row r="329" spans="1:7" x14ac:dyDescent="0.25">
      <c r="A329" s="1">
        <v>44334</v>
      </c>
      <c r="B329">
        <f>2.946</f>
        <v>2.9460000000000002</v>
      </c>
      <c r="C329">
        <f>68.31</f>
        <v>68.31</v>
      </c>
      <c r="D329">
        <f>65.49</f>
        <v>65.489999999999995</v>
      </c>
      <c r="E329">
        <f>24.51</f>
        <v>24.51</v>
      </c>
      <c r="F329">
        <f>63</f>
        <v>63</v>
      </c>
      <c r="G329">
        <f>2.8372</f>
        <v>2.8372000000000002</v>
      </c>
    </row>
    <row r="330" spans="1:7" x14ac:dyDescent="0.25">
      <c r="A330" s="1">
        <v>44333</v>
      </c>
      <c r="B330">
        <f>2.966</f>
        <v>2.9660000000000002</v>
      </c>
      <c r="C330">
        <f>69.57</f>
        <v>69.569999999999993</v>
      </c>
      <c r="D330">
        <f>66.27</f>
        <v>66.27</v>
      </c>
      <c r="E330">
        <f>25.6</f>
        <v>25.6</v>
      </c>
      <c r="F330">
        <f>66.6</f>
        <v>66.599999999999994</v>
      </c>
      <c r="G330">
        <f>3.0145</f>
        <v>3.0145</v>
      </c>
    </row>
    <row r="331" spans="1:7" x14ac:dyDescent="0.25">
      <c r="A331" s="1">
        <v>44330</v>
      </c>
      <c r="B331">
        <f>2.863</f>
        <v>2.863</v>
      </c>
      <c r="C331">
        <f>68.77</f>
        <v>68.77</v>
      </c>
      <c r="D331">
        <f>65.37</f>
        <v>65.37</v>
      </c>
      <c r="E331">
        <f>26.58</f>
        <v>26.58</v>
      </c>
      <c r="F331">
        <f>68.2</f>
        <v>68.2</v>
      </c>
      <c r="G331">
        <f>2.8678</f>
        <v>2.8677999999999999</v>
      </c>
    </row>
    <row r="332" spans="1:7" x14ac:dyDescent="0.25">
      <c r="A332" s="1">
        <v>44329</v>
      </c>
      <c r="B332">
        <f>2.876</f>
        <v>2.8759999999999999</v>
      </c>
      <c r="C332">
        <f>66.96</f>
        <v>66.959999999999994</v>
      </c>
      <c r="D332">
        <f>63.82</f>
        <v>63.82</v>
      </c>
      <c r="E332">
        <f>26.225</f>
        <v>26.225000000000001</v>
      </c>
      <c r="F332">
        <f>67.1</f>
        <v>67.099999999999994</v>
      </c>
      <c r="G332">
        <f>2.882</f>
        <v>2.8820000000000001</v>
      </c>
    </row>
    <row r="333" spans="1:7" x14ac:dyDescent="0.25">
      <c r="A333" s="1">
        <v>44328</v>
      </c>
      <c r="B333">
        <f>2.894</f>
        <v>2.8940000000000001</v>
      </c>
      <c r="C333">
        <f>68.96</f>
        <v>68.959999999999994</v>
      </c>
      <c r="D333">
        <f>66.08</f>
        <v>66.08</v>
      </c>
      <c r="E333">
        <f>25.975</f>
        <v>25.975000000000001</v>
      </c>
      <c r="F333">
        <f>66</f>
        <v>66</v>
      </c>
      <c r="G333">
        <f>2.8767</f>
        <v>2.8767</v>
      </c>
    </row>
    <row r="334" spans="1:7" x14ac:dyDescent="0.25">
      <c r="A334" s="1">
        <v>44327</v>
      </c>
      <c r="B334">
        <f>2.886</f>
        <v>2.8860000000000001</v>
      </c>
      <c r="C334">
        <f>68.56</f>
        <v>68.56</v>
      </c>
      <c r="D334">
        <f>65.28</f>
        <v>65.28</v>
      </c>
      <c r="E334">
        <f>26.025</f>
        <v>26.024999999999999</v>
      </c>
      <c r="F334">
        <f>65.5</f>
        <v>65.5</v>
      </c>
      <c r="G334">
        <f>2.8439</f>
        <v>2.8439000000000001</v>
      </c>
    </row>
    <row r="335" spans="1:7" x14ac:dyDescent="0.25">
      <c r="A335" s="1">
        <v>44326</v>
      </c>
      <c r="B335">
        <f>2.906</f>
        <v>2.9060000000000001</v>
      </c>
      <c r="C335">
        <f>68.19</f>
        <v>68.19</v>
      </c>
      <c r="D335">
        <f>64.92</f>
        <v>64.92</v>
      </c>
      <c r="E335">
        <f>24.75</f>
        <v>24.75</v>
      </c>
      <c r="F335">
        <f>63.85</f>
        <v>63.85</v>
      </c>
      <c r="G335">
        <f>2.7992</f>
        <v>2.7991999999999999</v>
      </c>
    </row>
    <row r="336" spans="1:7" x14ac:dyDescent="0.25">
      <c r="A336" s="1">
        <v>44323</v>
      </c>
      <c r="B336">
        <f>2.892</f>
        <v>2.8919999999999999</v>
      </c>
      <c r="C336">
        <f>68.26</f>
        <v>68.260000000000005</v>
      </c>
      <c r="D336">
        <f>64.9</f>
        <v>64.900000000000006</v>
      </c>
      <c r="E336">
        <f>24.1</f>
        <v>24.1</v>
      </c>
      <c r="F336">
        <f>61.5</f>
        <v>61.5</v>
      </c>
      <c r="G336">
        <f>2.8349</f>
        <v>2.8349000000000002</v>
      </c>
    </row>
    <row r="337" spans="1:7" x14ac:dyDescent="0.25">
      <c r="A337" s="1">
        <v>44322</v>
      </c>
      <c r="B337">
        <f>2.894</f>
        <v>2.8940000000000001</v>
      </c>
      <c r="C337">
        <f>68.27</f>
        <v>68.27</v>
      </c>
      <c r="D337">
        <f>64.71</f>
        <v>64.709999999999994</v>
      </c>
      <c r="E337">
        <f>24.3</f>
        <v>24.3</v>
      </c>
      <c r="F337">
        <f>62.25</f>
        <v>62.25</v>
      </c>
      <c r="G337">
        <f>2.7854</f>
        <v>2.7854000000000001</v>
      </c>
    </row>
    <row r="338" spans="1:7" x14ac:dyDescent="0.25">
      <c r="A338" s="1">
        <v>44321</v>
      </c>
      <c r="B338">
        <f>2.973</f>
        <v>2.9729999999999999</v>
      </c>
      <c r="C338">
        <f>68.83</f>
        <v>68.83</v>
      </c>
      <c r="D338">
        <f>65.63</f>
        <v>65.63</v>
      </c>
      <c r="E338">
        <f>23.9</f>
        <v>23.9</v>
      </c>
      <c r="F338">
        <f>61.55</f>
        <v>61.55</v>
      </c>
      <c r="G338">
        <f>2.7849</f>
        <v>2.7848999999999999</v>
      </c>
    </row>
    <row r="339" spans="1:7" x14ac:dyDescent="0.25">
      <c r="A339" s="1">
        <v>44320</v>
      </c>
      <c r="B339">
        <f>2.994</f>
        <v>2.9940000000000002</v>
      </c>
      <c r="C339">
        <f>69.46</f>
        <v>69.459999999999994</v>
      </c>
      <c r="D339">
        <f>65.69</f>
        <v>65.69</v>
      </c>
      <c r="E339">
        <f>23</f>
        <v>23</v>
      </c>
      <c r="F339">
        <f>59.85</f>
        <v>59.85</v>
      </c>
      <c r="G339">
        <f>2.8146</f>
        <v>2.8146</v>
      </c>
    </row>
    <row r="340" spans="1:7" x14ac:dyDescent="0.25">
      <c r="A340" s="1">
        <v>44319</v>
      </c>
      <c r="B340">
        <f>2.957</f>
        <v>2.9569999999999999</v>
      </c>
      <c r="C340">
        <f>67.64</f>
        <v>67.64</v>
      </c>
      <c r="D340">
        <f>64.49</f>
        <v>64.489999999999995</v>
      </c>
      <c r="E340" t="e">
        <f>NA()</f>
        <v>#N/A</v>
      </c>
      <c r="F340" t="e">
        <f>NA()</f>
        <v>#N/A</v>
      </c>
      <c r="G340">
        <f>2.802</f>
        <v>2.802</v>
      </c>
    </row>
    <row r="341" spans="1:7" x14ac:dyDescent="0.25">
      <c r="A341" s="1">
        <v>44316</v>
      </c>
      <c r="B341">
        <f>2.877</f>
        <v>2.8769999999999998</v>
      </c>
      <c r="C341">
        <f>66.53</f>
        <v>66.53</v>
      </c>
      <c r="D341">
        <f>63.58</f>
        <v>63.58</v>
      </c>
      <c r="E341">
        <f>23.38</f>
        <v>23.38</v>
      </c>
      <c r="F341">
        <f>60.2</f>
        <v>60.2</v>
      </c>
      <c r="G341">
        <f>2.7989</f>
        <v>2.7989000000000002</v>
      </c>
    </row>
    <row r="342" spans="1:7" x14ac:dyDescent="0.25">
      <c r="A342" s="1">
        <v>44315</v>
      </c>
      <c r="B342">
        <f>2.856</f>
        <v>2.8559999999999999</v>
      </c>
      <c r="C342">
        <f>67.99</f>
        <v>67.989999999999995</v>
      </c>
      <c r="D342">
        <f>65.01</f>
        <v>65.010000000000005</v>
      </c>
      <c r="E342">
        <f>22.35</f>
        <v>22.35</v>
      </c>
      <c r="F342">
        <f>57.55</f>
        <v>57.55</v>
      </c>
      <c r="G342">
        <f>2.7677</f>
        <v>2.7677</v>
      </c>
    </row>
    <row r="343" spans="1:7" x14ac:dyDescent="0.25">
      <c r="A343" s="1">
        <v>44314</v>
      </c>
      <c r="B343">
        <f>2.926</f>
        <v>2.9260000000000002</v>
      </c>
      <c r="C343">
        <f>66.47</f>
        <v>66.47</v>
      </c>
      <c r="D343">
        <f>63.86</f>
        <v>63.86</v>
      </c>
      <c r="E343">
        <f>21.775</f>
        <v>21.774999999999999</v>
      </c>
      <c r="F343">
        <f>55.12</f>
        <v>55.12</v>
      </c>
      <c r="G343">
        <f>2.7538</f>
        <v>2.7538</v>
      </c>
    </row>
    <row r="344" spans="1:7" x14ac:dyDescent="0.25">
      <c r="A344" s="1">
        <v>44313</v>
      </c>
      <c r="B344">
        <f>2.867</f>
        <v>2.867</v>
      </c>
      <c r="C344">
        <f>65.91</f>
        <v>65.91</v>
      </c>
      <c r="D344">
        <f>62.94</f>
        <v>62.94</v>
      </c>
      <c r="E344">
        <f>21.65</f>
        <v>21.65</v>
      </c>
      <c r="F344">
        <f>55</f>
        <v>55</v>
      </c>
      <c r="G344">
        <f>2.7594</f>
        <v>2.7593999999999999</v>
      </c>
    </row>
    <row r="345" spans="1:7" x14ac:dyDescent="0.25">
      <c r="A345" s="1">
        <v>44312</v>
      </c>
      <c r="B345">
        <f>2.696</f>
        <v>2.6960000000000002</v>
      </c>
      <c r="C345">
        <f>65.14</f>
        <v>65.14</v>
      </c>
      <c r="D345">
        <f>61.91</f>
        <v>61.91</v>
      </c>
      <c r="E345">
        <f>20.01</f>
        <v>20.010000000000002</v>
      </c>
      <c r="F345">
        <f>51.9</f>
        <v>51.9</v>
      </c>
      <c r="G345">
        <f>2.6864</f>
        <v>2.6863999999999999</v>
      </c>
    </row>
    <row r="346" spans="1:7" x14ac:dyDescent="0.25">
      <c r="A346" s="1">
        <v>44309</v>
      </c>
      <c r="B346">
        <f>2.726</f>
        <v>2.726</v>
      </c>
      <c r="C346">
        <f>65.42</f>
        <v>65.42</v>
      </c>
      <c r="D346">
        <f>62.18</f>
        <v>62.18</v>
      </c>
      <c r="E346">
        <f>20</f>
        <v>20</v>
      </c>
      <c r="F346">
        <f>50.15</f>
        <v>50.15</v>
      </c>
      <c r="G346">
        <f>2.6087</f>
        <v>2.6086999999999998</v>
      </c>
    </row>
    <row r="347" spans="1:7" x14ac:dyDescent="0.25">
      <c r="A347" s="1">
        <v>44308</v>
      </c>
      <c r="B347">
        <f>2.687</f>
        <v>2.6869999999999998</v>
      </c>
      <c r="C347">
        <f>65.09</f>
        <v>65.09</v>
      </c>
      <c r="D347">
        <f>61.46</f>
        <v>61.46</v>
      </c>
      <c r="E347">
        <f>21.175</f>
        <v>21.175000000000001</v>
      </c>
      <c r="F347">
        <f>53.77</f>
        <v>53.77</v>
      </c>
      <c r="G347">
        <f>2.6876</f>
        <v>2.6876000000000002</v>
      </c>
    </row>
    <row r="348" spans="1:7" x14ac:dyDescent="0.25">
      <c r="A348" s="1">
        <v>44307</v>
      </c>
      <c r="B348">
        <f>2.647</f>
        <v>2.6469999999999998</v>
      </c>
      <c r="C348">
        <f>64.54</f>
        <v>64.540000000000006</v>
      </c>
      <c r="D348">
        <f>61.35</f>
        <v>61.35</v>
      </c>
      <c r="E348">
        <f>21.25</f>
        <v>21.25</v>
      </c>
      <c r="F348">
        <f>53</f>
        <v>53</v>
      </c>
      <c r="G348">
        <f>2.5683</f>
        <v>2.5682999999999998</v>
      </c>
    </row>
    <row r="349" spans="1:7" x14ac:dyDescent="0.25">
      <c r="A349" s="1">
        <v>44306</v>
      </c>
      <c r="B349">
        <f>2.697</f>
        <v>2.6970000000000001</v>
      </c>
      <c r="C349">
        <f>65.9</f>
        <v>65.900000000000006</v>
      </c>
      <c r="D349">
        <f>62.44</f>
        <v>62.44</v>
      </c>
      <c r="E349">
        <f>21.075</f>
        <v>21.074999999999999</v>
      </c>
      <c r="F349">
        <f>52.79</f>
        <v>52.79</v>
      </c>
      <c r="G349">
        <f>2.6384</f>
        <v>2.6383999999999999</v>
      </c>
    </row>
    <row r="350" spans="1:7" x14ac:dyDescent="0.25">
      <c r="A350" s="1">
        <v>44305</v>
      </c>
      <c r="B350">
        <f>2.689</f>
        <v>2.6890000000000001</v>
      </c>
      <c r="C350">
        <f>66.94</f>
        <v>66.94</v>
      </c>
      <c r="D350">
        <f>63.38</f>
        <v>63.38</v>
      </c>
      <c r="E350">
        <f>20.76</f>
        <v>20.76</v>
      </c>
      <c r="F350">
        <f>52.5</f>
        <v>52.5</v>
      </c>
      <c r="G350">
        <f>2.6682</f>
        <v>2.6682000000000001</v>
      </c>
    </row>
    <row r="351" spans="1:7" x14ac:dyDescent="0.25">
      <c r="A351" s="1">
        <v>44302</v>
      </c>
      <c r="B351">
        <f>2.617</f>
        <v>2.617</v>
      </c>
      <c r="C351">
        <f>66.53</f>
        <v>66.53</v>
      </c>
      <c r="D351">
        <f>63.13</f>
        <v>63.13</v>
      </c>
      <c r="E351">
        <f>20.6</f>
        <v>20.6</v>
      </c>
      <c r="F351">
        <f>51.3</f>
        <v>51.3</v>
      </c>
      <c r="G351">
        <f>2.6053</f>
        <v>2.6053000000000002</v>
      </c>
    </row>
    <row r="352" spans="1:7" x14ac:dyDescent="0.25">
      <c r="A352" s="1">
        <v>44301</v>
      </c>
      <c r="B352">
        <f>2.576</f>
        <v>2.5760000000000001</v>
      </c>
      <c r="C352">
        <f>66.6</f>
        <v>66.599999999999994</v>
      </c>
      <c r="D352">
        <f>63.46</f>
        <v>63.46</v>
      </c>
      <c r="E352">
        <f>20.35</f>
        <v>20.350000000000001</v>
      </c>
      <c r="F352">
        <f>50.5</f>
        <v>50.5</v>
      </c>
      <c r="G352">
        <f>2.6233</f>
        <v>2.6233</v>
      </c>
    </row>
    <row r="353" spans="1:7" x14ac:dyDescent="0.25">
      <c r="A353" s="1">
        <v>44300</v>
      </c>
      <c r="B353">
        <f>2.597</f>
        <v>2.597</v>
      </c>
      <c r="C353">
        <f>66.08</f>
        <v>66.08</v>
      </c>
      <c r="D353">
        <f>63.15</f>
        <v>63.15</v>
      </c>
      <c r="E353">
        <f>19.75</f>
        <v>19.75</v>
      </c>
      <c r="F353">
        <f>48.9</f>
        <v>48.9</v>
      </c>
      <c r="G353">
        <f>2.5705</f>
        <v>2.5705</v>
      </c>
    </row>
    <row r="354" spans="1:7" x14ac:dyDescent="0.25">
      <c r="A354" s="1">
        <v>44299</v>
      </c>
      <c r="B354">
        <f>2.547</f>
        <v>2.5470000000000002</v>
      </c>
      <c r="C354">
        <f>63.64</f>
        <v>63.64</v>
      </c>
      <c r="D354">
        <f>60.18</f>
        <v>60.18</v>
      </c>
      <c r="E354">
        <f>19.53</f>
        <v>19.53</v>
      </c>
      <c r="F354">
        <f>49</f>
        <v>49</v>
      </c>
      <c r="G354">
        <f>2.5914</f>
        <v>2.5914000000000001</v>
      </c>
    </row>
    <row r="355" spans="1:7" x14ac:dyDescent="0.25">
      <c r="A355" s="1">
        <v>44298</v>
      </c>
      <c r="B355">
        <f>2.437</f>
        <v>2.4369999999999998</v>
      </c>
      <c r="C355">
        <f>62.72</f>
        <v>62.72</v>
      </c>
      <c r="D355">
        <f>59.7</f>
        <v>59.7</v>
      </c>
      <c r="E355">
        <f>19.725</f>
        <v>19.725000000000001</v>
      </c>
      <c r="F355">
        <f>49.35</f>
        <v>49.35</v>
      </c>
      <c r="G355">
        <f>2.5045</f>
        <v>2.5045000000000002</v>
      </c>
    </row>
    <row r="356" spans="1:7" x14ac:dyDescent="0.25">
      <c r="A356" s="1">
        <v>44295</v>
      </c>
      <c r="B356">
        <f>2.426</f>
        <v>2.4260000000000002</v>
      </c>
      <c r="C356">
        <f>62.63</f>
        <v>62.63</v>
      </c>
      <c r="D356">
        <f>59.32</f>
        <v>59.32</v>
      </c>
      <c r="E356">
        <f>19.05</f>
        <v>19.05</v>
      </c>
      <c r="F356">
        <f>47.05</f>
        <v>47.05</v>
      </c>
      <c r="G356">
        <f>2.4474</f>
        <v>2.4474</v>
      </c>
    </row>
    <row r="357" spans="1:7" x14ac:dyDescent="0.25">
      <c r="A357" s="1">
        <v>44294</v>
      </c>
      <c r="B357">
        <f>2.396</f>
        <v>2.3959999999999999</v>
      </c>
      <c r="C357">
        <f>62.86</f>
        <v>62.86</v>
      </c>
      <c r="D357">
        <f>59.6</f>
        <v>59.6</v>
      </c>
      <c r="E357">
        <f>19</f>
        <v>19</v>
      </c>
      <c r="F357">
        <f>47.2</f>
        <v>47.2</v>
      </c>
      <c r="G357">
        <f>2.4268</f>
        <v>2.4268000000000001</v>
      </c>
    </row>
    <row r="358" spans="1:7" x14ac:dyDescent="0.25">
      <c r="A358" s="1">
        <v>44293</v>
      </c>
      <c r="B358">
        <f>2.396</f>
        <v>2.3959999999999999</v>
      </c>
      <c r="C358">
        <f>62.43</f>
        <v>62.43</v>
      </c>
      <c r="D358">
        <f>59.77</f>
        <v>59.77</v>
      </c>
      <c r="E358">
        <f>19.275</f>
        <v>19.274999999999999</v>
      </c>
      <c r="F358">
        <f>48.1</f>
        <v>48.1</v>
      </c>
      <c r="G358">
        <f>2.4294</f>
        <v>2.4293999999999998</v>
      </c>
    </row>
    <row r="359" spans="1:7" x14ac:dyDescent="0.25">
      <c r="A359" s="1">
        <v>44292</v>
      </c>
      <c r="B359">
        <f>2.397</f>
        <v>2.3969999999999998</v>
      </c>
      <c r="C359">
        <f>61.81</f>
        <v>61.81</v>
      </c>
      <c r="D359">
        <f>59.33</f>
        <v>59.33</v>
      </c>
      <c r="E359">
        <f>19.675</f>
        <v>19.675000000000001</v>
      </c>
      <c r="F359">
        <f>49.025</f>
        <v>49.024999999999999</v>
      </c>
      <c r="G359">
        <f>2.3342</f>
        <v>2.3342000000000001</v>
      </c>
    </row>
    <row r="360" spans="1:7" x14ac:dyDescent="0.25">
      <c r="A360" s="1">
        <v>44291</v>
      </c>
      <c r="B360">
        <f>2.388</f>
        <v>2.3879999999999999</v>
      </c>
      <c r="C360">
        <f>61.43</f>
        <v>61.43</v>
      </c>
      <c r="D360">
        <f>58.65</f>
        <v>58.65</v>
      </c>
      <c r="E360" t="e">
        <f>NA()</f>
        <v>#N/A</v>
      </c>
      <c r="F360" t="e">
        <f>NA()</f>
        <v>#N/A</v>
      </c>
      <c r="G360">
        <f>2.3859</f>
        <v>2.3858999999999999</v>
      </c>
    </row>
    <row r="361" spans="1:7" x14ac:dyDescent="0.25">
      <c r="A361" s="1">
        <v>44288</v>
      </c>
      <c r="B361" t="e">
        <f>NA()</f>
        <v>#N/A</v>
      </c>
      <c r="C361">
        <f>64.21</f>
        <v>64.209999999999994</v>
      </c>
      <c r="D361" t="e">
        <f>NA()</f>
        <v>#N/A</v>
      </c>
      <c r="E361" t="e">
        <f>NA()</f>
        <v>#N/A</v>
      </c>
      <c r="F361" t="e">
        <f>NA()</f>
        <v>#N/A</v>
      </c>
      <c r="G361" t="e">
        <f>NA()</f>
        <v>#N/A</v>
      </c>
    </row>
    <row r="362" spans="1:7" x14ac:dyDescent="0.25">
      <c r="A362" s="1">
        <v>44287</v>
      </c>
      <c r="B362">
        <f>2.496</f>
        <v>2.496</v>
      </c>
      <c r="C362">
        <f>64.07</f>
        <v>64.069999999999993</v>
      </c>
      <c r="D362">
        <f>61.45</f>
        <v>61.45</v>
      </c>
      <c r="E362">
        <f>19.05</f>
        <v>19.05</v>
      </c>
      <c r="F362">
        <f>47</f>
        <v>47</v>
      </c>
      <c r="G362">
        <f>2.4949</f>
        <v>2.4948999999999999</v>
      </c>
    </row>
    <row r="363" spans="1:7" x14ac:dyDescent="0.25">
      <c r="A363" s="1">
        <v>44286</v>
      </c>
      <c r="B363">
        <f>2.496</f>
        <v>2.496</v>
      </c>
      <c r="C363">
        <f>62.41</f>
        <v>62.41</v>
      </c>
      <c r="D363">
        <f>59.16</f>
        <v>59.16</v>
      </c>
      <c r="E363">
        <f>19.1</f>
        <v>19.100000000000001</v>
      </c>
      <c r="F363">
        <f>49.1</f>
        <v>49.1</v>
      </c>
      <c r="G363">
        <f>2.4473</f>
        <v>2.4472999999999998</v>
      </c>
    </row>
    <row r="364" spans="1:7" x14ac:dyDescent="0.25">
      <c r="A364" s="1">
        <v>44285</v>
      </c>
      <c r="B364">
        <f>2.512</f>
        <v>2.512</v>
      </c>
      <c r="C364">
        <f>63.38</f>
        <v>63.38</v>
      </c>
      <c r="D364">
        <f>60.55</f>
        <v>60.55</v>
      </c>
      <c r="E364">
        <f>18.9</f>
        <v>18.899999999999999</v>
      </c>
      <c r="F364">
        <f>48.35</f>
        <v>48.35</v>
      </c>
      <c r="G364">
        <f>2.4851</f>
        <v>2.4851000000000001</v>
      </c>
    </row>
    <row r="365" spans="1:7" x14ac:dyDescent="0.25">
      <c r="A365" s="1">
        <v>44284</v>
      </c>
      <c r="B365">
        <f>2.504</f>
        <v>2.504</v>
      </c>
      <c r="C365">
        <f>64.4</f>
        <v>64.400000000000006</v>
      </c>
      <c r="D365">
        <f>61.56</f>
        <v>61.56</v>
      </c>
      <c r="E365">
        <f>18.36</f>
        <v>18.36</v>
      </c>
      <c r="F365">
        <f>46.75</f>
        <v>46.75</v>
      </c>
      <c r="G365">
        <f>2.5918</f>
        <v>2.5918000000000001</v>
      </c>
    </row>
    <row r="366" spans="1:7" x14ac:dyDescent="0.25">
      <c r="A366" s="1">
        <v>44281</v>
      </c>
      <c r="B366">
        <f>2.442</f>
        <v>2.4420000000000002</v>
      </c>
      <c r="C366">
        <f>63.69</f>
        <v>63.69</v>
      </c>
      <c r="D366">
        <f>60.97</f>
        <v>60.97</v>
      </c>
      <c r="E366">
        <f>18.74</f>
        <v>18.739999999999998</v>
      </c>
      <c r="F366">
        <f>48.5</f>
        <v>48.5</v>
      </c>
      <c r="G366" t="e">
        <f>NA()</f>
        <v>#N/A</v>
      </c>
    </row>
    <row r="367" spans="1:7" x14ac:dyDescent="0.25">
      <c r="A367" s="1">
        <v>44280</v>
      </c>
      <c r="B367">
        <f>2.468</f>
        <v>2.468</v>
      </c>
      <c r="C367">
        <f>61</f>
        <v>61</v>
      </c>
      <c r="D367">
        <f>58.49</f>
        <v>58.49</v>
      </c>
      <c r="E367">
        <f>18.275</f>
        <v>18.274999999999999</v>
      </c>
      <c r="F367">
        <f>47.25</f>
        <v>47.25</v>
      </c>
      <c r="G367">
        <f>2.5709</f>
        <v>2.5709</v>
      </c>
    </row>
    <row r="368" spans="1:7" x14ac:dyDescent="0.25">
      <c r="A368" s="1">
        <v>44279</v>
      </c>
      <c r="B368">
        <f>2.488</f>
        <v>2.488</v>
      </c>
      <c r="C368">
        <f>63.46</f>
        <v>63.46</v>
      </c>
      <c r="D368">
        <f>61.13</f>
        <v>61.13</v>
      </c>
      <c r="E368">
        <f>18.525</f>
        <v>18.524999999999999</v>
      </c>
      <c r="F368">
        <f>47.25</f>
        <v>47.25</v>
      </c>
      <c r="G368">
        <f>2.4894</f>
        <v>2.4893999999999998</v>
      </c>
    </row>
    <row r="369" spans="1:7" x14ac:dyDescent="0.25">
      <c r="A369" s="1">
        <v>44278</v>
      </c>
      <c r="B369">
        <f>2.503</f>
        <v>2.5030000000000001</v>
      </c>
      <c r="C369">
        <f>59.75</f>
        <v>59.75</v>
      </c>
      <c r="D369">
        <f>57.71</f>
        <v>57.71</v>
      </c>
      <c r="E369">
        <f>18.375</f>
        <v>18.375</v>
      </c>
      <c r="F369">
        <f>46.5</f>
        <v>46.5</v>
      </c>
      <c r="G369" t="e">
        <f>NA()</f>
        <v>#N/A</v>
      </c>
    </row>
    <row r="370" spans="1:7" x14ac:dyDescent="0.25">
      <c r="A370" s="1">
        <v>44277</v>
      </c>
      <c r="B370">
        <f>2.493</f>
        <v>2.4929999999999999</v>
      </c>
      <c r="C370">
        <f>63.69</f>
        <v>63.69</v>
      </c>
      <c r="D370">
        <f>61.55</f>
        <v>61.55</v>
      </c>
      <c r="E370">
        <f>18.1</f>
        <v>18.100000000000001</v>
      </c>
      <c r="F370">
        <f>45.85</f>
        <v>45.85</v>
      </c>
      <c r="G370">
        <f>2.5507</f>
        <v>2.5507</v>
      </c>
    </row>
    <row r="371" spans="1:7" x14ac:dyDescent="0.25">
      <c r="A371" s="1">
        <v>44274</v>
      </c>
      <c r="B371">
        <f>2.455</f>
        <v>2.4550000000000001</v>
      </c>
      <c r="C371">
        <f>64.12</f>
        <v>64.12</v>
      </c>
      <c r="D371">
        <f>61.42</f>
        <v>61.42</v>
      </c>
      <c r="E371">
        <f>17.43</f>
        <v>17.43</v>
      </c>
      <c r="F371">
        <f>43</f>
        <v>43</v>
      </c>
      <c r="G371">
        <f>2.5367</f>
        <v>2.5367000000000002</v>
      </c>
    </row>
    <row r="372" spans="1:7" x14ac:dyDescent="0.25">
      <c r="A372" s="1">
        <v>44273</v>
      </c>
      <c r="B372">
        <f>2.436</f>
        <v>2.4359999999999999</v>
      </c>
      <c r="C372">
        <f>62.72</f>
        <v>62.72</v>
      </c>
      <c r="D372">
        <f>60</f>
        <v>60</v>
      </c>
      <c r="E372">
        <f>17.45</f>
        <v>17.45</v>
      </c>
      <c r="F372">
        <f>43.6</f>
        <v>43.6</v>
      </c>
      <c r="G372">
        <f>2.4293</f>
        <v>2.4293</v>
      </c>
    </row>
    <row r="373" spans="1:7" x14ac:dyDescent="0.25">
      <c r="A373" s="1">
        <v>44272</v>
      </c>
      <c r="B373">
        <f>2.505</f>
        <v>2.5049999999999999</v>
      </c>
      <c r="C373">
        <f>67.55</f>
        <v>67.55</v>
      </c>
      <c r="D373">
        <f>64.6</f>
        <v>64.599999999999994</v>
      </c>
      <c r="E373">
        <f>18.145</f>
        <v>18.145</v>
      </c>
      <c r="F373">
        <f>45.35</f>
        <v>45.35</v>
      </c>
      <c r="G373">
        <f>2.4473</f>
        <v>2.4472999999999998</v>
      </c>
    </row>
    <row r="374" spans="1:7" x14ac:dyDescent="0.25">
      <c r="A374" s="1">
        <v>44271</v>
      </c>
      <c r="B374">
        <f>2.496</f>
        <v>2.496</v>
      </c>
      <c r="C374">
        <f>68.17</f>
        <v>68.17</v>
      </c>
      <c r="D374">
        <f>64.8</f>
        <v>64.8</v>
      </c>
      <c r="E374">
        <f>17.25</f>
        <v>17.25</v>
      </c>
      <c r="F374">
        <f>43.5</f>
        <v>43.5</v>
      </c>
      <c r="G374">
        <f>2.508</f>
        <v>2.508</v>
      </c>
    </row>
    <row r="375" spans="1:7" x14ac:dyDescent="0.25">
      <c r="A375" s="1">
        <v>44270</v>
      </c>
      <c r="B375">
        <f>2.526</f>
        <v>2.5259999999999998</v>
      </c>
      <c r="C375">
        <f>68.39</f>
        <v>68.39</v>
      </c>
      <c r="D375">
        <f>65.39</f>
        <v>65.39</v>
      </c>
      <c r="E375">
        <f>17.85</f>
        <v>17.850000000000001</v>
      </c>
      <c r="F375">
        <f>45.15</f>
        <v>45.15</v>
      </c>
      <c r="G375">
        <f>2.3998</f>
        <v>2.3997999999999999</v>
      </c>
    </row>
    <row r="376" spans="1:7" x14ac:dyDescent="0.25">
      <c r="A376" s="1">
        <v>44267</v>
      </c>
      <c r="B376">
        <f>2.576</f>
        <v>2.5760000000000001</v>
      </c>
      <c r="C376">
        <f>68.87</f>
        <v>68.87</v>
      </c>
      <c r="D376">
        <f>65.61</f>
        <v>65.61</v>
      </c>
      <c r="E376">
        <f>18.4</f>
        <v>18.399999999999999</v>
      </c>
      <c r="F376">
        <f>47.2</f>
        <v>47.2</v>
      </c>
      <c r="G376">
        <f>2.5072</f>
        <v>2.5072000000000001</v>
      </c>
    </row>
    <row r="377" spans="1:7" x14ac:dyDescent="0.25">
      <c r="A377" s="1">
        <v>44266</v>
      </c>
      <c r="B377">
        <f>2.601</f>
        <v>2.601</v>
      </c>
      <c r="C377">
        <f>69.35</f>
        <v>69.349999999999994</v>
      </c>
      <c r="D377">
        <f>66.02</f>
        <v>66.02</v>
      </c>
      <c r="E377">
        <f>18.05</f>
        <v>18.05</v>
      </c>
      <c r="F377">
        <f>46.38</f>
        <v>46.38</v>
      </c>
      <c r="G377">
        <f>2.5747</f>
        <v>2.5747</v>
      </c>
    </row>
    <row r="378" spans="1:7" x14ac:dyDescent="0.25">
      <c r="A378" s="1">
        <v>44265</v>
      </c>
      <c r="B378">
        <f>2.587</f>
        <v>2.5870000000000002</v>
      </c>
      <c r="C378">
        <f>67.87</f>
        <v>67.87</v>
      </c>
      <c r="D378">
        <f>64.44</f>
        <v>64.44</v>
      </c>
      <c r="E378">
        <f>17.675</f>
        <v>17.675000000000001</v>
      </c>
      <c r="F378">
        <f>45</f>
        <v>45</v>
      </c>
      <c r="G378">
        <f>2.6223</f>
        <v>2.6223000000000001</v>
      </c>
    </row>
    <row r="379" spans="1:7" x14ac:dyDescent="0.25">
      <c r="A379" s="1">
        <v>44264</v>
      </c>
      <c r="B379">
        <f>2.552</f>
        <v>2.552</v>
      </c>
      <c r="C379">
        <f>66.92</f>
        <v>66.92</v>
      </c>
      <c r="D379">
        <f>64.01</f>
        <v>64.010000000000005</v>
      </c>
      <c r="E379">
        <f>17.05</f>
        <v>17.05</v>
      </c>
      <c r="F379">
        <f>42.9</f>
        <v>42.9</v>
      </c>
      <c r="G379">
        <f>2.5611</f>
        <v>2.5611000000000002</v>
      </c>
    </row>
    <row r="380" spans="1:7" x14ac:dyDescent="0.25">
      <c r="A380" s="1">
        <v>44263</v>
      </c>
      <c r="B380">
        <f>2.536</f>
        <v>2.536</v>
      </c>
      <c r="C380">
        <f>67.83</f>
        <v>67.83</v>
      </c>
      <c r="D380">
        <f>65.05</f>
        <v>65.05</v>
      </c>
      <c r="E380">
        <f>16.3</f>
        <v>16.3</v>
      </c>
      <c r="F380">
        <f>40.375</f>
        <v>40.375</v>
      </c>
      <c r="G380">
        <f>2.5726</f>
        <v>2.5726</v>
      </c>
    </row>
    <row r="381" spans="1:7" x14ac:dyDescent="0.25">
      <c r="A381" s="1">
        <v>44260</v>
      </c>
      <c r="B381">
        <f>2.675</f>
        <v>2.6749999999999998</v>
      </c>
      <c r="C381">
        <f>69.39</f>
        <v>69.39</v>
      </c>
      <c r="D381">
        <f>66.09</f>
        <v>66.09</v>
      </c>
      <c r="E381">
        <f>16.4</f>
        <v>16.399999999999999</v>
      </c>
      <c r="F381">
        <f>41.4</f>
        <v>41.4</v>
      </c>
      <c r="G381">
        <f>2.6168</f>
        <v>2.6168</v>
      </c>
    </row>
    <row r="382" spans="1:7" x14ac:dyDescent="0.25">
      <c r="A382" s="1">
        <v>44259</v>
      </c>
      <c r="B382">
        <f>2.764</f>
        <v>2.7639999999999998</v>
      </c>
      <c r="C382">
        <f>66.94</f>
        <v>66.94</v>
      </c>
      <c r="D382">
        <f>63.83</f>
        <v>63.83</v>
      </c>
      <c r="E382">
        <f>15.89</f>
        <v>15.89</v>
      </c>
      <c r="F382">
        <f>39.85</f>
        <v>39.85</v>
      </c>
      <c r="G382">
        <f>2.66</f>
        <v>2.66</v>
      </c>
    </row>
    <row r="383" spans="1:7" x14ac:dyDescent="0.25">
      <c r="A383" s="1">
        <v>44258</v>
      </c>
      <c r="B383">
        <f>2.832</f>
        <v>2.8319999999999999</v>
      </c>
      <c r="C383">
        <f>63.66</f>
        <v>63.66</v>
      </c>
      <c r="D383">
        <f>61.28</f>
        <v>61.28</v>
      </c>
      <c r="E383">
        <f>15.58</f>
        <v>15.58</v>
      </c>
      <c r="F383">
        <f>38.73</f>
        <v>38.729999999999997</v>
      </c>
      <c r="G383">
        <f>2.7392</f>
        <v>2.7391999999999999</v>
      </c>
    </row>
    <row r="384" spans="1:7" x14ac:dyDescent="0.25">
      <c r="A384" s="1">
        <v>44257</v>
      </c>
      <c r="B384">
        <f>2.836</f>
        <v>2.8359999999999999</v>
      </c>
      <c r="C384">
        <f>62.33</f>
        <v>62.33</v>
      </c>
      <c r="D384">
        <f>59.75</f>
        <v>59.75</v>
      </c>
      <c r="E384">
        <f>15.775</f>
        <v>15.775</v>
      </c>
      <c r="F384">
        <f>40.25</f>
        <v>40.25</v>
      </c>
      <c r="G384">
        <f>2.8143</f>
        <v>2.8142999999999998</v>
      </c>
    </row>
    <row r="385" spans="1:7" x14ac:dyDescent="0.25">
      <c r="A385" s="1">
        <v>44256</v>
      </c>
      <c r="B385">
        <f>2.705</f>
        <v>2.7050000000000001</v>
      </c>
      <c r="C385">
        <f>63.41</f>
        <v>63.41</v>
      </c>
      <c r="D385">
        <f>60.64</f>
        <v>60.64</v>
      </c>
      <c r="E385">
        <f>16.075</f>
        <v>16.074999999999999</v>
      </c>
      <c r="F385">
        <f>40.9</f>
        <v>40.9</v>
      </c>
      <c r="G385">
        <f>2.7325</f>
        <v>2.7324999999999999</v>
      </c>
    </row>
    <row r="386" spans="1:7" x14ac:dyDescent="0.25">
      <c r="A386" s="1">
        <v>44253</v>
      </c>
      <c r="B386">
        <f>2.637</f>
        <v>2.637</v>
      </c>
      <c r="C386">
        <f>64.43</f>
        <v>64.430000000000007</v>
      </c>
      <c r="D386">
        <f>61.5</f>
        <v>61.5</v>
      </c>
      <c r="E386">
        <f>15.9</f>
        <v>15.9</v>
      </c>
      <c r="F386">
        <f>40.4</f>
        <v>40.4</v>
      </c>
      <c r="G386">
        <f>2.6873</f>
        <v>2.6873</v>
      </c>
    </row>
    <row r="387" spans="1:7" x14ac:dyDescent="0.25">
      <c r="A387" s="1">
        <v>44252</v>
      </c>
      <c r="B387">
        <f>2.761</f>
        <v>2.7610000000000001</v>
      </c>
      <c r="C387">
        <f>66.05</f>
        <v>66.05</v>
      </c>
      <c r="D387">
        <f>63.57</f>
        <v>63.57</v>
      </c>
      <c r="E387">
        <f>15.8</f>
        <v>15.8</v>
      </c>
      <c r="F387">
        <f>40.27</f>
        <v>40.270000000000003</v>
      </c>
      <c r="G387">
        <f>2.6143</f>
        <v>2.6143000000000001</v>
      </c>
    </row>
    <row r="388" spans="1:7" x14ac:dyDescent="0.25">
      <c r="A388" s="1">
        <v>44251</v>
      </c>
      <c r="B388">
        <f>2.745</f>
        <v>2.7450000000000001</v>
      </c>
      <c r="C388">
        <f>66.39</f>
        <v>66.39</v>
      </c>
      <c r="D388">
        <f>63.18</f>
        <v>63.18</v>
      </c>
      <c r="E388">
        <f>16.26</f>
        <v>16.260000000000002</v>
      </c>
      <c r="F388">
        <f>41.16</f>
        <v>41.16</v>
      </c>
      <c r="G388">
        <f>2.9457</f>
        <v>2.9457</v>
      </c>
    </row>
    <row r="389" spans="1:7" x14ac:dyDescent="0.25">
      <c r="A389" s="1">
        <v>44250</v>
      </c>
      <c r="B389">
        <f>2.805</f>
        <v>2.8050000000000002</v>
      </c>
      <c r="C389">
        <f>64.07</f>
        <v>64.069999999999993</v>
      </c>
      <c r="D389">
        <f>61.62</f>
        <v>61.62</v>
      </c>
      <c r="E389">
        <f>16.4</f>
        <v>16.399999999999999</v>
      </c>
      <c r="F389">
        <f>40.8</f>
        <v>40.799999999999997</v>
      </c>
      <c r="G389">
        <f>2.9822</f>
        <v>2.9822000000000002</v>
      </c>
    </row>
    <row r="390" spans="1:7" x14ac:dyDescent="0.25">
      <c r="A390" s="1">
        <v>44249</v>
      </c>
      <c r="B390">
        <f>2.83</f>
        <v>2.83</v>
      </c>
      <c r="C390">
        <f>64.69</f>
        <v>64.69</v>
      </c>
      <c r="D390">
        <f>61.49</f>
        <v>61.49</v>
      </c>
      <c r="E390">
        <f>15.91</f>
        <v>15.91</v>
      </c>
      <c r="F390">
        <f>39.9</f>
        <v>39.9</v>
      </c>
      <c r="G390">
        <f>2.9587</f>
        <v>2.9586999999999999</v>
      </c>
    </row>
    <row r="391" spans="1:7" x14ac:dyDescent="0.25">
      <c r="A391" s="1">
        <v>44246</v>
      </c>
      <c r="B391">
        <f>4.87</f>
        <v>4.87</v>
      </c>
      <c r="C391">
        <f>62.11</f>
        <v>62.11</v>
      </c>
      <c r="D391">
        <f>59.24</f>
        <v>59.24</v>
      </c>
      <c r="E391">
        <f>16.45</f>
        <v>16.45</v>
      </c>
      <c r="F391">
        <f>42.1</f>
        <v>42.1</v>
      </c>
      <c r="G391">
        <f>3.074</f>
        <v>3.0739999999999998</v>
      </c>
    </row>
    <row r="392" spans="1:7" x14ac:dyDescent="0.25">
      <c r="A392" s="1">
        <v>44245</v>
      </c>
      <c r="B392">
        <f>6.605</f>
        <v>6.6050000000000004</v>
      </c>
      <c r="C392">
        <f>63.4</f>
        <v>63.4</v>
      </c>
      <c r="D392">
        <f>60.52</f>
        <v>60.52</v>
      </c>
      <c r="E392">
        <f>17.3</f>
        <v>17.3</v>
      </c>
      <c r="F392">
        <f>44.5</f>
        <v>44.5</v>
      </c>
      <c r="G392">
        <f>2.9992</f>
        <v>2.9992000000000001</v>
      </c>
    </row>
    <row r="393" spans="1:7" x14ac:dyDescent="0.25">
      <c r="A393" s="1">
        <v>44244</v>
      </c>
      <c r="B393">
        <f>15.649</f>
        <v>15.648999999999999</v>
      </c>
      <c r="C393">
        <f>64.67</f>
        <v>64.67</v>
      </c>
      <c r="D393">
        <f>61.14</f>
        <v>61.14</v>
      </c>
      <c r="E393">
        <f>16.53</f>
        <v>16.53</v>
      </c>
      <c r="F393">
        <f>41.9</f>
        <v>41.9</v>
      </c>
      <c r="G393">
        <f>3.3207</f>
        <v>3.3207</v>
      </c>
    </row>
    <row r="394" spans="1:7" x14ac:dyDescent="0.25">
      <c r="A394" s="1">
        <v>44243</v>
      </c>
      <c r="B394">
        <f>15.834</f>
        <v>15.834</v>
      </c>
      <c r="C394">
        <f>63.43</f>
        <v>63.43</v>
      </c>
      <c r="D394">
        <f>60.05</f>
        <v>60.05</v>
      </c>
      <c r="E394">
        <f>16.85</f>
        <v>16.850000000000001</v>
      </c>
      <c r="F394">
        <f>43.5</f>
        <v>43.5</v>
      </c>
      <c r="G394">
        <f>3.2649</f>
        <v>3.2648999999999999</v>
      </c>
    </row>
    <row r="395" spans="1:7" x14ac:dyDescent="0.25">
      <c r="A395" s="1">
        <v>44242</v>
      </c>
      <c r="B395" t="e">
        <f>NA()</f>
        <v>#N/A</v>
      </c>
      <c r="C395">
        <f>63.44</f>
        <v>63.44</v>
      </c>
      <c r="D395" t="e">
        <f>NA()</f>
        <v>#N/A</v>
      </c>
      <c r="E395">
        <f>16.35</f>
        <v>16.350000000000001</v>
      </c>
      <c r="F395">
        <f>42.6</f>
        <v>42.6</v>
      </c>
      <c r="G395">
        <f>3.1402</f>
        <v>3.1402000000000001</v>
      </c>
    </row>
    <row r="396" spans="1:7" x14ac:dyDescent="0.25">
      <c r="A396" s="1">
        <v>44239</v>
      </c>
      <c r="B396">
        <f>6.608</f>
        <v>6.6079999999999997</v>
      </c>
      <c r="C396">
        <f>62.85</f>
        <v>62.85</v>
      </c>
      <c r="D396">
        <f>59.47</f>
        <v>59.47</v>
      </c>
      <c r="E396">
        <f>17.8</f>
        <v>17.8</v>
      </c>
      <c r="F396">
        <f>45.3</f>
        <v>45.3</v>
      </c>
      <c r="G396">
        <f>3.0569</f>
        <v>3.0569000000000002</v>
      </c>
    </row>
    <row r="397" spans="1:7" x14ac:dyDescent="0.25">
      <c r="A397" s="1">
        <v>44238</v>
      </c>
      <c r="B397">
        <f>6.845</f>
        <v>6.8449999999999998</v>
      </c>
      <c r="C397">
        <f>60.97</f>
        <v>60.97</v>
      </c>
      <c r="D397">
        <f>58.24</f>
        <v>58.24</v>
      </c>
      <c r="E397">
        <f>17.63</f>
        <v>17.63</v>
      </c>
      <c r="F397">
        <f>44.45</f>
        <v>44.45</v>
      </c>
      <c r="G397">
        <f>2.9787</f>
        <v>2.9786999999999999</v>
      </c>
    </row>
    <row r="398" spans="1:7" x14ac:dyDescent="0.25">
      <c r="A398" s="1">
        <v>44237</v>
      </c>
      <c r="B398">
        <f>3.812</f>
        <v>3.8119999999999998</v>
      </c>
      <c r="C398">
        <f>61.11</f>
        <v>61.11</v>
      </c>
      <c r="D398">
        <f>58.68</f>
        <v>58.68</v>
      </c>
      <c r="E398">
        <f>18.3</f>
        <v>18.3</v>
      </c>
      <c r="F398">
        <f>48.05</f>
        <v>48.05</v>
      </c>
      <c r="G398">
        <f>3.1267</f>
        <v>3.1267</v>
      </c>
    </row>
    <row r="399" spans="1:7" x14ac:dyDescent="0.25">
      <c r="A399" s="1">
        <v>44236</v>
      </c>
      <c r="B399">
        <f>3.243</f>
        <v>3.2429999999999999</v>
      </c>
      <c r="C399">
        <f>61.16</f>
        <v>61.16</v>
      </c>
      <c r="D399">
        <f>58.4</f>
        <v>58.4</v>
      </c>
      <c r="E399">
        <f>19.3</f>
        <v>19.3</v>
      </c>
      <c r="F399">
        <f>50</f>
        <v>50</v>
      </c>
      <c r="G399">
        <f>2.9254</f>
        <v>2.9253999999999998</v>
      </c>
    </row>
    <row r="400" spans="1:7" x14ac:dyDescent="0.25">
      <c r="A400" s="1">
        <v>44235</v>
      </c>
      <c r="B400">
        <f>3.29</f>
        <v>3.29</v>
      </c>
      <c r="C400">
        <f>60.37</f>
        <v>60.37</v>
      </c>
      <c r="D400">
        <f>57.97</f>
        <v>57.97</v>
      </c>
      <c r="E400">
        <f>19.725</f>
        <v>19.725000000000001</v>
      </c>
      <c r="F400">
        <f>52</f>
        <v>52</v>
      </c>
      <c r="G400">
        <f>2.9977</f>
        <v>2.9977</v>
      </c>
    </row>
    <row r="401" spans="1:7" x14ac:dyDescent="0.25">
      <c r="A401" s="1">
        <v>44232</v>
      </c>
      <c r="B401">
        <f>3.396</f>
        <v>3.3959999999999999</v>
      </c>
      <c r="C401">
        <f>59.34</f>
        <v>59.34</v>
      </c>
      <c r="D401">
        <f>56.85</f>
        <v>56.85</v>
      </c>
      <c r="E401">
        <f>18.375</f>
        <v>18.375</v>
      </c>
      <c r="F401">
        <f>48.75</f>
        <v>48.75</v>
      </c>
      <c r="G401">
        <f>2.9888</f>
        <v>2.9887999999999999</v>
      </c>
    </row>
    <row r="402" spans="1:7" x14ac:dyDescent="0.25">
      <c r="A402" s="1">
        <v>44231</v>
      </c>
      <c r="B402">
        <f>2.956</f>
        <v>2.956</v>
      </c>
      <c r="C402">
        <f>58.76</f>
        <v>58.76</v>
      </c>
      <c r="D402">
        <f>56.23</f>
        <v>56.23</v>
      </c>
      <c r="E402">
        <f>18</f>
        <v>18</v>
      </c>
      <c r="F402">
        <f>47.2</f>
        <v>47.2</v>
      </c>
      <c r="G402">
        <f>3.1385</f>
        <v>3.1385000000000001</v>
      </c>
    </row>
    <row r="403" spans="1:7" x14ac:dyDescent="0.25">
      <c r="A403" s="1">
        <v>44230</v>
      </c>
      <c r="B403">
        <f>2.929</f>
        <v>2.9289999999999998</v>
      </c>
      <c r="C403">
        <f>58.46</f>
        <v>58.46</v>
      </c>
      <c r="D403">
        <f>55.69</f>
        <v>55.69</v>
      </c>
      <c r="E403">
        <f>17.6</f>
        <v>17.600000000000001</v>
      </c>
      <c r="F403">
        <f>47.15</f>
        <v>47.15</v>
      </c>
      <c r="G403">
        <f>2.8477</f>
        <v>2.8477000000000001</v>
      </c>
    </row>
    <row r="404" spans="1:7" x14ac:dyDescent="0.25">
      <c r="A404" s="1">
        <v>44229</v>
      </c>
      <c r="B404">
        <f>3.142</f>
        <v>3.1419999999999999</v>
      </c>
      <c r="C404">
        <f>57.48</f>
        <v>57.48</v>
      </c>
      <c r="D404">
        <f>54.76</f>
        <v>54.76</v>
      </c>
      <c r="E404">
        <f>18.225</f>
        <v>18.225000000000001</v>
      </c>
      <c r="F404">
        <f>48.25</f>
        <v>48.25</v>
      </c>
      <c r="G404">
        <f>2.9318</f>
        <v>2.9318</v>
      </c>
    </row>
    <row r="405" spans="1:7" x14ac:dyDescent="0.25">
      <c r="A405" s="1">
        <v>44228</v>
      </c>
      <c r="B405">
        <f>2.856</f>
        <v>2.8559999999999999</v>
      </c>
      <c r="C405">
        <f>56.09</f>
        <v>56.09</v>
      </c>
      <c r="D405">
        <f>53.55</f>
        <v>53.55</v>
      </c>
      <c r="E405">
        <f>17.75</f>
        <v>17.75</v>
      </c>
      <c r="F405">
        <f>47.875</f>
        <v>47.875</v>
      </c>
      <c r="G405">
        <f>2.9464</f>
        <v>2.9464000000000001</v>
      </c>
    </row>
    <row r="406" spans="1:7" x14ac:dyDescent="0.25">
      <c r="A406" s="1">
        <v>44225</v>
      </c>
      <c r="B406">
        <f>2.73</f>
        <v>2.73</v>
      </c>
      <c r="C406">
        <f>54.85</f>
        <v>54.85</v>
      </c>
      <c r="D406">
        <f>52.2</f>
        <v>52.2</v>
      </c>
      <c r="E406">
        <f>20.05</f>
        <v>20.05</v>
      </c>
      <c r="F406">
        <f>55.2</f>
        <v>55.2</v>
      </c>
      <c r="G406">
        <f>2.5911</f>
        <v>2.5911</v>
      </c>
    </row>
    <row r="407" spans="1:7" x14ac:dyDescent="0.25">
      <c r="A407" s="1">
        <v>44224</v>
      </c>
      <c r="B407">
        <f>2.646</f>
        <v>2.6459999999999999</v>
      </c>
      <c r="C407">
        <f>54.77</f>
        <v>54.77</v>
      </c>
      <c r="D407">
        <f>52.34</f>
        <v>52.34</v>
      </c>
      <c r="E407">
        <f>21.15</f>
        <v>21.15</v>
      </c>
      <c r="F407">
        <f>58.5</f>
        <v>58.5</v>
      </c>
      <c r="G407">
        <f>2.7125</f>
        <v>2.7124999999999999</v>
      </c>
    </row>
    <row r="408" spans="1:7" x14ac:dyDescent="0.25">
      <c r="A408" s="1">
        <v>44223</v>
      </c>
      <c r="B408">
        <f>2.73</f>
        <v>2.73</v>
      </c>
      <c r="C408">
        <f>54.95</f>
        <v>54.95</v>
      </c>
      <c r="D408">
        <f>52.85</f>
        <v>52.85</v>
      </c>
      <c r="E408">
        <f>19.9</f>
        <v>19.899999999999999</v>
      </c>
      <c r="F408">
        <f>54</f>
        <v>54</v>
      </c>
      <c r="G408">
        <f>2.8724</f>
        <v>2.8723999999999998</v>
      </c>
    </row>
    <row r="409" spans="1:7" x14ac:dyDescent="0.25">
      <c r="A409" s="1">
        <v>44222</v>
      </c>
      <c r="B409">
        <f>2.673</f>
        <v>2.673</v>
      </c>
      <c r="C409">
        <f>55.53</f>
        <v>55.53</v>
      </c>
      <c r="D409">
        <f>52.61</f>
        <v>52.61</v>
      </c>
      <c r="E409">
        <f>19.75</f>
        <v>19.75</v>
      </c>
      <c r="F409">
        <f>55.4</f>
        <v>55.4</v>
      </c>
      <c r="G409">
        <f>2.8394</f>
        <v>2.8393999999999999</v>
      </c>
    </row>
    <row r="410" spans="1:7" x14ac:dyDescent="0.25">
      <c r="A410" s="1">
        <v>44221</v>
      </c>
      <c r="B410">
        <f>2.571</f>
        <v>2.5710000000000002</v>
      </c>
      <c r="C410">
        <f>55.46</f>
        <v>55.46</v>
      </c>
      <c r="D410">
        <f>52.75</f>
        <v>52.75</v>
      </c>
      <c r="E410">
        <f>20.25</f>
        <v>20.25</v>
      </c>
      <c r="F410">
        <f>56.8</f>
        <v>56.8</v>
      </c>
      <c r="G410">
        <f>2.8838</f>
        <v>2.8837999999999999</v>
      </c>
    </row>
    <row r="411" spans="1:7" x14ac:dyDescent="0.25">
      <c r="A411" s="1">
        <v>44218</v>
      </c>
      <c r="B411">
        <f>2.415</f>
        <v>2.415</v>
      </c>
      <c r="C411">
        <f>54.76</f>
        <v>54.76</v>
      </c>
      <c r="D411">
        <f>52.25</f>
        <v>52.25</v>
      </c>
      <c r="E411">
        <f>21.5</f>
        <v>21.5</v>
      </c>
      <c r="F411">
        <f>60.3</f>
        <v>60.3</v>
      </c>
      <c r="G411">
        <f>2.6602</f>
        <v>2.6602000000000001</v>
      </c>
    </row>
    <row r="412" spans="1:7" x14ac:dyDescent="0.25">
      <c r="A412" s="1">
        <v>44217</v>
      </c>
      <c r="B412">
        <f>2.499</f>
        <v>2.4990000000000001</v>
      </c>
      <c r="C412">
        <f>55.79</f>
        <v>55.79</v>
      </c>
      <c r="D412">
        <f>53.09</f>
        <v>53.09</v>
      </c>
      <c r="E412">
        <f>19.925</f>
        <v>19.925000000000001</v>
      </c>
      <c r="F412">
        <f>56.15</f>
        <v>56.15</v>
      </c>
      <c r="G412">
        <f>2.673</f>
        <v>2.673</v>
      </c>
    </row>
    <row r="413" spans="1:7" x14ac:dyDescent="0.25">
      <c r="A413" s="1">
        <v>44216</v>
      </c>
      <c r="B413">
        <f>2.47</f>
        <v>2.4700000000000002</v>
      </c>
      <c r="C413">
        <f>55.27</f>
        <v>55.27</v>
      </c>
      <c r="D413">
        <f>53.24</f>
        <v>53.24</v>
      </c>
      <c r="E413">
        <f>20.025</f>
        <v>20.024999999999999</v>
      </c>
      <c r="F413">
        <f>56.75</f>
        <v>56.75</v>
      </c>
      <c r="G413">
        <f>2.5921</f>
        <v>2.5920999999999998</v>
      </c>
    </row>
    <row r="414" spans="1:7" x14ac:dyDescent="0.25">
      <c r="A414" s="1">
        <v>44215</v>
      </c>
      <c r="B414">
        <f>2.596</f>
        <v>2.5960000000000001</v>
      </c>
      <c r="C414">
        <f>55.39</f>
        <v>55.39</v>
      </c>
      <c r="D414">
        <f>52.98</f>
        <v>52.98</v>
      </c>
      <c r="E414">
        <f>20.425</f>
        <v>20.425000000000001</v>
      </c>
      <c r="F414">
        <f>58.05</f>
        <v>58.05</v>
      </c>
      <c r="G414">
        <f>2.6078</f>
        <v>2.6078000000000001</v>
      </c>
    </row>
    <row r="415" spans="1:7" x14ac:dyDescent="0.25">
      <c r="A415" s="1">
        <v>44214</v>
      </c>
      <c r="B415" t="e">
        <f>NA()</f>
        <v>#N/A</v>
      </c>
      <c r="C415">
        <f>54.18</f>
        <v>54.18</v>
      </c>
      <c r="D415" t="e">
        <f>NA()</f>
        <v>#N/A</v>
      </c>
      <c r="E415">
        <f>18.95</f>
        <v>18.95</v>
      </c>
      <c r="F415">
        <f>54.75</f>
        <v>54.75</v>
      </c>
      <c r="G415" t="e">
        <f>NA()</f>
        <v>#N/A</v>
      </c>
    </row>
    <row r="416" spans="1:7" x14ac:dyDescent="0.25">
      <c r="A416" s="1">
        <v>44211</v>
      </c>
      <c r="B416">
        <f>2.795</f>
        <v>2.7949999999999999</v>
      </c>
      <c r="C416">
        <f>54.5</f>
        <v>54.5</v>
      </c>
      <c r="D416">
        <f>52.36</f>
        <v>52.36</v>
      </c>
      <c r="E416">
        <f>20.025</f>
        <v>20.024999999999999</v>
      </c>
      <c r="F416">
        <f>59.35</f>
        <v>59.35</v>
      </c>
      <c r="G416">
        <f>2.898</f>
        <v>2.8980000000000001</v>
      </c>
    </row>
    <row r="417" spans="1:7" x14ac:dyDescent="0.25">
      <c r="A417" s="1">
        <v>44210</v>
      </c>
      <c r="B417">
        <f>2.772</f>
        <v>2.7719999999999998</v>
      </c>
      <c r="C417">
        <f>56.02</f>
        <v>56.02</v>
      </c>
      <c r="D417">
        <f>53.57</f>
        <v>53.57</v>
      </c>
      <c r="E417">
        <f>21.175</f>
        <v>21.175000000000001</v>
      </c>
      <c r="F417">
        <f>62.625</f>
        <v>62.625</v>
      </c>
      <c r="G417">
        <f>2.731</f>
        <v>2.7309999999999999</v>
      </c>
    </row>
    <row r="418" spans="1:7" x14ac:dyDescent="0.25">
      <c r="A418" s="1">
        <v>44209</v>
      </c>
      <c r="B418">
        <f>2.778</f>
        <v>2.778</v>
      </c>
      <c r="C418">
        <f>55.54</f>
        <v>55.54</v>
      </c>
      <c r="D418">
        <f>52.91</f>
        <v>52.91</v>
      </c>
      <c r="E418">
        <f>22.625</f>
        <v>22.625</v>
      </c>
      <c r="F418">
        <f>67.4</f>
        <v>67.400000000000006</v>
      </c>
      <c r="G418">
        <f>2.7903</f>
        <v>2.7902999999999998</v>
      </c>
    </row>
    <row r="419" spans="1:7" x14ac:dyDescent="0.25">
      <c r="A419" s="1">
        <v>44208</v>
      </c>
      <c r="B419">
        <f>2.869</f>
        <v>2.8690000000000002</v>
      </c>
      <c r="C419">
        <f>56.28</f>
        <v>56.28</v>
      </c>
      <c r="D419">
        <f>53.21</f>
        <v>53.21</v>
      </c>
      <c r="E419">
        <f>25.78</f>
        <v>25.78</v>
      </c>
      <c r="F419">
        <f>78.5</f>
        <v>78.5</v>
      </c>
      <c r="G419">
        <f>2.7515</f>
        <v>2.7515000000000001</v>
      </c>
    </row>
    <row r="420" spans="1:7" x14ac:dyDescent="0.25">
      <c r="A420" s="1">
        <v>44207</v>
      </c>
      <c r="B420">
        <f>2.675</f>
        <v>2.6749999999999998</v>
      </c>
      <c r="C420">
        <f>54.98</f>
        <v>54.98</v>
      </c>
      <c r="D420">
        <f>52.25</f>
        <v>52.25</v>
      </c>
      <c r="E420">
        <f>22.6</f>
        <v>22.6</v>
      </c>
      <c r="F420">
        <f>67</f>
        <v>67</v>
      </c>
      <c r="G420" t="e">
        <f>NA()</f>
        <v>#N/A</v>
      </c>
    </row>
    <row r="421" spans="1:7" x14ac:dyDescent="0.25">
      <c r="A421" s="1">
        <v>44204</v>
      </c>
      <c r="B421">
        <f>2.7</f>
        <v>2.7</v>
      </c>
      <c r="C421">
        <f>55.88</f>
        <v>55.88</v>
      </c>
      <c r="D421">
        <f>52.24</f>
        <v>52.24</v>
      </c>
      <c r="E421">
        <f>20.65</f>
        <v>20.65</v>
      </c>
      <c r="F421">
        <f>61.44</f>
        <v>61.44</v>
      </c>
      <c r="G421">
        <f>2.6299</f>
        <v>2.6299000000000001</v>
      </c>
    </row>
    <row r="422" spans="1:7" x14ac:dyDescent="0.25">
      <c r="A422" s="1">
        <v>44203</v>
      </c>
      <c r="B422">
        <f>2.756</f>
        <v>2.7559999999999998</v>
      </c>
      <c r="C422">
        <f>53.83</f>
        <v>53.83</v>
      </c>
      <c r="D422">
        <f>50.83</f>
        <v>50.83</v>
      </c>
      <c r="E422">
        <f>19.475</f>
        <v>19.475000000000001</v>
      </c>
      <c r="F422">
        <f>57.95</f>
        <v>57.95</v>
      </c>
      <c r="G422">
        <f>2.5863</f>
        <v>2.5863</v>
      </c>
    </row>
    <row r="423" spans="1:7" x14ac:dyDescent="0.25">
      <c r="A423" s="1">
        <v>44202</v>
      </c>
      <c r="B423">
        <f>2.707</f>
        <v>2.7069999999999999</v>
      </c>
      <c r="C423">
        <f>53.57</f>
        <v>53.57</v>
      </c>
      <c r="D423">
        <f>50.63</f>
        <v>50.63</v>
      </c>
      <c r="E423">
        <f>17.5</f>
        <v>17.5</v>
      </c>
      <c r="F423">
        <f>53</f>
        <v>53</v>
      </c>
      <c r="G423">
        <f>2.6502</f>
        <v>2.6501999999999999</v>
      </c>
    </row>
    <row r="424" spans="1:7" x14ac:dyDescent="0.25">
      <c r="A424" s="1">
        <v>44201</v>
      </c>
      <c r="B424">
        <f>2.707</f>
        <v>2.7069999999999999</v>
      </c>
      <c r="C424">
        <f>52.79</f>
        <v>52.79</v>
      </c>
      <c r="D424">
        <f>49.93</f>
        <v>49.93</v>
      </c>
      <c r="E424">
        <f>17.95</f>
        <v>17.95</v>
      </c>
      <c r="F424">
        <f>53.75</f>
        <v>53.75</v>
      </c>
      <c r="G424">
        <f>2.6577</f>
        <v>2.6577000000000002</v>
      </c>
    </row>
    <row r="425" spans="1:7" x14ac:dyDescent="0.25">
      <c r="A425" s="1">
        <v>44200</v>
      </c>
      <c r="B425">
        <f>2.572</f>
        <v>2.5720000000000001</v>
      </c>
      <c r="C425">
        <f>50.02</f>
        <v>50.02</v>
      </c>
      <c r="D425">
        <f>47.62</f>
        <v>47.62</v>
      </c>
      <c r="E425">
        <f>19.58</f>
        <v>19.579999999999998</v>
      </c>
      <c r="F425">
        <f>59.4</f>
        <v>59.4</v>
      </c>
      <c r="G425">
        <f>2.5411</f>
        <v>2.5411000000000001</v>
      </c>
    </row>
    <row r="426" spans="1:7" x14ac:dyDescent="0.25">
      <c r="A426" s="1">
        <v>44197</v>
      </c>
      <c r="B426" t="e">
        <f>NA()</f>
        <v>#N/A</v>
      </c>
      <c r="C426">
        <f>51.22</f>
        <v>51.22</v>
      </c>
      <c r="D426" t="e">
        <f>NA()</f>
        <v>#N/A</v>
      </c>
      <c r="E426" t="e">
        <f>NA()</f>
        <v>#N/A</v>
      </c>
      <c r="F426" t="e">
        <f>NA()</f>
        <v>#N/A</v>
      </c>
      <c r="G426" t="e">
        <f>NA()</f>
        <v>#N/A</v>
      </c>
    </row>
    <row r="427" spans="1:7" x14ac:dyDescent="0.25">
      <c r="A427" s="1">
        <v>44196</v>
      </c>
      <c r="B427">
        <f>2.378</f>
        <v>2.3780000000000001</v>
      </c>
      <c r="C427">
        <f>51.17</f>
        <v>51.17</v>
      </c>
      <c r="D427">
        <f>48.52</f>
        <v>48.52</v>
      </c>
      <c r="E427">
        <f>19.075</f>
        <v>19.074999999999999</v>
      </c>
      <c r="F427">
        <f>56.25</f>
        <v>56.25</v>
      </c>
      <c r="G427" t="e">
        <f>NA()</f>
        <v>#N/A</v>
      </c>
    </row>
    <row r="428" spans="1:7" x14ac:dyDescent="0.25">
      <c r="A428" s="1">
        <v>44195</v>
      </c>
      <c r="B428">
        <f>2.373</f>
        <v>2.3730000000000002</v>
      </c>
      <c r="C428">
        <f>50.91</f>
        <v>50.91</v>
      </c>
      <c r="D428">
        <f>48.4</f>
        <v>48.4</v>
      </c>
      <c r="E428">
        <f>18.9</f>
        <v>18.899999999999999</v>
      </c>
      <c r="F428">
        <f>55.4</f>
        <v>55.4</v>
      </c>
      <c r="G428">
        <f>2.334</f>
        <v>2.3340000000000001</v>
      </c>
    </row>
    <row r="429" spans="1:7" x14ac:dyDescent="0.25">
      <c r="A429" s="1">
        <v>44194</v>
      </c>
      <c r="B429">
        <f>2.383</f>
        <v>2.383</v>
      </c>
      <c r="C429">
        <f>50.71</f>
        <v>50.71</v>
      </c>
      <c r="D429">
        <f>48</f>
        <v>48</v>
      </c>
      <c r="E429">
        <f>18.875</f>
        <v>18.875</v>
      </c>
      <c r="F429">
        <f>56</f>
        <v>56</v>
      </c>
      <c r="G429">
        <f>2.5851</f>
        <v>2.5851000000000002</v>
      </c>
    </row>
    <row r="430" spans="1:7" x14ac:dyDescent="0.25">
      <c r="A430" s="1">
        <v>44193</v>
      </c>
      <c r="B430">
        <f>2.257</f>
        <v>2.2570000000000001</v>
      </c>
      <c r="C430">
        <f>50.51</f>
        <v>50.51</v>
      </c>
      <c r="D430">
        <f>47.62</f>
        <v>47.62</v>
      </c>
      <c r="E430">
        <f>19.165</f>
        <v>19.164999999999999</v>
      </c>
      <c r="F430">
        <f>54</f>
        <v>54</v>
      </c>
      <c r="G430">
        <f>2.2432</f>
        <v>2.2431999999999999</v>
      </c>
    </row>
    <row r="431" spans="1:7" x14ac:dyDescent="0.25">
      <c r="A431" s="1">
        <v>44190</v>
      </c>
      <c r="B431" t="e">
        <f>NA()</f>
        <v>#N/A</v>
      </c>
      <c r="C431">
        <f>50.82</f>
        <v>50.82</v>
      </c>
      <c r="D431" t="e">
        <f>NA()</f>
        <v>#N/A</v>
      </c>
      <c r="E431" t="e">
        <f>NA()</f>
        <v>#N/A</v>
      </c>
      <c r="F431" t="e">
        <f>NA()</f>
        <v>#N/A</v>
      </c>
      <c r="G431" t="e">
        <f>NA()</f>
        <v>#N/A</v>
      </c>
    </row>
    <row r="432" spans="1:7" x14ac:dyDescent="0.25">
      <c r="A432" s="1">
        <v>44189</v>
      </c>
      <c r="B432">
        <f>2.59</f>
        <v>2.59</v>
      </c>
      <c r="C432">
        <f>50.85</f>
        <v>50.85</v>
      </c>
      <c r="D432">
        <f>48.08</f>
        <v>48.08</v>
      </c>
      <c r="E432">
        <f>17.575</f>
        <v>17.574999999999999</v>
      </c>
      <c r="F432">
        <f>50.88</f>
        <v>50.88</v>
      </c>
      <c r="G432">
        <f>2.4323</f>
        <v>2.4323000000000001</v>
      </c>
    </row>
    <row r="433" spans="1:7" x14ac:dyDescent="0.25">
      <c r="A433" s="1">
        <v>44188</v>
      </c>
      <c r="B433">
        <f>2.686</f>
        <v>2.6859999999999999</v>
      </c>
      <c r="C433">
        <f>50.82</f>
        <v>50.82</v>
      </c>
      <c r="D433">
        <f>47.97</f>
        <v>47.97</v>
      </c>
      <c r="E433">
        <f>17.39</f>
        <v>17.39</v>
      </c>
      <c r="F433">
        <f>50.75</f>
        <v>50.75</v>
      </c>
      <c r="G433">
        <f>2.3522</f>
        <v>2.3521999999999998</v>
      </c>
    </row>
    <row r="434" spans="1:7" x14ac:dyDescent="0.25">
      <c r="A434" s="1">
        <v>44187</v>
      </c>
      <c r="B434">
        <f>2.76</f>
        <v>2.76</v>
      </c>
      <c r="C434">
        <f>49.4</f>
        <v>49.4</v>
      </c>
      <c r="D434">
        <f>46.9</f>
        <v>46.9</v>
      </c>
      <c r="E434">
        <f>17.55</f>
        <v>17.55</v>
      </c>
      <c r="F434">
        <f>51.6</f>
        <v>51.6</v>
      </c>
      <c r="G434">
        <f>2.6654</f>
        <v>2.6654</v>
      </c>
    </row>
    <row r="435" spans="1:7" x14ac:dyDescent="0.25">
      <c r="A435" s="1">
        <v>44186</v>
      </c>
      <c r="B435">
        <f>2.658</f>
        <v>2.6579999999999999</v>
      </c>
      <c r="C435">
        <f>50.5</f>
        <v>50.5</v>
      </c>
      <c r="D435">
        <f>47.74</f>
        <v>47.74</v>
      </c>
      <c r="E435">
        <f>16.93</f>
        <v>16.93</v>
      </c>
      <c r="F435">
        <f>49.3</f>
        <v>49.3</v>
      </c>
      <c r="G435">
        <f>2.5656</f>
        <v>2.5655999999999999</v>
      </c>
    </row>
    <row r="436" spans="1:7" x14ac:dyDescent="0.25">
      <c r="A436" s="1">
        <v>44183</v>
      </c>
      <c r="B436">
        <f>2.683</f>
        <v>2.6829999999999998</v>
      </c>
      <c r="C436">
        <f>52</f>
        <v>52</v>
      </c>
      <c r="D436">
        <f>49.1</f>
        <v>49.1</v>
      </c>
      <c r="E436">
        <f>15.795</f>
        <v>15.795</v>
      </c>
      <c r="F436">
        <f>45.7</f>
        <v>45.7</v>
      </c>
      <c r="G436">
        <f>2.6043</f>
        <v>2.6042999999999998</v>
      </c>
    </row>
    <row r="437" spans="1:7" x14ac:dyDescent="0.25">
      <c r="A437" s="1">
        <v>44182</v>
      </c>
      <c r="B437">
        <f>2.687</f>
        <v>2.6869999999999998</v>
      </c>
      <c r="C437">
        <f>51.14</f>
        <v>51.14</v>
      </c>
      <c r="D437">
        <f>48.36</f>
        <v>48.36</v>
      </c>
      <c r="E437">
        <f>15.925</f>
        <v>15.925000000000001</v>
      </c>
      <c r="F437">
        <f>45.75</f>
        <v>45.75</v>
      </c>
      <c r="G437">
        <f>2.5009</f>
        <v>2.5009000000000001</v>
      </c>
    </row>
    <row r="438" spans="1:7" x14ac:dyDescent="0.25">
      <c r="A438" s="1">
        <v>44181</v>
      </c>
      <c r="B438">
        <f>2.667</f>
        <v>2.6669999999999998</v>
      </c>
      <c r="C438">
        <f>50.89</f>
        <v>50.89</v>
      </c>
      <c r="D438">
        <f>47.82</f>
        <v>47.82</v>
      </c>
      <c r="E438">
        <f>16.275</f>
        <v>16.274999999999999</v>
      </c>
      <c r="F438">
        <f>47.05</f>
        <v>47.05</v>
      </c>
      <c r="G438">
        <f>2.551</f>
        <v>2.5510000000000002</v>
      </c>
    </row>
    <row r="439" spans="1:7" x14ac:dyDescent="0.25">
      <c r="A439" s="1">
        <v>44180</v>
      </c>
      <c r="B439">
        <f>2.634</f>
        <v>2.6339999999999999</v>
      </c>
      <c r="C439">
        <f>50.41</f>
        <v>50.41</v>
      </c>
      <c r="D439">
        <f>47.62</f>
        <v>47.62</v>
      </c>
      <c r="E439">
        <f>17.15</f>
        <v>17.149999999999999</v>
      </c>
      <c r="F439">
        <f>49.55</f>
        <v>49.55</v>
      </c>
      <c r="G439">
        <f>2.5296</f>
        <v>2.5295999999999998</v>
      </c>
    </row>
    <row r="440" spans="1:7" x14ac:dyDescent="0.25">
      <c r="A440" s="1">
        <v>44179</v>
      </c>
      <c r="B440">
        <f>2.686</f>
        <v>2.6859999999999999</v>
      </c>
      <c r="C440">
        <f>50.02</f>
        <v>50.02</v>
      </c>
      <c r="D440">
        <f>46.99</f>
        <v>46.99</v>
      </c>
      <c r="E440">
        <f>16.475</f>
        <v>16.475000000000001</v>
      </c>
      <c r="F440">
        <f>48.25</f>
        <v>48.25</v>
      </c>
      <c r="G440">
        <f>2.6073</f>
        <v>2.6073</v>
      </c>
    </row>
    <row r="441" spans="1:7" x14ac:dyDescent="0.25">
      <c r="A441" s="1">
        <v>44176</v>
      </c>
      <c r="B441">
        <f>2.528</f>
        <v>2.528</v>
      </c>
      <c r="C441">
        <f>49.76</f>
        <v>49.76</v>
      </c>
      <c r="D441">
        <f>46.57</f>
        <v>46.57</v>
      </c>
      <c r="E441">
        <f>15.9</f>
        <v>15.9</v>
      </c>
      <c r="F441">
        <f>45.83</f>
        <v>45.83</v>
      </c>
      <c r="G441">
        <f>2.5126</f>
        <v>2.5125999999999999</v>
      </c>
    </row>
    <row r="442" spans="1:7" x14ac:dyDescent="0.25">
      <c r="A442" s="1">
        <v>44175</v>
      </c>
      <c r="B442">
        <f>2.459</f>
        <v>2.4590000000000001</v>
      </c>
      <c r="C442">
        <f>50.14</f>
        <v>50.14</v>
      </c>
      <c r="D442">
        <f>46.78</f>
        <v>46.78</v>
      </c>
      <c r="E442">
        <f>15.6</f>
        <v>15.6</v>
      </c>
      <c r="F442">
        <f>45.25</f>
        <v>45.25</v>
      </c>
      <c r="G442">
        <f>2.4656</f>
        <v>2.4655999999999998</v>
      </c>
    </row>
    <row r="443" spans="1:7" x14ac:dyDescent="0.25">
      <c r="A443" s="1">
        <v>44174</v>
      </c>
      <c r="B443">
        <f>2.448</f>
        <v>2.448</v>
      </c>
      <c r="C443">
        <f>48.73</f>
        <v>48.73</v>
      </c>
      <c r="D443">
        <f>45.52</f>
        <v>45.52</v>
      </c>
      <c r="E443">
        <f>14.78</f>
        <v>14.78</v>
      </c>
      <c r="F443">
        <f>42.3</f>
        <v>42.3</v>
      </c>
      <c r="G443">
        <f>2.2913</f>
        <v>2.2913000000000001</v>
      </c>
    </row>
    <row r="444" spans="1:7" x14ac:dyDescent="0.25">
      <c r="A444" s="1">
        <v>44173</v>
      </c>
      <c r="B444">
        <f>2.36</f>
        <v>2.36</v>
      </c>
      <c r="C444">
        <f>48.35</f>
        <v>48.35</v>
      </c>
      <c r="D444">
        <f>45.6</f>
        <v>45.6</v>
      </c>
      <c r="E444">
        <f>14.39</f>
        <v>14.39</v>
      </c>
      <c r="F444">
        <f>42.025</f>
        <v>42.024999999999999</v>
      </c>
      <c r="G444">
        <f>2.2222</f>
        <v>2.2222</v>
      </c>
    </row>
    <row r="445" spans="1:7" x14ac:dyDescent="0.25">
      <c r="A445" s="1">
        <v>44172</v>
      </c>
      <c r="B445">
        <f>2.378</f>
        <v>2.3780000000000001</v>
      </c>
      <c r="C445">
        <f>48.19</f>
        <v>48.19</v>
      </c>
      <c r="D445">
        <f>45.76</f>
        <v>45.76</v>
      </c>
      <c r="E445">
        <f>14.175</f>
        <v>14.175000000000001</v>
      </c>
      <c r="F445">
        <f>42.15</f>
        <v>42.15</v>
      </c>
      <c r="G445">
        <f>2.1452</f>
        <v>2.1452</v>
      </c>
    </row>
    <row r="446" spans="1:7" x14ac:dyDescent="0.25">
      <c r="A446" s="1">
        <v>44169</v>
      </c>
      <c r="B446">
        <f>2.469</f>
        <v>2.4689999999999999</v>
      </c>
      <c r="C446">
        <f>48.71</f>
        <v>48.71</v>
      </c>
      <c r="D446">
        <f>46.26</f>
        <v>46.26</v>
      </c>
      <c r="E446">
        <f>14.575</f>
        <v>14.574999999999999</v>
      </c>
      <c r="F446">
        <f>42.55</f>
        <v>42.55</v>
      </c>
      <c r="G446">
        <f>2.2729</f>
        <v>2.2728999999999999</v>
      </c>
    </row>
    <row r="447" spans="1:7" x14ac:dyDescent="0.25">
      <c r="A447" s="1">
        <v>44168</v>
      </c>
      <c r="B447">
        <f>2.461</f>
        <v>2.4609999999999999</v>
      </c>
      <c r="C447">
        <f>48.56</f>
        <v>48.56</v>
      </c>
      <c r="D447">
        <f>45.64</f>
        <v>45.64</v>
      </c>
      <c r="E447">
        <f>14.05</f>
        <v>14.05</v>
      </c>
      <c r="F447">
        <f>43.9</f>
        <v>43.9</v>
      </c>
      <c r="G447">
        <f>2.1256</f>
        <v>2.1255999999999999</v>
      </c>
    </row>
    <row r="448" spans="1:7" x14ac:dyDescent="0.25">
      <c r="A448" s="1">
        <v>44167</v>
      </c>
      <c r="B448">
        <f>2.744</f>
        <v>2.7440000000000002</v>
      </c>
      <c r="C448">
        <f>47.41</f>
        <v>47.41</v>
      </c>
      <c r="D448">
        <f>45.28</f>
        <v>45.28</v>
      </c>
      <c r="E448">
        <f>15.03</f>
        <v>15.03</v>
      </c>
      <c r="F448">
        <f>43.79</f>
        <v>43.79</v>
      </c>
      <c r="G448">
        <f>2.4105</f>
        <v>2.4104999999999999</v>
      </c>
    </row>
    <row r="449" spans="1:7" x14ac:dyDescent="0.25">
      <c r="A449" s="1">
        <v>44166</v>
      </c>
      <c r="B449">
        <f>2.815</f>
        <v>2.8149999999999999</v>
      </c>
      <c r="C449">
        <f>46.91</f>
        <v>46.91</v>
      </c>
      <c r="D449">
        <f>44.55</f>
        <v>44.55</v>
      </c>
      <c r="E449">
        <f>14.825</f>
        <v>14.824999999999999</v>
      </c>
      <c r="F449">
        <f>43.1</f>
        <v>43.1</v>
      </c>
      <c r="G449">
        <f>2.6137</f>
        <v>2.6137000000000001</v>
      </c>
    </row>
    <row r="450" spans="1:7" x14ac:dyDescent="0.25">
      <c r="A450" s="1">
        <v>44165</v>
      </c>
      <c r="B450">
        <f>2.879</f>
        <v>2.879</v>
      </c>
      <c r="C450">
        <f>47.17</f>
        <v>47.17</v>
      </c>
      <c r="D450">
        <f>45.34</f>
        <v>45.34</v>
      </c>
      <c r="E450">
        <f>15.15</f>
        <v>15.15</v>
      </c>
      <c r="F450">
        <f>43.3</f>
        <v>43.3</v>
      </c>
      <c r="G450">
        <f>2.713</f>
        <v>2.7130000000000001</v>
      </c>
    </row>
    <row r="451" spans="1:7" x14ac:dyDescent="0.25">
      <c r="A451" s="1">
        <v>44162</v>
      </c>
      <c r="B451" t="e">
        <f>NA()</f>
        <v>#N/A</v>
      </c>
      <c r="C451">
        <f>47.66</f>
        <v>47.66</v>
      </c>
      <c r="D451" t="e">
        <f>NA()</f>
        <v>#N/A</v>
      </c>
      <c r="E451">
        <f>14.575</f>
        <v>14.574999999999999</v>
      </c>
      <c r="F451">
        <f>41.8</f>
        <v>41.8</v>
      </c>
      <c r="G451" t="e">
        <f>NA()</f>
        <v>#N/A</v>
      </c>
    </row>
    <row r="452" spans="1:7" x14ac:dyDescent="0.25">
      <c r="A452" s="1">
        <v>44161</v>
      </c>
      <c r="B452" t="e">
        <f>NA()</f>
        <v>#N/A</v>
      </c>
      <c r="C452">
        <f>47.14</f>
        <v>47.14</v>
      </c>
      <c r="D452" t="e">
        <f>NA()</f>
        <v>#N/A</v>
      </c>
      <c r="E452">
        <f>14.1</f>
        <v>14.1</v>
      </c>
      <c r="F452">
        <f>40.15</f>
        <v>40.15</v>
      </c>
      <c r="G452" t="e">
        <f>NA()</f>
        <v>#N/A</v>
      </c>
    </row>
    <row r="453" spans="1:7" x14ac:dyDescent="0.25">
      <c r="A453" s="1">
        <v>44160</v>
      </c>
      <c r="B453">
        <f>2.291</f>
        <v>2.2909999999999999</v>
      </c>
      <c r="C453">
        <f>48.13</f>
        <v>48.13</v>
      </c>
      <c r="D453">
        <f>45.51</f>
        <v>45.51</v>
      </c>
      <c r="E453">
        <f>13.8</f>
        <v>13.8</v>
      </c>
      <c r="F453">
        <f>39.28</f>
        <v>39.28</v>
      </c>
      <c r="G453">
        <f>2.7508</f>
        <v>2.7507999999999999</v>
      </c>
    </row>
    <row r="454" spans="1:7" x14ac:dyDescent="0.25">
      <c r="A454" s="1">
        <v>44159</v>
      </c>
      <c r="B454">
        <f>2.304</f>
        <v>2.3039999999999998</v>
      </c>
      <c r="C454">
        <f>47.16</f>
        <v>47.16</v>
      </c>
      <c r="D454">
        <f>44.71</f>
        <v>44.71</v>
      </c>
      <c r="E454">
        <f>13.925</f>
        <v>13.925000000000001</v>
      </c>
      <c r="F454">
        <f>39.075</f>
        <v>39.075000000000003</v>
      </c>
      <c r="G454">
        <f>2.785</f>
        <v>2.7850000000000001</v>
      </c>
    </row>
    <row r="455" spans="1:7" x14ac:dyDescent="0.25">
      <c r="A455" s="1">
        <v>44158</v>
      </c>
      <c r="B455">
        <f>2.247</f>
        <v>2.2469999999999999</v>
      </c>
      <c r="C455">
        <f>45.18</f>
        <v>45.18</v>
      </c>
      <c r="D455">
        <f>42.88</f>
        <v>42.88</v>
      </c>
      <c r="E455">
        <f>13.65</f>
        <v>13.65</v>
      </c>
      <c r="F455">
        <f>37.85</f>
        <v>37.85</v>
      </c>
      <c r="G455">
        <f>2.797</f>
        <v>2.7970000000000002</v>
      </c>
    </row>
    <row r="456" spans="1:7" x14ac:dyDescent="0.25">
      <c r="A456" s="1">
        <v>44155</v>
      </c>
      <c r="B456">
        <f>2.238</f>
        <v>2.238</v>
      </c>
      <c r="C456">
        <f>44.32</f>
        <v>44.32</v>
      </c>
      <c r="D456">
        <f>42.15</f>
        <v>42.15</v>
      </c>
      <c r="E456">
        <f>12.975</f>
        <v>12.975</v>
      </c>
      <c r="F456">
        <f>36.3</f>
        <v>36.299999999999997</v>
      </c>
      <c r="G456">
        <f>2.6978</f>
        <v>2.6978</v>
      </c>
    </row>
    <row r="457" spans="1:7" x14ac:dyDescent="0.25">
      <c r="A457" s="1">
        <v>44154</v>
      </c>
      <c r="B457">
        <f>2.207</f>
        <v>2.2069999999999999</v>
      </c>
      <c r="C457">
        <f>43.31</f>
        <v>43.31</v>
      </c>
      <c r="D457">
        <f>41.74</f>
        <v>41.74</v>
      </c>
      <c r="E457">
        <f>12.95</f>
        <v>12.95</v>
      </c>
      <c r="F457">
        <f>36.8</f>
        <v>36.799999999999997</v>
      </c>
      <c r="G457">
        <f>2.5189</f>
        <v>2.5188999999999999</v>
      </c>
    </row>
    <row r="458" spans="1:7" x14ac:dyDescent="0.25">
      <c r="A458" s="1">
        <v>44153</v>
      </c>
      <c r="B458">
        <f>2.378</f>
        <v>2.3780000000000001</v>
      </c>
      <c r="C458">
        <f>43.25</f>
        <v>43.25</v>
      </c>
      <c r="D458">
        <f>41.82</f>
        <v>41.82</v>
      </c>
      <c r="E458">
        <f>13.575</f>
        <v>13.574999999999999</v>
      </c>
      <c r="F458">
        <f>38.25</f>
        <v>38.25</v>
      </c>
      <c r="G458">
        <f>2.718</f>
        <v>2.718</v>
      </c>
    </row>
    <row r="459" spans="1:7" x14ac:dyDescent="0.25">
      <c r="A459" s="1">
        <v>44152</v>
      </c>
      <c r="B459">
        <f>2.544</f>
        <v>2.544</v>
      </c>
      <c r="C459">
        <f>42.87</f>
        <v>42.87</v>
      </c>
      <c r="D459">
        <f>41.43</f>
        <v>41.43</v>
      </c>
      <c r="E459">
        <f>13.83</f>
        <v>13.83</v>
      </c>
      <c r="F459">
        <f>40.9</f>
        <v>40.9</v>
      </c>
      <c r="G459">
        <f>2.6457</f>
        <v>2.6457000000000002</v>
      </c>
    </row>
    <row r="460" spans="1:7" x14ac:dyDescent="0.25">
      <c r="A460" s="1">
        <v>44151</v>
      </c>
      <c r="B460">
        <f>2.636</f>
        <v>2.6360000000000001</v>
      </c>
      <c r="C460">
        <f>43.21</f>
        <v>43.21</v>
      </c>
      <c r="D460">
        <f>41.34</f>
        <v>41.34</v>
      </c>
      <c r="E460">
        <f>14.45</f>
        <v>14.45</v>
      </c>
      <c r="F460">
        <f>40.9</f>
        <v>40.9</v>
      </c>
      <c r="G460">
        <f>2.4676</f>
        <v>2.4676</v>
      </c>
    </row>
    <row r="461" spans="1:7" x14ac:dyDescent="0.25">
      <c r="A461" s="1">
        <v>44148</v>
      </c>
      <c r="B461">
        <f>2.835</f>
        <v>2.835</v>
      </c>
      <c r="C461">
        <f>41.98</f>
        <v>41.98</v>
      </c>
      <c r="D461">
        <f>40.13</f>
        <v>40.130000000000003</v>
      </c>
      <c r="E461">
        <f>14.29</f>
        <v>14.29</v>
      </c>
      <c r="F461">
        <f>40.475</f>
        <v>40.475000000000001</v>
      </c>
      <c r="G461">
        <f>2.8755</f>
        <v>2.8755000000000002</v>
      </c>
    </row>
    <row r="462" spans="1:7" x14ac:dyDescent="0.25">
      <c r="A462" s="1">
        <v>44147</v>
      </c>
      <c r="B462">
        <f>2.817</f>
        <v>2.8170000000000002</v>
      </c>
      <c r="C462">
        <f>42.57</f>
        <v>42.57</v>
      </c>
      <c r="D462">
        <f>41.12</f>
        <v>41.12</v>
      </c>
      <c r="E462">
        <f>14.05</f>
        <v>14.05</v>
      </c>
      <c r="F462">
        <f>39.8</f>
        <v>39.799999999999997</v>
      </c>
      <c r="G462">
        <f>2.869</f>
        <v>2.8690000000000002</v>
      </c>
    </row>
    <row r="463" spans="1:7" x14ac:dyDescent="0.25">
      <c r="A463" s="1">
        <v>44146</v>
      </c>
      <c r="B463">
        <f>2.734</f>
        <v>2.734</v>
      </c>
      <c r="C463">
        <f>43.04</f>
        <v>43.04</v>
      </c>
      <c r="D463">
        <f>41.45</f>
        <v>41.45</v>
      </c>
      <c r="E463">
        <f>14.175</f>
        <v>14.175000000000001</v>
      </c>
      <c r="F463">
        <f>39.9</f>
        <v>39.9</v>
      </c>
      <c r="G463">
        <f>2.9919</f>
        <v>2.9918999999999998</v>
      </c>
    </row>
    <row r="464" spans="1:7" x14ac:dyDescent="0.25">
      <c r="A464" s="1">
        <v>44145</v>
      </c>
      <c r="B464">
        <f>2.684</f>
        <v>2.6840000000000002</v>
      </c>
      <c r="C464">
        <f>43.2</f>
        <v>43.2</v>
      </c>
      <c r="D464">
        <f>41.36</f>
        <v>41.36</v>
      </c>
      <c r="E464">
        <f>14.125</f>
        <v>14.125</v>
      </c>
      <c r="F464">
        <f>39.65</f>
        <v>39.65</v>
      </c>
      <c r="G464">
        <f>2.8542</f>
        <v>2.8542000000000001</v>
      </c>
    </row>
    <row r="465" spans="1:7" x14ac:dyDescent="0.25">
      <c r="A465" s="1">
        <v>44144</v>
      </c>
      <c r="B465">
        <f>2.601</f>
        <v>2.601</v>
      </c>
      <c r="C465">
        <f>41.23</f>
        <v>41.23</v>
      </c>
      <c r="D465">
        <f>40.29</f>
        <v>40.29</v>
      </c>
      <c r="E465">
        <f>13.875</f>
        <v>13.875</v>
      </c>
      <c r="F465">
        <f>39.68</f>
        <v>39.68</v>
      </c>
      <c r="G465">
        <f>2.7099</f>
        <v>2.7099000000000002</v>
      </c>
    </row>
    <row r="466" spans="1:7" x14ac:dyDescent="0.25">
      <c r="A466" s="1">
        <v>44141</v>
      </c>
      <c r="B466">
        <f>2.55</f>
        <v>2.5499999999999998</v>
      </c>
      <c r="C466">
        <f>38.82</f>
        <v>38.82</v>
      </c>
      <c r="D466">
        <f>37.14</f>
        <v>37.14</v>
      </c>
      <c r="E466">
        <f>13.925</f>
        <v>13.925000000000001</v>
      </c>
      <c r="F466">
        <f>39.85</f>
        <v>39.85</v>
      </c>
      <c r="G466">
        <f>2.766</f>
        <v>2.766</v>
      </c>
    </row>
    <row r="467" spans="1:7" x14ac:dyDescent="0.25">
      <c r="A467" s="1">
        <v>44140</v>
      </c>
      <c r="B467">
        <f>2.634</f>
        <v>2.6339999999999999</v>
      </c>
      <c r="C467">
        <f>39.9</f>
        <v>39.9</v>
      </c>
      <c r="D467">
        <f>38.79</f>
        <v>38.79</v>
      </c>
      <c r="E467">
        <f>14.25</f>
        <v>14.25</v>
      </c>
      <c r="F467">
        <f>41.05</f>
        <v>41.05</v>
      </c>
      <c r="G467">
        <f>2.8305</f>
        <v>2.8304999999999998</v>
      </c>
    </row>
    <row r="468" spans="1:7" x14ac:dyDescent="0.25">
      <c r="A468" s="1">
        <v>44139</v>
      </c>
      <c r="B468">
        <f>2.582</f>
        <v>2.5819999999999999</v>
      </c>
      <c r="C468">
        <f>40.33</f>
        <v>40.33</v>
      </c>
      <c r="D468">
        <f>39.15</f>
        <v>39.15</v>
      </c>
      <c r="E468">
        <f>14.05</f>
        <v>14.05</v>
      </c>
      <c r="F468">
        <f>40.2</f>
        <v>40.200000000000003</v>
      </c>
      <c r="G468">
        <f>2.9916</f>
        <v>2.9916</v>
      </c>
    </row>
    <row r="469" spans="1:7" x14ac:dyDescent="0.25">
      <c r="A469" s="1">
        <v>44138</v>
      </c>
      <c r="B469">
        <f>2.828</f>
        <v>2.8279999999999998</v>
      </c>
      <c r="C469">
        <f>39.17</f>
        <v>39.17</v>
      </c>
      <c r="D469">
        <f>37.66</f>
        <v>37.659999999999997</v>
      </c>
      <c r="E469">
        <f>13.78</f>
        <v>13.78</v>
      </c>
      <c r="F469">
        <f>39.65</f>
        <v>39.65</v>
      </c>
      <c r="G469">
        <f>2.918</f>
        <v>2.9180000000000001</v>
      </c>
    </row>
    <row r="470" spans="1:7" x14ac:dyDescent="0.25">
      <c r="A470" s="1">
        <v>44137</v>
      </c>
      <c r="B470">
        <f>2.998</f>
        <v>2.9980000000000002</v>
      </c>
      <c r="C470">
        <f>38.07</f>
        <v>38.07</v>
      </c>
      <c r="D470">
        <f>36.81</f>
        <v>36.81</v>
      </c>
      <c r="E470">
        <f>13.67</f>
        <v>13.67</v>
      </c>
      <c r="F470">
        <f>40</f>
        <v>40</v>
      </c>
      <c r="G470">
        <f>3.115</f>
        <v>3.1150000000000002</v>
      </c>
    </row>
    <row r="471" spans="1:7" x14ac:dyDescent="0.25">
      <c r="A471" s="1">
        <v>44134</v>
      </c>
      <c r="B471">
        <f>3.039</f>
        <v>3.0390000000000001</v>
      </c>
      <c r="C471">
        <f>36.9</f>
        <v>36.9</v>
      </c>
      <c r="D471">
        <f>35.79</f>
        <v>35.79</v>
      </c>
      <c r="E471">
        <f>14</f>
        <v>14</v>
      </c>
      <c r="F471">
        <f>39.6</f>
        <v>39.6</v>
      </c>
      <c r="G471">
        <f>3.2665</f>
        <v>3.2665000000000002</v>
      </c>
    </row>
    <row r="472" spans="1:7" x14ac:dyDescent="0.25">
      <c r="A472" s="1">
        <v>44133</v>
      </c>
      <c r="B472">
        <f>2.955</f>
        <v>2.9550000000000001</v>
      </c>
      <c r="C472">
        <f>37.13</f>
        <v>37.130000000000003</v>
      </c>
      <c r="D472">
        <f>36.17</f>
        <v>36.17</v>
      </c>
      <c r="E472">
        <f>14.25</f>
        <v>14.25</v>
      </c>
      <c r="F472">
        <f>40.85</f>
        <v>40.85</v>
      </c>
      <c r="G472">
        <f>3.1958</f>
        <v>3.1958000000000002</v>
      </c>
    </row>
    <row r="473" spans="1:7" x14ac:dyDescent="0.25">
      <c r="A473" s="1">
        <v>44132</v>
      </c>
      <c r="B473">
        <f>3.04</f>
        <v>3.04</v>
      </c>
      <c r="C473">
        <f>38.44</f>
        <v>38.44</v>
      </c>
      <c r="D473">
        <f>37.39</f>
        <v>37.39</v>
      </c>
      <c r="E473">
        <f>14.425</f>
        <v>14.425000000000001</v>
      </c>
      <c r="F473">
        <f>41.5</f>
        <v>41.5</v>
      </c>
      <c r="G473">
        <f>2.9693</f>
        <v>2.9693000000000001</v>
      </c>
    </row>
    <row r="474" spans="1:7" x14ac:dyDescent="0.25">
      <c r="A474" s="1">
        <v>44131</v>
      </c>
      <c r="B474">
        <f>3.022</f>
        <v>3.0219999999999998</v>
      </c>
      <c r="C474">
        <f>40.12</f>
        <v>40.119999999999997</v>
      </c>
      <c r="D474">
        <f>39.57</f>
        <v>39.57</v>
      </c>
      <c r="E474">
        <f>14.85</f>
        <v>14.85</v>
      </c>
      <c r="F474">
        <f>42.5</f>
        <v>42.5</v>
      </c>
      <c r="G474">
        <f>2.9898</f>
        <v>2.9897999999999998</v>
      </c>
    </row>
    <row r="475" spans="1:7" x14ac:dyDescent="0.25">
      <c r="A475" s="1">
        <v>44130</v>
      </c>
      <c r="B475">
        <f>3.044</f>
        <v>3.044</v>
      </c>
      <c r="C475">
        <f>39.81</f>
        <v>39.81</v>
      </c>
      <c r="D475">
        <f>38.56</f>
        <v>38.56</v>
      </c>
      <c r="E475">
        <f>14.66</f>
        <v>14.66</v>
      </c>
      <c r="F475">
        <f>42</f>
        <v>42</v>
      </c>
      <c r="G475">
        <f>2.9745</f>
        <v>2.9744999999999999</v>
      </c>
    </row>
    <row r="476" spans="1:7" x14ac:dyDescent="0.25">
      <c r="A476" s="1">
        <v>44127</v>
      </c>
      <c r="B476">
        <f>2.902</f>
        <v>2.9020000000000001</v>
      </c>
      <c r="C476">
        <f>41.07</f>
        <v>41.07</v>
      </c>
      <c r="D476">
        <f>39.67</f>
        <v>39.67</v>
      </c>
      <c r="E476">
        <f>15.38</f>
        <v>15.38</v>
      </c>
      <c r="F476">
        <f>43.7</f>
        <v>43.7</v>
      </c>
      <c r="G476">
        <f>2.9026</f>
        <v>2.9026000000000001</v>
      </c>
    </row>
    <row r="477" spans="1:7" x14ac:dyDescent="0.25">
      <c r="A477" s="1">
        <v>44126</v>
      </c>
      <c r="B477">
        <f>2.915</f>
        <v>2.915</v>
      </c>
      <c r="C477">
        <f>41.78</f>
        <v>41.78</v>
      </c>
      <c r="D477">
        <f>40.47</f>
        <v>40.47</v>
      </c>
      <c r="E477">
        <f>15.34</f>
        <v>15.34</v>
      </c>
      <c r="F477">
        <f>43.25</f>
        <v>43.25</v>
      </c>
      <c r="G477">
        <f>3.0441</f>
        <v>3.0440999999999998</v>
      </c>
    </row>
    <row r="478" spans="1:7" x14ac:dyDescent="0.25">
      <c r="A478" s="1">
        <v>44125</v>
      </c>
      <c r="B478">
        <f>2.822</f>
        <v>2.8220000000000001</v>
      </c>
      <c r="C478">
        <f>40.96</f>
        <v>40.96</v>
      </c>
      <c r="D478">
        <f>39.83</f>
        <v>39.83</v>
      </c>
      <c r="E478">
        <f>14.85</f>
        <v>14.85</v>
      </c>
      <c r="F478">
        <f>41.63</f>
        <v>41.63</v>
      </c>
      <c r="G478">
        <f>3.1686</f>
        <v>3.1686000000000001</v>
      </c>
    </row>
    <row r="479" spans="1:7" x14ac:dyDescent="0.25">
      <c r="A479" s="1">
        <v>44124</v>
      </c>
      <c r="B479">
        <f>2.586</f>
        <v>2.5859999999999999</v>
      </c>
      <c r="C479">
        <f>41.96</f>
        <v>41.96</v>
      </c>
      <c r="D479">
        <f>41.46</f>
        <v>41.46</v>
      </c>
      <c r="E479">
        <f>14.895</f>
        <v>14.895</v>
      </c>
      <c r="F479">
        <f>42</f>
        <v>42</v>
      </c>
      <c r="G479">
        <f>2.9385</f>
        <v>2.9384999999999999</v>
      </c>
    </row>
    <row r="480" spans="1:7" x14ac:dyDescent="0.25">
      <c r="A480" s="1">
        <v>44123</v>
      </c>
      <c r="B480">
        <f>2.316</f>
        <v>2.3159999999999998</v>
      </c>
      <c r="C480">
        <f>41.66</f>
        <v>41.66</v>
      </c>
      <c r="D480">
        <f>40.83</f>
        <v>40.83</v>
      </c>
      <c r="E480">
        <f>14.84</f>
        <v>14.84</v>
      </c>
      <c r="F480">
        <f>41.6</f>
        <v>41.6</v>
      </c>
      <c r="G480">
        <f>2.9135</f>
        <v>2.9135</v>
      </c>
    </row>
    <row r="481" spans="1:7" x14ac:dyDescent="0.25">
      <c r="A481" s="1">
        <v>44120</v>
      </c>
      <c r="B481">
        <f>2.174</f>
        <v>2.1739999999999999</v>
      </c>
      <c r="C481">
        <f>41.66</f>
        <v>41.66</v>
      </c>
      <c r="D481">
        <f>40.88</f>
        <v>40.880000000000003</v>
      </c>
      <c r="E481">
        <f>14.5</f>
        <v>14.5</v>
      </c>
      <c r="F481">
        <f>40.65</f>
        <v>40.65</v>
      </c>
      <c r="G481">
        <f>2.7441</f>
        <v>2.7441</v>
      </c>
    </row>
    <row r="482" spans="1:7" x14ac:dyDescent="0.25">
      <c r="A482" s="1">
        <v>44119</v>
      </c>
      <c r="B482">
        <f>2.244</f>
        <v>2.2440000000000002</v>
      </c>
      <c r="C482">
        <f>41.88</f>
        <v>41.88</v>
      </c>
      <c r="D482">
        <f>40.96</f>
        <v>40.96</v>
      </c>
      <c r="E482">
        <f>14.2</f>
        <v>14.2</v>
      </c>
      <c r="F482">
        <f>40</f>
        <v>40</v>
      </c>
      <c r="G482" t="e">
        <f>NA()</f>
        <v>#N/A</v>
      </c>
    </row>
    <row r="483" spans="1:7" x14ac:dyDescent="0.25">
      <c r="A483" s="1">
        <v>44118</v>
      </c>
      <c r="B483">
        <f>2.036</f>
        <v>2.036</v>
      </c>
      <c r="C483">
        <f>42.31</f>
        <v>42.31</v>
      </c>
      <c r="D483">
        <f>41.04</f>
        <v>41.04</v>
      </c>
      <c r="E483">
        <f>14.025</f>
        <v>14.025</v>
      </c>
      <c r="F483">
        <f>39.15</f>
        <v>39.15</v>
      </c>
      <c r="G483">
        <f>2.4467</f>
        <v>2.4466999999999999</v>
      </c>
    </row>
    <row r="484" spans="1:7" x14ac:dyDescent="0.25">
      <c r="A484" s="1">
        <v>44117</v>
      </c>
      <c r="B484">
        <f>2.139</f>
        <v>2.1389999999999998</v>
      </c>
      <c r="C484">
        <f>41.17</f>
        <v>41.17</v>
      </c>
      <c r="D484">
        <f>40.2</f>
        <v>40.200000000000003</v>
      </c>
      <c r="E484">
        <f>13.525</f>
        <v>13.525</v>
      </c>
      <c r="F484">
        <f>37.5</f>
        <v>37.5</v>
      </c>
      <c r="G484">
        <f>2.7812</f>
        <v>2.7812000000000001</v>
      </c>
    </row>
    <row r="485" spans="1:7" x14ac:dyDescent="0.25">
      <c r="A485" s="1">
        <v>44116</v>
      </c>
      <c r="B485">
        <f>2.316</f>
        <v>2.3159999999999998</v>
      </c>
      <c r="C485">
        <f>40.39</f>
        <v>40.39</v>
      </c>
      <c r="D485">
        <f>39.43</f>
        <v>39.43</v>
      </c>
      <c r="E485">
        <f>13.825</f>
        <v>13.824999999999999</v>
      </c>
      <c r="F485">
        <f>38.65</f>
        <v>38.65</v>
      </c>
      <c r="G485">
        <f>2.8455</f>
        <v>2.8454999999999999</v>
      </c>
    </row>
    <row r="486" spans="1:7" x14ac:dyDescent="0.25">
      <c r="A486" s="1">
        <v>44113</v>
      </c>
      <c r="B486">
        <f>1.827</f>
        <v>1.827</v>
      </c>
      <c r="C486">
        <f>41.54</f>
        <v>41.54</v>
      </c>
      <c r="D486">
        <f>40.6</f>
        <v>40.6</v>
      </c>
      <c r="E486">
        <f>13.83</f>
        <v>13.83</v>
      </c>
      <c r="F486">
        <f>38.4</f>
        <v>38.4</v>
      </c>
      <c r="G486">
        <f>2.76</f>
        <v>2.76</v>
      </c>
    </row>
    <row r="487" spans="1:7" x14ac:dyDescent="0.25">
      <c r="A487" s="1">
        <v>44112</v>
      </c>
      <c r="B487">
        <f>1.473</f>
        <v>1.4730000000000001</v>
      </c>
      <c r="C487">
        <f>42.27</f>
        <v>42.27</v>
      </c>
      <c r="D487">
        <f>41.19</f>
        <v>41.19</v>
      </c>
      <c r="E487">
        <f>13.95</f>
        <v>13.95</v>
      </c>
      <c r="F487">
        <f>38.8</f>
        <v>38.799999999999997</v>
      </c>
      <c r="G487">
        <f>2.6293</f>
        <v>2.6293000000000002</v>
      </c>
    </row>
    <row r="488" spans="1:7" x14ac:dyDescent="0.25">
      <c r="A488" s="1">
        <v>44111</v>
      </c>
      <c r="B488">
        <f>1.992</f>
        <v>1.992</v>
      </c>
      <c r="C488">
        <f>40.96</f>
        <v>40.96</v>
      </c>
      <c r="D488">
        <f>39.95</f>
        <v>39.950000000000003</v>
      </c>
      <c r="E488">
        <f>13.8</f>
        <v>13.8</v>
      </c>
      <c r="F488">
        <f>38.75</f>
        <v>38.75</v>
      </c>
      <c r="G488">
        <f>2.6083</f>
        <v>2.6082999999999998</v>
      </c>
    </row>
    <row r="489" spans="1:7" x14ac:dyDescent="0.25">
      <c r="A489" s="1">
        <v>44110</v>
      </c>
      <c r="B489">
        <f>1.88</f>
        <v>1.88</v>
      </c>
      <c r="C489">
        <f>40.66</f>
        <v>40.659999999999997</v>
      </c>
      <c r="D489">
        <f>40.67</f>
        <v>40.67</v>
      </c>
      <c r="E489">
        <f>13.2</f>
        <v>13.2</v>
      </c>
      <c r="F489">
        <f>37.41</f>
        <v>37.409999999999997</v>
      </c>
      <c r="G489">
        <f>2.5326</f>
        <v>2.5326</v>
      </c>
    </row>
    <row r="490" spans="1:7" x14ac:dyDescent="0.25">
      <c r="A490" s="1">
        <v>44109</v>
      </c>
      <c r="B490">
        <f>1.877</f>
        <v>1.877</v>
      </c>
      <c r="C490">
        <f>40.25</f>
        <v>40.25</v>
      </c>
      <c r="D490">
        <f>39.22</f>
        <v>39.22</v>
      </c>
      <c r="E490">
        <f>13.45</f>
        <v>13.45</v>
      </c>
      <c r="F490">
        <f>37.6</f>
        <v>37.6</v>
      </c>
      <c r="G490">
        <f>2.6643</f>
        <v>2.6642999999999999</v>
      </c>
    </row>
    <row r="491" spans="1:7" x14ac:dyDescent="0.25">
      <c r="A491" s="1">
        <v>44106</v>
      </c>
      <c r="B491">
        <f>1.383</f>
        <v>1.383</v>
      </c>
      <c r="C491">
        <f>37.96</f>
        <v>37.96</v>
      </c>
      <c r="D491">
        <f>37.05</f>
        <v>37.049999999999997</v>
      </c>
      <c r="E491">
        <f>13.05</f>
        <v>13.05</v>
      </c>
      <c r="F491">
        <f>36.5</f>
        <v>36.5</v>
      </c>
      <c r="G491">
        <f>2.4826</f>
        <v>2.4826000000000001</v>
      </c>
    </row>
    <row r="492" spans="1:7" x14ac:dyDescent="0.25">
      <c r="A492" s="1">
        <v>44105</v>
      </c>
      <c r="B492">
        <f>1.379</f>
        <v>1.379</v>
      </c>
      <c r="C492">
        <f>39.46</f>
        <v>39.46</v>
      </c>
      <c r="D492">
        <f>38.72</f>
        <v>38.72</v>
      </c>
      <c r="E492">
        <f>13.39</f>
        <v>13.39</v>
      </c>
      <c r="F492">
        <f>36.65</f>
        <v>36.65</v>
      </c>
      <c r="G492">
        <f>2.544</f>
        <v>2.544</v>
      </c>
    </row>
    <row r="493" spans="1:7" x14ac:dyDescent="0.25">
      <c r="A493" s="1">
        <v>44104</v>
      </c>
      <c r="B493">
        <f>1.608</f>
        <v>1.6080000000000001</v>
      </c>
      <c r="C493">
        <f>40.95</f>
        <v>40.950000000000003</v>
      </c>
      <c r="D493">
        <f>40.22</f>
        <v>40.22</v>
      </c>
      <c r="E493">
        <f>12.3</f>
        <v>12.3</v>
      </c>
      <c r="F493">
        <f>34</f>
        <v>34</v>
      </c>
      <c r="G493">
        <f>2.5545</f>
        <v>2.5545</v>
      </c>
    </row>
    <row r="494" spans="1:7" x14ac:dyDescent="0.25">
      <c r="A494" s="1">
        <v>44103</v>
      </c>
      <c r="B494">
        <f>1.675</f>
        <v>1.675</v>
      </c>
      <c r="C494">
        <f>40.28</f>
        <v>40.28</v>
      </c>
      <c r="D494">
        <f>39.29</f>
        <v>39.29</v>
      </c>
      <c r="E494">
        <f>12.075</f>
        <v>12.074999999999999</v>
      </c>
      <c r="F494">
        <f>33.6</f>
        <v>33.6</v>
      </c>
      <c r="G494">
        <f>2.5795</f>
        <v>2.5794999999999999</v>
      </c>
    </row>
    <row r="495" spans="1:7" x14ac:dyDescent="0.25">
      <c r="A495" s="1">
        <v>44102</v>
      </c>
      <c r="B495">
        <f>1.835</f>
        <v>1.835</v>
      </c>
      <c r="C495">
        <f>41.8</f>
        <v>41.8</v>
      </c>
      <c r="D495">
        <f>40.6</f>
        <v>40.6</v>
      </c>
      <c r="E495">
        <f>12.35</f>
        <v>12.35</v>
      </c>
      <c r="F495">
        <f>33.8</f>
        <v>33.799999999999997</v>
      </c>
      <c r="G495">
        <f>2.1164</f>
        <v>2.1164000000000001</v>
      </c>
    </row>
    <row r="496" spans="1:7" x14ac:dyDescent="0.25">
      <c r="A496" s="1">
        <v>44099</v>
      </c>
      <c r="B496">
        <f>1.883</f>
        <v>1.883</v>
      </c>
      <c r="C496">
        <f>41.14</f>
        <v>41.14</v>
      </c>
      <c r="D496">
        <f>40.1</f>
        <v>40.1</v>
      </c>
      <c r="E496">
        <f>11.725</f>
        <v>11.725</v>
      </c>
      <c r="F496">
        <f>32.2</f>
        <v>32.200000000000003</v>
      </c>
      <c r="G496">
        <f>2.2324</f>
        <v>2.2324000000000002</v>
      </c>
    </row>
    <row r="497" spans="1:7" x14ac:dyDescent="0.25">
      <c r="A497" s="1">
        <v>44098</v>
      </c>
      <c r="B497">
        <f>1.946</f>
        <v>1.946</v>
      </c>
      <c r="C497">
        <f>41.1</f>
        <v>41.1</v>
      </c>
      <c r="D497">
        <f>40.16</f>
        <v>40.159999999999997</v>
      </c>
      <c r="E497">
        <f>11.7</f>
        <v>11.7</v>
      </c>
      <c r="F497">
        <f>31.3</f>
        <v>31.3</v>
      </c>
      <c r="G497">
        <f>2.5288</f>
        <v>2.5287999999999999</v>
      </c>
    </row>
    <row r="498" spans="1:7" x14ac:dyDescent="0.25">
      <c r="A498" s="1">
        <v>44097</v>
      </c>
      <c r="B498">
        <f>1.758</f>
        <v>1.758</v>
      </c>
      <c r="C498">
        <f>40.92</f>
        <v>40.92</v>
      </c>
      <c r="D498">
        <f>39.73</f>
        <v>39.729999999999997</v>
      </c>
      <c r="E498">
        <f>11.95</f>
        <v>11.95</v>
      </c>
      <c r="F498">
        <f>32.125</f>
        <v>32.125</v>
      </c>
      <c r="G498">
        <f>2.5078</f>
        <v>2.5078</v>
      </c>
    </row>
    <row r="499" spans="1:7" x14ac:dyDescent="0.25">
      <c r="A499" s="1">
        <v>44096</v>
      </c>
      <c r="B499">
        <f>1.472</f>
        <v>1.472</v>
      </c>
      <c r="C499">
        <f>41.06</f>
        <v>41.06</v>
      </c>
      <c r="D499">
        <f>39.6</f>
        <v>39.6</v>
      </c>
      <c r="E499">
        <f>11.775</f>
        <v>11.775</v>
      </c>
      <c r="F499">
        <f>31.2</f>
        <v>31.2</v>
      </c>
      <c r="G499">
        <f>1.9053</f>
        <v>1.9053</v>
      </c>
    </row>
    <row r="500" spans="1:7" x14ac:dyDescent="0.25">
      <c r="A500" s="1">
        <v>44095</v>
      </c>
      <c r="B500">
        <f>1.348</f>
        <v>1.3480000000000001</v>
      </c>
      <c r="C500">
        <f>41.02</f>
        <v>41.02</v>
      </c>
      <c r="D500">
        <f>39.31</f>
        <v>39.31</v>
      </c>
      <c r="E500">
        <f>11.415</f>
        <v>11.414999999999999</v>
      </c>
      <c r="F500">
        <f>30.35</f>
        <v>30.35</v>
      </c>
      <c r="G500">
        <f>1.8659</f>
        <v>1.8658999999999999</v>
      </c>
    </row>
    <row r="501" spans="1:7" x14ac:dyDescent="0.25">
      <c r="A501" s="1">
        <v>44092</v>
      </c>
      <c r="B501">
        <f>1.582</f>
        <v>1.5820000000000001</v>
      </c>
      <c r="C501">
        <f>42.35</f>
        <v>42.35</v>
      </c>
      <c r="D501">
        <f>41.11</f>
        <v>41.11</v>
      </c>
      <c r="E501">
        <f>11.45</f>
        <v>11.45</v>
      </c>
      <c r="F501">
        <f>30.35</f>
        <v>30.35</v>
      </c>
      <c r="G501">
        <f>1.9933</f>
        <v>1.9933000000000001</v>
      </c>
    </row>
    <row r="502" spans="1:7" x14ac:dyDescent="0.25">
      <c r="A502" s="1">
        <v>44091</v>
      </c>
      <c r="B502">
        <f>1.676</f>
        <v>1.6759999999999999</v>
      </c>
      <c r="C502">
        <f>42.53</f>
        <v>42.53</v>
      </c>
      <c r="D502">
        <f>40.97</f>
        <v>40.97</v>
      </c>
      <c r="E502">
        <f>11.15</f>
        <v>11.15</v>
      </c>
      <c r="F502">
        <f>29.35</f>
        <v>29.35</v>
      </c>
      <c r="G502">
        <f>1.8444</f>
        <v>1.8444</v>
      </c>
    </row>
    <row r="503" spans="1:7" x14ac:dyDescent="0.25">
      <c r="A503" s="1">
        <v>44090</v>
      </c>
      <c r="B503">
        <f>2.048</f>
        <v>2.048</v>
      </c>
      <c r="C503">
        <f>41.56</f>
        <v>41.56</v>
      </c>
      <c r="D503">
        <f>40.16</f>
        <v>40.159999999999997</v>
      </c>
      <c r="E503">
        <f>11.45</f>
        <v>11.45</v>
      </c>
      <c r="F503">
        <f>30.125</f>
        <v>30.125</v>
      </c>
      <c r="G503">
        <f>2.1578</f>
        <v>2.1577999999999999</v>
      </c>
    </row>
    <row r="504" spans="1:7" x14ac:dyDescent="0.25">
      <c r="A504" s="1">
        <v>44089</v>
      </c>
      <c r="B504">
        <f>2.181</f>
        <v>2.181</v>
      </c>
      <c r="C504">
        <f>39.95</f>
        <v>39.950000000000003</v>
      </c>
      <c r="D504">
        <f>38.28</f>
        <v>38.28</v>
      </c>
      <c r="E504">
        <f>10.93</f>
        <v>10.93</v>
      </c>
      <c r="F504">
        <f>28.825</f>
        <v>28.824999999999999</v>
      </c>
      <c r="G504">
        <f>2.2903</f>
        <v>2.2902999999999998</v>
      </c>
    </row>
    <row r="505" spans="1:7" x14ac:dyDescent="0.25">
      <c r="A505" s="1">
        <v>44088</v>
      </c>
      <c r="B505">
        <f>2.193</f>
        <v>2.1930000000000001</v>
      </c>
      <c r="C505">
        <f>38.88</f>
        <v>38.880000000000003</v>
      </c>
      <c r="D505">
        <f>37.26</f>
        <v>37.26</v>
      </c>
      <c r="E505">
        <f>10.8</f>
        <v>10.8</v>
      </c>
      <c r="F505">
        <f>28.44</f>
        <v>28.44</v>
      </c>
      <c r="G505">
        <f>2.2122</f>
        <v>2.2122000000000002</v>
      </c>
    </row>
    <row r="506" spans="1:7" x14ac:dyDescent="0.25">
      <c r="A506" s="1">
        <v>44085</v>
      </c>
      <c r="B506">
        <f>1.947</f>
        <v>1.9470000000000001</v>
      </c>
      <c r="C506">
        <f>39</f>
        <v>39</v>
      </c>
      <c r="D506">
        <f>37.33</f>
        <v>37.33</v>
      </c>
      <c r="E506">
        <f>10.51</f>
        <v>10.51</v>
      </c>
      <c r="F506">
        <f>27.9</f>
        <v>27.9</v>
      </c>
      <c r="G506">
        <f>2.1029</f>
        <v>2.1029</v>
      </c>
    </row>
    <row r="507" spans="1:7" x14ac:dyDescent="0.25">
      <c r="A507" s="1">
        <v>44084</v>
      </c>
      <c r="B507">
        <f>2.13</f>
        <v>2.13</v>
      </c>
      <c r="C507">
        <f>39.05</f>
        <v>39.049999999999997</v>
      </c>
      <c r="D507">
        <f>37.3</f>
        <v>37.299999999999997</v>
      </c>
      <c r="E507">
        <f>10.49</f>
        <v>10.49</v>
      </c>
      <c r="F507">
        <f>27.85</f>
        <v>27.85</v>
      </c>
      <c r="G507">
        <f>1.6397</f>
        <v>1.6396999999999999</v>
      </c>
    </row>
    <row r="508" spans="1:7" x14ac:dyDescent="0.25">
      <c r="A508" s="1">
        <v>44083</v>
      </c>
      <c r="B508">
        <f>2.207</f>
        <v>2.2069999999999999</v>
      </c>
      <c r="C508">
        <f>40.02</f>
        <v>40.020000000000003</v>
      </c>
      <c r="D508">
        <f>38.05</f>
        <v>38.049999999999997</v>
      </c>
      <c r="E508">
        <f>10.84</f>
        <v>10.84</v>
      </c>
      <c r="F508">
        <f>28.3</f>
        <v>28.3</v>
      </c>
      <c r="G508">
        <f>2.2997</f>
        <v>2.2997000000000001</v>
      </c>
    </row>
    <row r="509" spans="1:7" x14ac:dyDescent="0.25">
      <c r="A509" s="1">
        <v>44082</v>
      </c>
      <c r="B509">
        <f>2.333</f>
        <v>2.3330000000000002</v>
      </c>
      <c r="C509">
        <f>39.12</f>
        <v>39.119999999999997</v>
      </c>
      <c r="D509">
        <f>36.76</f>
        <v>36.76</v>
      </c>
      <c r="E509">
        <f>10.9</f>
        <v>10.9</v>
      </c>
      <c r="F509">
        <f>28.15</f>
        <v>28.15</v>
      </c>
      <c r="G509">
        <f>2.3066</f>
        <v>2.3066</v>
      </c>
    </row>
    <row r="510" spans="1:7" x14ac:dyDescent="0.25">
      <c r="A510" s="1">
        <v>44081</v>
      </c>
      <c r="B510" t="e">
        <f>NA()</f>
        <v>#N/A</v>
      </c>
      <c r="C510">
        <f>41.08</f>
        <v>41.08</v>
      </c>
      <c r="D510" t="e">
        <f>NA()</f>
        <v>#N/A</v>
      </c>
      <c r="E510">
        <f>11.22</f>
        <v>11.22</v>
      </c>
      <c r="F510">
        <f>29.1</f>
        <v>29.1</v>
      </c>
      <c r="G510" t="e">
        <f>NA()</f>
        <v>#N/A</v>
      </c>
    </row>
    <row r="511" spans="1:7" x14ac:dyDescent="0.25">
      <c r="A511" s="1">
        <v>44078</v>
      </c>
      <c r="B511">
        <f>1.827</f>
        <v>1.827</v>
      </c>
      <c r="C511">
        <f>41.33</f>
        <v>41.33</v>
      </c>
      <c r="D511">
        <f>39.77</f>
        <v>39.770000000000003</v>
      </c>
      <c r="E511">
        <f>11.95</f>
        <v>11.95</v>
      </c>
      <c r="F511">
        <f>30.83</f>
        <v>30.83</v>
      </c>
      <c r="G511">
        <f>2.5419</f>
        <v>2.5419</v>
      </c>
    </row>
    <row r="512" spans="1:7" x14ac:dyDescent="0.25">
      <c r="A512" s="1">
        <v>44077</v>
      </c>
      <c r="B512">
        <f>2.337</f>
        <v>2.3370000000000002</v>
      </c>
      <c r="C512">
        <f>42.9</f>
        <v>42.9</v>
      </c>
      <c r="D512">
        <f>41.37</f>
        <v>41.37</v>
      </c>
      <c r="E512">
        <f>11.8</f>
        <v>11.8</v>
      </c>
      <c r="F512">
        <f>30.55</f>
        <v>30.55</v>
      </c>
      <c r="G512">
        <f>2.3926</f>
        <v>2.3925999999999998</v>
      </c>
    </row>
    <row r="513" spans="1:7" x14ac:dyDescent="0.25">
      <c r="A513" s="1">
        <v>44076</v>
      </c>
      <c r="B513">
        <f>2.17</f>
        <v>2.17</v>
      </c>
      <c r="C513">
        <f>43.2</f>
        <v>43.2</v>
      </c>
      <c r="D513">
        <f>41.51</f>
        <v>41.51</v>
      </c>
      <c r="E513">
        <f>11.07</f>
        <v>11.07</v>
      </c>
      <c r="F513">
        <f>28.5</f>
        <v>28.5</v>
      </c>
      <c r="G513">
        <f>2.4038</f>
        <v>2.4037999999999999</v>
      </c>
    </row>
    <row r="514" spans="1:7" x14ac:dyDescent="0.25">
      <c r="A514" s="1">
        <v>44075</v>
      </c>
      <c r="B514">
        <f>2.233</f>
        <v>2.2330000000000001</v>
      </c>
      <c r="C514">
        <f>44.64</f>
        <v>44.64</v>
      </c>
      <c r="D514">
        <f>42.76</f>
        <v>42.76</v>
      </c>
      <c r="E514">
        <f>11.31</f>
        <v>11.31</v>
      </c>
      <c r="F514">
        <f>29.3</f>
        <v>29.3</v>
      </c>
      <c r="G514">
        <f>2.3767</f>
        <v>2.3767</v>
      </c>
    </row>
    <row r="515" spans="1:7" x14ac:dyDescent="0.25">
      <c r="A515" s="1">
        <v>44074</v>
      </c>
      <c r="B515">
        <f>2.285</f>
        <v>2.2850000000000001</v>
      </c>
      <c r="C515">
        <f>44.39</f>
        <v>44.39</v>
      </c>
      <c r="D515">
        <f>42.61</f>
        <v>42.61</v>
      </c>
      <c r="E515">
        <f>10.125</f>
        <v>10.125</v>
      </c>
      <c r="F515" t="e">
        <f>NA()</f>
        <v>#N/A</v>
      </c>
      <c r="G515">
        <f>2.4809</f>
        <v>2.4809000000000001</v>
      </c>
    </row>
    <row r="516" spans="1:7" x14ac:dyDescent="0.25">
      <c r="A516" s="1">
        <v>44071</v>
      </c>
      <c r="B516">
        <f>2.478</f>
        <v>2.4780000000000002</v>
      </c>
      <c r="C516">
        <f>44.67</f>
        <v>44.67</v>
      </c>
      <c r="D516">
        <f>42.97</f>
        <v>42.97</v>
      </c>
      <c r="E516">
        <f>9.85</f>
        <v>9.85</v>
      </c>
      <c r="F516">
        <f>27</f>
        <v>27</v>
      </c>
      <c r="G516">
        <f>2.5648</f>
        <v>2.5648</v>
      </c>
    </row>
    <row r="517" spans="1:7" x14ac:dyDescent="0.25">
      <c r="A517" s="1">
        <v>44070</v>
      </c>
      <c r="B517">
        <f>2.572</f>
        <v>2.5720000000000001</v>
      </c>
      <c r="C517">
        <f>44.63</f>
        <v>44.63</v>
      </c>
      <c r="D517">
        <f>43.04</f>
        <v>43.04</v>
      </c>
      <c r="E517">
        <f>9</f>
        <v>9</v>
      </c>
      <c r="F517">
        <f>24.7</f>
        <v>24.7</v>
      </c>
      <c r="G517">
        <f>2.5015</f>
        <v>2.5015000000000001</v>
      </c>
    </row>
    <row r="518" spans="1:7" x14ac:dyDescent="0.25">
      <c r="A518" s="1">
        <v>44069</v>
      </c>
      <c r="B518">
        <f>2.522</f>
        <v>2.5219999999999998</v>
      </c>
      <c r="C518">
        <f>45.25</f>
        <v>45.25</v>
      </c>
      <c r="D518">
        <f>43.39</f>
        <v>43.39</v>
      </c>
      <c r="E518">
        <f>9.275</f>
        <v>9.2750000000000004</v>
      </c>
      <c r="F518">
        <f>25.09</f>
        <v>25.09</v>
      </c>
      <c r="G518">
        <f>2.2927</f>
        <v>2.2927</v>
      </c>
    </row>
    <row r="519" spans="1:7" x14ac:dyDescent="0.25">
      <c r="A519" s="1">
        <v>44068</v>
      </c>
      <c r="B519">
        <f>2.525</f>
        <v>2.5249999999999999</v>
      </c>
      <c r="C519">
        <f>45.56</f>
        <v>45.56</v>
      </c>
      <c r="D519">
        <f>43.15</f>
        <v>43.15</v>
      </c>
      <c r="E519">
        <f>8.9</f>
        <v>8.9</v>
      </c>
      <c r="F519">
        <f>24.7</f>
        <v>24.7</v>
      </c>
      <c r="G519">
        <f>2.4217</f>
        <v>2.4217</v>
      </c>
    </row>
    <row r="520" spans="1:7" x14ac:dyDescent="0.25">
      <c r="A520" s="1">
        <v>44067</v>
      </c>
      <c r="B520">
        <f>2.531</f>
        <v>2.5310000000000001</v>
      </c>
      <c r="C520">
        <f>44.31</f>
        <v>44.31</v>
      </c>
      <c r="D520">
        <f>42.47</f>
        <v>42.47</v>
      </c>
      <c r="E520">
        <f>8.26</f>
        <v>8.26</v>
      </c>
      <c r="F520">
        <f>23</f>
        <v>23</v>
      </c>
      <c r="G520">
        <f>2.5666</f>
        <v>2.5666000000000002</v>
      </c>
    </row>
    <row r="521" spans="1:7" x14ac:dyDescent="0.25">
      <c r="A521" s="1">
        <v>44064</v>
      </c>
      <c r="B521">
        <f>2.325</f>
        <v>2.3250000000000002</v>
      </c>
      <c r="C521">
        <f>43.51</f>
        <v>43.51</v>
      </c>
      <c r="D521">
        <f>42.19</f>
        <v>42.19</v>
      </c>
      <c r="E521">
        <f>7.6</f>
        <v>7.6</v>
      </c>
      <c r="F521">
        <f>21</f>
        <v>21</v>
      </c>
      <c r="G521">
        <f>2.401</f>
        <v>2.4009999999999998</v>
      </c>
    </row>
    <row r="522" spans="1:7" x14ac:dyDescent="0.25">
      <c r="A522" s="1">
        <v>44063</v>
      </c>
      <c r="B522">
        <f>2.383</f>
        <v>2.383</v>
      </c>
      <c r="C522">
        <f>44.13</f>
        <v>44.13</v>
      </c>
      <c r="D522">
        <f>42.58</f>
        <v>42.58</v>
      </c>
      <c r="E522">
        <f>8.05</f>
        <v>8.0500000000000007</v>
      </c>
      <c r="F522">
        <f>22.57</f>
        <v>22.57</v>
      </c>
      <c r="G522">
        <f>2.2896</f>
        <v>2.2896000000000001</v>
      </c>
    </row>
    <row r="523" spans="1:7" x14ac:dyDescent="0.25">
      <c r="A523" s="1">
        <v>44062</v>
      </c>
      <c r="B523">
        <f>2.409</f>
        <v>2.4089999999999998</v>
      </c>
      <c r="C523">
        <f>44.32</f>
        <v>44.32</v>
      </c>
      <c r="D523">
        <f>42.93</f>
        <v>42.93</v>
      </c>
      <c r="E523">
        <f>8.34</f>
        <v>8.34</v>
      </c>
      <c r="F523">
        <f>22.75</f>
        <v>22.75</v>
      </c>
      <c r="G523">
        <f>2.4477</f>
        <v>2.4477000000000002</v>
      </c>
    </row>
    <row r="524" spans="1:7" x14ac:dyDescent="0.25">
      <c r="A524" s="1">
        <v>44061</v>
      </c>
      <c r="B524">
        <f>2.409</f>
        <v>2.4089999999999998</v>
      </c>
      <c r="C524">
        <f>44.27</f>
        <v>44.27</v>
      </c>
      <c r="D524">
        <f>42.89</f>
        <v>42.89</v>
      </c>
      <c r="E524">
        <f>8.75</f>
        <v>8.75</v>
      </c>
      <c r="F524">
        <f>24.1</f>
        <v>24.1</v>
      </c>
      <c r="G524">
        <f>2.3934</f>
        <v>2.3934000000000002</v>
      </c>
    </row>
    <row r="525" spans="1:7" x14ac:dyDescent="0.25">
      <c r="A525" s="1">
        <v>44060</v>
      </c>
      <c r="B525">
        <f>2.333</f>
        <v>2.3330000000000002</v>
      </c>
      <c r="C525">
        <f>44.35</f>
        <v>44.35</v>
      </c>
      <c r="D525">
        <f>42.89</f>
        <v>42.89</v>
      </c>
      <c r="E525">
        <f>8.1</f>
        <v>8.1</v>
      </c>
      <c r="F525">
        <f>22.33</f>
        <v>22.33</v>
      </c>
      <c r="G525">
        <f>2.4033</f>
        <v>2.4033000000000002</v>
      </c>
    </row>
    <row r="526" spans="1:7" x14ac:dyDescent="0.25">
      <c r="A526" s="1">
        <v>44057</v>
      </c>
      <c r="B526">
        <f>2.287</f>
        <v>2.2869999999999999</v>
      </c>
      <c r="C526">
        <f>43.93</f>
        <v>43.93</v>
      </c>
      <c r="D526">
        <f>42.01</f>
        <v>42.01</v>
      </c>
      <c r="E526">
        <f>8.2</f>
        <v>8.1999999999999993</v>
      </c>
      <c r="F526">
        <f>22</f>
        <v>22</v>
      </c>
      <c r="G526">
        <f>2.4008</f>
        <v>2.4007999999999998</v>
      </c>
    </row>
    <row r="527" spans="1:7" x14ac:dyDescent="0.25">
      <c r="A527" s="1">
        <v>44056</v>
      </c>
      <c r="B527">
        <f>2.185</f>
        <v>2.1850000000000001</v>
      </c>
      <c r="C527">
        <f>44.18</f>
        <v>44.18</v>
      </c>
      <c r="D527">
        <f>42.24</f>
        <v>42.24</v>
      </c>
      <c r="E527">
        <f>7.48</f>
        <v>7.48</v>
      </c>
      <c r="F527">
        <f>20.3</f>
        <v>20.3</v>
      </c>
      <c r="G527">
        <f>2.164</f>
        <v>2.1640000000000001</v>
      </c>
    </row>
    <row r="528" spans="1:7" x14ac:dyDescent="0.25">
      <c r="A528" s="1">
        <v>44055</v>
      </c>
      <c r="B528">
        <f>2.063</f>
        <v>2.0630000000000002</v>
      </c>
      <c r="C528">
        <f>44.49</f>
        <v>44.49</v>
      </c>
      <c r="D528">
        <f>42.67</f>
        <v>42.67</v>
      </c>
      <c r="E528">
        <f>7.175</f>
        <v>7.1749999999999998</v>
      </c>
      <c r="F528">
        <f>20.25</f>
        <v>20.25</v>
      </c>
      <c r="G528">
        <f>2.0985</f>
        <v>2.0985</v>
      </c>
    </row>
    <row r="529" spans="1:7" x14ac:dyDescent="0.25">
      <c r="A529" s="1">
        <v>44054</v>
      </c>
      <c r="B529">
        <f>2.163</f>
        <v>2.1629999999999998</v>
      </c>
      <c r="C529">
        <f>43.8</f>
        <v>43.8</v>
      </c>
      <c r="D529">
        <f>41.61</f>
        <v>41.61</v>
      </c>
      <c r="E529">
        <f>7.495</f>
        <v>7.4950000000000001</v>
      </c>
      <c r="F529">
        <f>20.6</f>
        <v>20.6</v>
      </c>
      <c r="G529">
        <f>2.0713</f>
        <v>2.0712999999999999</v>
      </c>
    </row>
    <row r="530" spans="1:7" x14ac:dyDescent="0.25">
      <c r="A530" s="1">
        <v>44053</v>
      </c>
      <c r="B530">
        <f>2.223</f>
        <v>2.2229999999999999</v>
      </c>
      <c r="C530">
        <f>44.26</f>
        <v>44.26</v>
      </c>
      <c r="D530">
        <f>41.94</f>
        <v>41.94</v>
      </c>
      <c r="E530">
        <f>7.55</f>
        <v>7.55</v>
      </c>
      <c r="F530">
        <f>20.89</f>
        <v>20.89</v>
      </c>
      <c r="G530">
        <f>2.1281</f>
        <v>2.1280999999999999</v>
      </c>
    </row>
    <row r="531" spans="1:7" x14ac:dyDescent="0.25">
      <c r="A531" s="1">
        <v>44050</v>
      </c>
      <c r="B531">
        <f>2.135</f>
        <v>2.1349999999999998</v>
      </c>
      <c r="C531">
        <f>44.04</f>
        <v>44.04</v>
      </c>
      <c r="D531">
        <f>41.22</f>
        <v>41.22</v>
      </c>
      <c r="E531">
        <f>7.925</f>
        <v>7.9249999999999998</v>
      </c>
      <c r="F531">
        <f>21.81</f>
        <v>21.81</v>
      </c>
      <c r="G531">
        <f>2.2589</f>
        <v>2.2589000000000001</v>
      </c>
    </row>
    <row r="532" spans="1:7" x14ac:dyDescent="0.25">
      <c r="A532" s="1">
        <v>44049</v>
      </c>
      <c r="B532">
        <f>2.206</f>
        <v>2.206</v>
      </c>
      <c r="C532">
        <f>44.23</f>
        <v>44.23</v>
      </c>
      <c r="D532">
        <f>41.95</f>
        <v>41.95</v>
      </c>
      <c r="E532">
        <f>7.8</f>
        <v>7.8</v>
      </c>
      <c r="F532">
        <f>21.35</f>
        <v>21.35</v>
      </c>
      <c r="G532">
        <f>2.1237</f>
        <v>2.1236999999999999</v>
      </c>
    </row>
    <row r="533" spans="1:7" x14ac:dyDescent="0.25">
      <c r="A533" s="1">
        <v>44048</v>
      </c>
      <c r="B533">
        <f>2.183</f>
        <v>2.1829999999999998</v>
      </c>
      <c r="C533">
        <f>44.39</f>
        <v>44.39</v>
      </c>
      <c r="D533">
        <f>42.19</f>
        <v>42.19</v>
      </c>
      <c r="E533">
        <f>7.28</f>
        <v>7.28</v>
      </c>
      <c r="F533">
        <f>19.94</f>
        <v>19.940000000000001</v>
      </c>
      <c r="G533">
        <f>2.2737</f>
        <v>2.2736999999999998</v>
      </c>
    </row>
    <row r="534" spans="1:7" x14ac:dyDescent="0.25">
      <c r="A534" s="1">
        <v>44047</v>
      </c>
      <c r="B534">
        <f>2.079</f>
        <v>2.0790000000000002</v>
      </c>
      <c r="C534">
        <f>43.56</f>
        <v>43.56</v>
      </c>
      <c r="D534">
        <f>41.7</f>
        <v>41.7</v>
      </c>
      <c r="E534">
        <f>7.15</f>
        <v>7.15</v>
      </c>
      <c r="F534">
        <f>19.2</f>
        <v>19.2</v>
      </c>
      <c r="G534">
        <f>2.3402</f>
        <v>2.3401999999999998</v>
      </c>
    </row>
    <row r="535" spans="1:7" x14ac:dyDescent="0.25">
      <c r="A535" s="1">
        <v>44046</v>
      </c>
      <c r="B535">
        <f>1.966</f>
        <v>1.966</v>
      </c>
      <c r="C535">
        <f>43.13</f>
        <v>43.13</v>
      </c>
      <c r="D535">
        <f>41.01</f>
        <v>41.01</v>
      </c>
      <c r="E535">
        <f>6.97</f>
        <v>6.97</v>
      </c>
      <c r="F535">
        <f>18.59</f>
        <v>18.59</v>
      </c>
      <c r="G535">
        <f>2.2239</f>
        <v>2.2239</v>
      </c>
    </row>
    <row r="536" spans="1:7" x14ac:dyDescent="0.25">
      <c r="A536" s="1">
        <v>44043</v>
      </c>
      <c r="B536">
        <f>1.761</f>
        <v>1.7609999999999999</v>
      </c>
      <c r="C536">
        <f>42.81</f>
        <v>42.81</v>
      </c>
      <c r="D536">
        <f>40.27</f>
        <v>40.270000000000003</v>
      </c>
      <c r="E536">
        <f>5.3</f>
        <v>5.3</v>
      </c>
      <c r="F536">
        <f>13.7</f>
        <v>13.7</v>
      </c>
      <c r="G536">
        <f>1.8069</f>
        <v>1.8069</v>
      </c>
    </row>
    <row r="537" spans="1:7" x14ac:dyDescent="0.25">
      <c r="A537" s="1">
        <v>44042</v>
      </c>
      <c r="B537">
        <f>1.797</f>
        <v>1.7969999999999999</v>
      </c>
      <c r="C537">
        <f>42.64</f>
        <v>42.64</v>
      </c>
      <c r="D537">
        <f>39.92</f>
        <v>39.92</v>
      </c>
      <c r="E537">
        <f>5.05</f>
        <v>5.05</v>
      </c>
      <c r="F537">
        <f>13.46</f>
        <v>13.46</v>
      </c>
      <c r="G537">
        <f>1.8824</f>
        <v>1.8824000000000001</v>
      </c>
    </row>
    <row r="538" spans="1:7" x14ac:dyDescent="0.25">
      <c r="A538" s="1">
        <v>44041</v>
      </c>
      <c r="B538">
        <f>1.766</f>
        <v>1.766</v>
      </c>
      <c r="C538">
        <f>43.13</f>
        <v>43.13</v>
      </c>
      <c r="D538">
        <f>41.27</f>
        <v>41.27</v>
      </c>
      <c r="E538">
        <f>5.2</f>
        <v>5.2</v>
      </c>
      <c r="F538">
        <f>13.8</f>
        <v>13.8</v>
      </c>
      <c r="G538">
        <f>1.9776</f>
        <v>1.9776</v>
      </c>
    </row>
    <row r="539" spans="1:7" x14ac:dyDescent="0.25">
      <c r="A539" s="1">
        <v>44040</v>
      </c>
      <c r="B539">
        <f>1.753</f>
        <v>1.7529999999999999</v>
      </c>
      <c r="C539">
        <f>42.47</f>
        <v>42.47</v>
      </c>
      <c r="D539">
        <f>41.04</f>
        <v>41.04</v>
      </c>
      <c r="E539">
        <f>4.975</f>
        <v>4.9749999999999996</v>
      </c>
      <c r="F539">
        <f>13.19</f>
        <v>13.19</v>
      </c>
      <c r="G539">
        <f>1.8715</f>
        <v>1.8714999999999999</v>
      </c>
    </row>
    <row r="540" spans="1:7" x14ac:dyDescent="0.25">
      <c r="A540" s="1">
        <v>44039</v>
      </c>
      <c r="B540">
        <f>1.794</f>
        <v>1.794</v>
      </c>
      <c r="C540">
        <f>43.11</f>
        <v>43.11</v>
      </c>
      <c r="D540">
        <f>41.6</f>
        <v>41.6</v>
      </c>
      <c r="E540">
        <f>4.8</f>
        <v>4.8</v>
      </c>
      <c r="F540">
        <f>12.8</f>
        <v>12.8</v>
      </c>
      <c r="G540">
        <f>1.8014</f>
        <v>1.8013999999999999</v>
      </c>
    </row>
    <row r="541" spans="1:7" x14ac:dyDescent="0.25">
      <c r="A541" s="1">
        <v>44036</v>
      </c>
      <c r="B541">
        <f>1.75</f>
        <v>1.75</v>
      </c>
      <c r="C541">
        <f>42.94</f>
        <v>42.94</v>
      </c>
      <c r="D541">
        <f>41.14</f>
        <v>41.14</v>
      </c>
      <c r="E541">
        <f>4.94</f>
        <v>4.9400000000000004</v>
      </c>
      <c r="F541">
        <f>13.59</f>
        <v>13.59</v>
      </c>
      <c r="G541">
        <f>1.9657</f>
        <v>1.9657</v>
      </c>
    </row>
    <row r="542" spans="1:7" x14ac:dyDescent="0.25">
      <c r="A542" s="1">
        <v>44035</v>
      </c>
      <c r="B542">
        <f>1.718</f>
        <v>1.718</v>
      </c>
      <c r="C542">
        <f>42.81</f>
        <v>42.81</v>
      </c>
      <c r="D542">
        <f>41.02</f>
        <v>41.02</v>
      </c>
      <c r="E542">
        <f>5</f>
        <v>5</v>
      </c>
      <c r="F542">
        <f>13.7</f>
        <v>13.7</v>
      </c>
      <c r="G542">
        <f>1.9576</f>
        <v>1.9576</v>
      </c>
    </row>
    <row r="543" spans="1:7" x14ac:dyDescent="0.25">
      <c r="A543" s="1">
        <v>44034</v>
      </c>
      <c r="B543">
        <f>1.68</f>
        <v>1.68</v>
      </c>
      <c r="C543">
        <f>43.63</f>
        <v>43.63</v>
      </c>
      <c r="D543">
        <f>41.85</f>
        <v>41.85</v>
      </c>
      <c r="E543">
        <f>4.915</f>
        <v>4.915</v>
      </c>
      <c r="F543">
        <f>13.2</f>
        <v>13.2</v>
      </c>
      <c r="G543">
        <f>1.8562</f>
        <v>1.8562000000000001</v>
      </c>
    </row>
    <row r="544" spans="1:7" x14ac:dyDescent="0.25">
      <c r="A544" s="1">
        <v>44033</v>
      </c>
      <c r="B544">
        <f>1.645</f>
        <v>1.645</v>
      </c>
      <c r="C544">
        <f>43.67</f>
        <v>43.67</v>
      </c>
      <c r="D544">
        <f>41.96</f>
        <v>41.96</v>
      </c>
      <c r="E544">
        <f>4.8</f>
        <v>4.8</v>
      </c>
      <c r="F544">
        <f>12.8</f>
        <v>12.8</v>
      </c>
      <c r="G544">
        <f>1.78</f>
        <v>1.78</v>
      </c>
    </row>
    <row r="545" spans="1:7" x14ac:dyDescent="0.25">
      <c r="A545" s="1">
        <v>44032</v>
      </c>
      <c r="B545">
        <f>1.664</f>
        <v>1.6639999999999999</v>
      </c>
      <c r="C545">
        <f>42.88</f>
        <v>42.88</v>
      </c>
      <c r="D545">
        <f>40.81</f>
        <v>40.81</v>
      </c>
      <c r="E545">
        <f>4.75</f>
        <v>4.75</v>
      </c>
      <c r="F545">
        <f>12.275</f>
        <v>12.275</v>
      </c>
      <c r="G545">
        <f>1.7746</f>
        <v>1.7746</v>
      </c>
    </row>
    <row r="546" spans="1:7" x14ac:dyDescent="0.25">
      <c r="A546" s="1">
        <v>44029</v>
      </c>
      <c r="B546">
        <f>1.746</f>
        <v>1.746</v>
      </c>
      <c r="C546">
        <f>43.12</f>
        <v>43.12</v>
      </c>
      <c r="D546">
        <f>40.59</f>
        <v>40.590000000000003</v>
      </c>
      <c r="E546">
        <f>5.1</f>
        <v>5.0999999999999996</v>
      </c>
      <c r="F546">
        <f>13.5</f>
        <v>13.5</v>
      </c>
      <c r="G546">
        <f>1.8131</f>
        <v>1.8130999999999999</v>
      </c>
    </row>
    <row r="547" spans="1:7" x14ac:dyDescent="0.25">
      <c r="A547" s="1">
        <v>44028</v>
      </c>
      <c r="B547">
        <f>1.755</f>
        <v>1.7549999999999999</v>
      </c>
      <c r="C547">
        <f>43.47</f>
        <v>43.47</v>
      </c>
      <c r="D547">
        <f>40.75</f>
        <v>40.75</v>
      </c>
      <c r="E547">
        <f>5.05</f>
        <v>5.05</v>
      </c>
      <c r="F547">
        <f>12.95</f>
        <v>12.95</v>
      </c>
      <c r="G547">
        <f>1.8276</f>
        <v>1.8275999999999999</v>
      </c>
    </row>
    <row r="548" spans="1:7" x14ac:dyDescent="0.25">
      <c r="A548" s="1">
        <v>44027</v>
      </c>
      <c r="B548">
        <f>1.746</f>
        <v>1.746</v>
      </c>
      <c r="C548">
        <f>43.7</f>
        <v>43.7</v>
      </c>
      <c r="D548">
        <f>41.2</f>
        <v>41.2</v>
      </c>
      <c r="E548">
        <f>5.2</f>
        <v>5.2</v>
      </c>
      <c r="F548">
        <f>13.61</f>
        <v>13.61</v>
      </c>
      <c r="G548">
        <f>1.8891</f>
        <v>1.8891</v>
      </c>
    </row>
    <row r="549" spans="1:7" x14ac:dyDescent="0.25">
      <c r="A549" s="1">
        <v>44026</v>
      </c>
      <c r="B549">
        <f>1.748</f>
        <v>1.748</v>
      </c>
      <c r="C549">
        <f>43.01</f>
        <v>43.01</v>
      </c>
      <c r="D549">
        <f>40.29</f>
        <v>40.29</v>
      </c>
      <c r="E549">
        <f>5.16</f>
        <v>5.16</v>
      </c>
      <c r="F549">
        <f>13.1</f>
        <v>13.1</v>
      </c>
      <c r="G549">
        <f>1.8026</f>
        <v>1.8026</v>
      </c>
    </row>
    <row r="550" spans="1:7" x14ac:dyDescent="0.25">
      <c r="A550" s="1">
        <v>44025</v>
      </c>
      <c r="B550">
        <f>1.749</f>
        <v>1.7490000000000001</v>
      </c>
      <c r="C550">
        <f>41.98</f>
        <v>41.98</v>
      </c>
      <c r="D550">
        <f>40.1</f>
        <v>40.1</v>
      </c>
      <c r="E550">
        <f>5.075</f>
        <v>5.0750000000000002</v>
      </c>
      <c r="F550">
        <f>12.5</f>
        <v>12.5</v>
      </c>
      <c r="G550">
        <f>1.7969</f>
        <v>1.7968999999999999</v>
      </c>
    </row>
    <row r="551" spans="1:7" x14ac:dyDescent="0.25">
      <c r="A551" s="1">
        <v>44022</v>
      </c>
      <c r="B551">
        <f>1.82</f>
        <v>1.82</v>
      </c>
      <c r="C551">
        <f>42.94</f>
        <v>42.94</v>
      </c>
      <c r="D551">
        <f>40.55</f>
        <v>40.549999999999997</v>
      </c>
      <c r="E551">
        <f>5.42</f>
        <v>5.42</v>
      </c>
      <c r="F551">
        <f>13.45</f>
        <v>13.45</v>
      </c>
      <c r="G551">
        <f>1.8581</f>
        <v>1.8581000000000001</v>
      </c>
    </row>
    <row r="552" spans="1:7" x14ac:dyDescent="0.25">
      <c r="A552" s="1">
        <v>44021</v>
      </c>
      <c r="B552">
        <f>1.863</f>
        <v>1.863</v>
      </c>
      <c r="C552">
        <f>42.04</f>
        <v>42.04</v>
      </c>
      <c r="D552">
        <f>39.62</f>
        <v>39.619999999999997</v>
      </c>
      <c r="E552">
        <f>5.71</f>
        <v>5.71</v>
      </c>
      <c r="F552">
        <f>14.51</f>
        <v>14.51</v>
      </c>
      <c r="G552">
        <f>1.7552</f>
        <v>1.7552000000000001</v>
      </c>
    </row>
    <row r="553" spans="1:7" x14ac:dyDescent="0.25">
      <c r="A553" s="1">
        <v>44020</v>
      </c>
      <c r="B553">
        <f>1.796</f>
        <v>1.796</v>
      </c>
      <c r="C553">
        <f>43.07</f>
        <v>43.07</v>
      </c>
      <c r="D553">
        <f>40.9</f>
        <v>40.9</v>
      </c>
      <c r="E553">
        <f>5.925</f>
        <v>5.9249999999999998</v>
      </c>
      <c r="F553">
        <f>14.99</f>
        <v>14.99</v>
      </c>
      <c r="G553">
        <f>1.8423</f>
        <v>1.8423</v>
      </c>
    </row>
    <row r="554" spans="1:7" x14ac:dyDescent="0.25">
      <c r="A554" s="1">
        <v>44019</v>
      </c>
      <c r="B554">
        <f>1.728</f>
        <v>1.728</v>
      </c>
      <c r="C554">
        <f>42.46</f>
        <v>42.46</v>
      </c>
      <c r="D554">
        <f>40.62</f>
        <v>40.619999999999997</v>
      </c>
      <c r="E554">
        <f>6.15</f>
        <v>6.15</v>
      </c>
      <c r="F554">
        <f>15.53</f>
        <v>15.53</v>
      </c>
      <c r="G554">
        <f>1.9034</f>
        <v>1.9034</v>
      </c>
    </row>
    <row r="555" spans="1:7" x14ac:dyDescent="0.25">
      <c r="A555" s="1">
        <v>44018</v>
      </c>
      <c r="B555">
        <f>1.725</f>
        <v>1.7250000000000001</v>
      </c>
      <c r="C555">
        <f>42.48</f>
        <v>42.48</v>
      </c>
      <c r="D555">
        <f>40.63</f>
        <v>40.630000000000003</v>
      </c>
      <c r="E555">
        <f>6.075</f>
        <v>6.0750000000000002</v>
      </c>
      <c r="F555">
        <f>15.23</f>
        <v>15.23</v>
      </c>
      <c r="G555">
        <f>1.8748</f>
        <v>1.8748</v>
      </c>
    </row>
    <row r="556" spans="1:7" x14ac:dyDescent="0.25">
      <c r="A556" s="1">
        <v>44015</v>
      </c>
      <c r="B556" t="e">
        <f>NA()</f>
        <v>#N/A</v>
      </c>
      <c r="C556">
        <f>42.37</f>
        <v>42.37</v>
      </c>
      <c r="D556" t="e">
        <f>NA()</f>
        <v>#N/A</v>
      </c>
      <c r="E556">
        <f>5.95</f>
        <v>5.95</v>
      </c>
      <c r="F556">
        <f>14.99</f>
        <v>14.99</v>
      </c>
      <c r="G556" t="e">
        <f>NA()</f>
        <v>#N/A</v>
      </c>
    </row>
    <row r="557" spans="1:7" x14ac:dyDescent="0.25">
      <c r="A557" s="1">
        <v>44014</v>
      </c>
      <c r="B557">
        <f>1.607</f>
        <v>1.607</v>
      </c>
      <c r="C557">
        <f>42.39</f>
        <v>42.39</v>
      </c>
      <c r="D557">
        <f>40.65</f>
        <v>40.65</v>
      </c>
      <c r="E557">
        <f>5.925</f>
        <v>5.9249999999999998</v>
      </c>
      <c r="F557">
        <f>15.4</f>
        <v>15.4</v>
      </c>
      <c r="G557">
        <f>1.7407</f>
        <v>1.7406999999999999</v>
      </c>
    </row>
    <row r="558" spans="1:7" x14ac:dyDescent="0.25">
      <c r="A558" s="1">
        <v>44013</v>
      </c>
      <c r="B558">
        <f>1.611</f>
        <v>1.611</v>
      </c>
      <c r="C558">
        <f>41.59</f>
        <v>41.59</v>
      </c>
      <c r="D558">
        <f>39.82</f>
        <v>39.82</v>
      </c>
      <c r="E558">
        <f>5.825</f>
        <v>5.8250000000000002</v>
      </c>
      <c r="F558">
        <f>15.4</f>
        <v>15.4</v>
      </c>
      <c r="G558">
        <f>1.8093</f>
        <v>1.8092999999999999</v>
      </c>
    </row>
    <row r="559" spans="1:7" x14ac:dyDescent="0.25">
      <c r="A559" s="1">
        <v>44012</v>
      </c>
      <c r="B559">
        <f>1.712</f>
        <v>1.712</v>
      </c>
      <c r="C559">
        <f>40.89</f>
        <v>40.89</v>
      </c>
      <c r="D559">
        <f>39.27</f>
        <v>39.270000000000003</v>
      </c>
      <c r="E559">
        <f>5.7</f>
        <v>5.7</v>
      </c>
      <c r="F559">
        <f>15.85</f>
        <v>15.85</v>
      </c>
      <c r="G559">
        <f>1.8936</f>
        <v>1.8935999999999999</v>
      </c>
    </row>
    <row r="560" spans="1:7" x14ac:dyDescent="0.25">
      <c r="A560" s="1">
        <v>44011</v>
      </c>
      <c r="B560">
        <f>1.655</f>
        <v>1.655</v>
      </c>
      <c r="C560">
        <f>41.17</f>
        <v>41.17</v>
      </c>
      <c r="D560">
        <f>39.7</f>
        <v>39.700000000000003</v>
      </c>
      <c r="E560">
        <f>5.825</f>
        <v>5.8250000000000002</v>
      </c>
      <c r="F560">
        <f>15.7</f>
        <v>15.7</v>
      </c>
      <c r="G560">
        <f>1.8552</f>
        <v>1.8552</v>
      </c>
    </row>
    <row r="561" spans="1:7" x14ac:dyDescent="0.25">
      <c r="A561" s="1">
        <v>44008</v>
      </c>
      <c r="B561">
        <f>1.415</f>
        <v>1.415</v>
      </c>
      <c r="C561">
        <f>40.02</f>
        <v>40.020000000000003</v>
      </c>
      <c r="D561">
        <f>38.49</f>
        <v>38.49</v>
      </c>
      <c r="E561">
        <f>5.25</f>
        <v>5.25</v>
      </c>
      <c r="F561">
        <f>14</f>
        <v>14</v>
      </c>
      <c r="G561">
        <f>1.6644</f>
        <v>1.6644000000000001</v>
      </c>
    </row>
    <row r="562" spans="1:7" x14ac:dyDescent="0.25">
      <c r="A562" s="1">
        <v>44007</v>
      </c>
      <c r="B562">
        <f>1.514</f>
        <v>1.514</v>
      </c>
      <c r="C562">
        <f>40.39</f>
        <v>40.39</v>
      </c>
      <c r="D562">
        <f>38.67</f>
        <v>38.67</v>
      </c>
      <c r="E562">
        <f>5.25</f>
        <v>5.25</v>
      </c>
      <c r="F562">
        <f>13.65</f>
        <v>13.65</v>
      </c>
      <c r="G562">
        <f>1.5706</f>
        <v>1.5706</v>
      </c>
    </row>
    <row r="563" spans="1:7" x14ac:dyDescent="0.25">
      <c r="A563" s="1">
        <v>44006</v>
      </c>
      <c r="B563">
        <f>1.615</f>
        <v>1.615</v>
      </c>
      <c r="C563">
        <f>39.46</f>
        <v>39.46</v>
      </c>
      <c r="D563">
        <f>37.91</f>
        <v>37.909999999999997</v>
      </c>
      <c r="E563">
        <f>5.65</f>
        <v>5.65</v>
      </c>
      <c r="F563">
        <f>14.65</f>
        <v>14.65</v>
      </c>
      <c r="G563">
        <f>1.7158</f>
        <v>1.7158</v>
      </c>
    </row>
    <row r="564" spans="1:7" x14ac:dyDescent="0.25">
      <c r="A564" s="1">
        <v>44005</v>
      </c>
      <c r="B564">
        <f>1.606</f>
        <v>1.6060000000000001</v>
      </c>
      <c r="C564">
        <f>41.72</f>
        <v>41.72</v>
      </c>
      <c r="D564">
        <f>40.27</f>
        <v>40.270000000000003</v>
      </c>
      <c r="E564">
        <f>5.85</f>
        <v>5.85</v>
      </c>
      <c r="F564">
        <f>15.25</f>
        <v>15.25</v>
      </c>
      <c r="G564">
        <f>1.7293</f>
        <v>1.7293000000000001</v>
      </c>
    </row>
    <row r="565" spans="1:7" x14ac:dyDescent="0.25">
      <c r="A565" s="1">
        <v>44004</v>
      </c>
      <c r="B565">
        <f>1.616</f>
        <v>1.6160000000000001</v>
      </c>
      <c r="C565">
        <f>42.23</f>
        <v>42.23</v>
      </c>
      <c r="D565">
        <f>40.46</f>
        <v>40.46</v>
      </c>
      <c r="E565">
        <f>5.45</f>
        <v>5.45</v>
      </c>
      <c r="F565">
        <f>13.75</f>
        <v>13.75</v>
      </c>
      <c r="G565">
        <f>1.772</f>
        <v>1.772</v>
      </c>
    </row>
    <row r="566" spans="1:7" x14ac:dyDescent="0.25">
      <c r="A566" s="1">
        <v>44001</v>
      </c>
      <c r="B566">
        <f>1.476</f>
        <v>1.476</v>
      </c>
      <c r="C566">
        <f>41.45</f>
        <v>41.45</v>
      </c>
      <c r="D566">
        <f>39.75</f>
        <v>39.75</v>
      </c>
      <c r="E566">
        <f>5.65</f>
        <v>5.65</v>
      </c>
      <c r="F566">
        <f>14.4</f>
        <v>14.4</v>
      </c>
      <c r="G566">
        <f>1.7952</f>
        <v>1.7951999999999999</v>
      </c>
    </row>
    <row r="567" spans="1:7" x14ac:dyDescent="0.25">
      <c r="A567" s="1">
        <v>44000</v>
      </c>
      <c r="B567">
        <f>1.455</f>
        <v>1.4550000000000001</v>
      </c>
      <c r="C567">
        <f>41.08</f>
        <v>41.08</v>
      </c>
      <c r="D567">
        <f>38.84</f>
        <v>38.840000000000003</v>
      </c>
      <c r="E567">
        <f>5.5</f>
        <v>5.5</v>
      </c>
      <c r="F567">
        <f>14.05</f>
        <v>14.05</v>
      </c>
      <c r="G567">
        <f>1.7498</f>
        <v>1.7498</v>
      </c>
    </row>
    <row r="568" spans="1:7" x14ac:dyDescent="0.25">
      <c r="A568" s="1">
        <v>43999</v>
      </c>
      <c r="B568">
        <f>1.495</f>
        <v>1.4950000000000001</v>
      </c>
      <c r="C568">
        <f>39.95</f>
        <v>39.950000000000003</v>
      </c>
      <c r="D568">
        <f>37.96</f>
        <v>37.96</v>
      </c>
      <c r="E568">
        <f>5.36</f>
        <v>5.36</v>
      </c>
      <c r="F568">
        <f>13.7</f>
        <v>13.7</v>
      </c>
      <c r="G568">
        <f>1.7151</f>
        <v>1.7151000000000001</v>
      </c>
    </row>
    <row r="569" spans="1:7" x14ac:dyDescent="0.25">
      <c r="A569" s="1">
        <v>43998</v>
      </c>
      <c r="B569">
        <f>1.424</f>
        <v>1.4239999999999999</v>
      </c>
      <c r="C569">
        <f>40.22</f>
        <v>40.22</v>
      </c>
      <c r="D569">
        <f>38.38</f>
        <v>38.380000000000003</v>
      </c>
      <c r="E569">
        <f>5.15</f>
        <v>5.15</v>
      </c>
      <c r="F569">
        <f>13.15</f>
        <v>13.15</v>
      </c>
      <c r="G569">
        <f>1.6529</f>
        <v>1.6529</v>
      </c>
    </row>
    <row r="570" spans="1:7" x14ac:dyDescent="0.25">
      <c r="A570" s="1">
        <v>43997</v>
      </c>
      <c r="B570">
        <f>1.603</f>
        <v>1.603</v>
      </c>
      <c r="C570">
        <f>39.42</f>
        <v>39.42</v>
      </c>
      <c r="D570">
        <f>37.12</f>
        <v>37.119999999999997</v>
      </c>
      <c r="E570">
        <f>5.32</f>
        <v>5.32</v>
      </c>
      <c r="F570">
        <f>13.975</f>
        <v>13.975</v>
      </c>
      <c r="G570">
        <f>1.7135</f>
        <v>1.7135</v>
      </c>
    </row>
    <row r="571" spans="1:7" x14ac:dyDescent="0.25">
      <c r="A571" s="1">
        <v>43994</v>
      </c>
      <c r="B571">
        <f>1.644</f>
        <v>1.6439999999999999</v>
      </c>
      <c r="C571">
        <f>38.46</f>
        <v>38.46</v>
      </c>
      <c r="D571">
        <f>36.26</f>
        <v>36.26</v>
      </c>
      <c r="E571">
        <f>5.2</f>
        <v>5.2</v>
      </c>
      <c r="F571">
        <f>13.8</f>
        <v>13.8</v>
      </c>
      <c r="G571">
        <f>1.7757</f>
        <v>1.7757000000000001</v>
      </c>
    </row>
    <row r="572" spans="1:7" x14ac:dyDescent="0.25">
      <c r="A572" s="1">
        <v>43993</v>
      </c>
      <c r="B572">
        <f>1.754</f>
        <v>1.754</v>
      </c>
      <c r="C572">
        <f>37.85</f>
        <v>37.85</v>
      </c>
      <c r="D572">
        <f>36.34</f>
        <v>36.340000000000003</v>
      </c>
      <c r="E572">
        <f>4.65</f>
        <v>4.6500000000000004</v>
      </c>
      <c r="F572">
        <f>12.55</f>
        <v>12.55</v>
      </c>
      <c r="G572">
        <f>1.9135</f>
        <v>1.9135</v>
      </c>
    </row>
    <row r="573" spans="1:7" x14ac:dyDescent="0.25">
      <c r="A573" s="1">
        <v>43992</v>
      </c>
      <c r="B573">
        <f>1.722</f>
        <v>1.722</v>
      </c>
      <c r="C573">
        <f>40.39</f>
        <v>40.39</v>
      </c>
      <c r="D573">
        <f>39.6</f>
        <v>39.6</v>
      </c>
      <c r="E573">
        <f>4.825</f>
        <v>4.8250000000000002</v>
      </c>
      <c r="F573">
        <f>12</f>
        <v>12</v>
      </c>
      <c r="G573">
        <f>1.8456</f>
        <v>1.8455999999999999</v>
      </c>
    </row>
    <row r="574" spans="1:7" x14ac:dyDescent="0.25">
      <c r="A574" s="1">
        <v>43991</v>
      </c>
      <c r="B574">
        <f>1.736</f>
        <v>1.736</v>
      </c>
      <c r="C574">
        <f>39.87</f>
        <v>39.869999999999997</v>
      </c>
      <c r="D574">
        <f>38.94</f>
        <v>38.94</v>
      </c>
      <c r="E574">
        <f>4.9</f>
        <v>4.9000000000000004</v>
      </c>
      <c r="F574">
        <f>11.75</f>
        <v>11.75</v>
      </c>
      <c r="G574">
        <f>1.8078</f>
        <v>1.8078000000000001</v>
      </c>
    </row>
    <row r="575" spans="1:7" x14ac:dyDescent="0.25">
      <c r="A575" s="1">
        <v>43990</v>
      </c>
      <c r="B575">
        <f>1.695</f>
        <v>1.6950000000000001</v>
      </c>
      <c r="C575">
        <f>39.94</f>
        <v>39.94</v>
      </c>
      <c r="D575">
        <f>38.19</f>
        <v>38.19</v>
      </c>
      <c r="E575">
        <f>5.2</f>
        <v>5.2</v>
      </c>
      <c r="F575">
        <f>12.5</f>
        <v>12.5</v>
      </c>
      <c r="G575">
        <f>1.8493</f>
        <v>1.8492999999999999</v>
      </c>
    </row>
    <row r="576" spans="1:7" x14ac:dyDescent="0.25">
      <c r="A576" s="1">
        <v>43987</v>
      </c>
      <c r="B576">
        <f>1.786</f>
        <v>1.786</v>
      </c>
      <c r="C576">
        <f>41.13</f>
        <v>41.13</v>
      </c>
      <c r="D576">
        <f>39.55</f>
        <v>39.549999999999997</v>
      </c>
      <c r="E576">
        <f>5.55</f>
        <v>5.55</v>
      </c>
      <c r="F576">
        <f>13.6</f>
        <v>13.6</v>
      </c>
      <c r="G576">
        <f>1.8477</f>
        <v>1.8476999999999999</v>
      </c>
    </row>
    <row r="577" spans="1:7" x14ac:dyDescent="0.25">
      <c r="A577" s="1">
        <v>43986</v>
      </c>
      <c r="B577">
        <f>1.713</f>
        <v>1.7130000000000001</v>
      </c>
      <c r="C577">
        <f>38.98</f>
        <v>38.979999999999997</v>
      </c>
      <c r="D577">
        <f>37.41</f>
        <v>37.409999999999997</v>
      </c>
      <c r="E577">
        <f>5.275</f>
        <v>5.2750000000000004</v>
      </c>
      <c r="F577">
        <f>12.6</f>
        <v>12.6</v>
      </c>
      <c r="G577">
        <f>1.9241</f>
        <v>1.9240999999999999</v>
      </c>
    </row>
    <row r="578" spans="1:7" x14ac:dyDescent="0.25">
      <c r="A578" s="1">
        <v>43985</v>
      </c>
      <c r="B578">
        <f>1.828</f>
        <v>1.8280000000000001</v>
      </c>
      <c r="C578">
        <f>38.26</f>
        <v>38.26</v>
      </c>
      <c r="D578">
        <f>37.29</f>
        <v>37.29</v>
      </c>
      <c r="E578">
        <f>5.33</f>
        <v>5.33</v>
      </c>
      <c r="F578">
        <f>12.24</f>
        <v>12.24</v>
      </c>
      <c r="G578">
        <f>1.8995</f>
        <v>1.8995</v>
      </c>
    </row>
    <row r="579" spans="1:7" x14ac:dyDescent="0.25">
      <c r="A579" s="1">
        <v>43984</v>
      </c>
      <c r="B579">
        <f>1.594</f>
        <v>1.5940000000000001</v>
      </c>
      <c r="C579">
        <f>38.27</f>
        <v>38.270000000000003</v>
      </c>
      <c r="D579">
        <f>36.81</f>
        <v>36.81</v>
      </c>
      <c r="E579">
        <f>4.9</f>
        <v>4.9000000000000004</v>
      </c>
      <c r="F579">
        <f>10.9</f>
        <v>10.9</v>
      </c>
      <c r="G579">
        <f>1.8403</f>
        <v>1.8403</v>
      </c>
    </row>
    <row r="580" spans="1:7" x14ac:dyDescent="0.25">
      <c r="A580" s="1">
        <v>43983</v>
      </c>
      <c r="B580">
        <f>1.536</f>
        <v>1.536</v>
      </c>
      <c r="C580">
        <f>37.25</f>
        <v>37.25</v>
      </c>
      <c r="D580">
        <f>35.44</f>
        <v>35.44</v>
      </c>
      <c r="E580">
        <f>4.275</f>
        <v>4.2750000000000004</v>
      </c>
      <c r="F580">
        <f>9.1</f>
        <v>9.1</v>
      </c>
      <c r="G580">
        <f>1.8067</f>
        <v>1.8067</v>
      </c>
    </row>
    <row r="581" spans="1:7" x14ac:dyDescent="0.25">
      <c r="A581" s="1">
        <v>43980</v>
      </c>
      <c r="B581">
        <f>1.688</f>
        <v>1.6879999999999999</v>
      </c>
      <c r="C581">
        <f>36.63</f>
        <v>36.630000000000003</v>
      </c>
      <c r="D581">
        <f>35.49</f>
        <v>35.49</v>
      </c>
      <c r="E581">
        <f>3.625</f>
        <v>3.625</v>
      </c>
      <c r="F581">
        <f>9.5</f>
        <v>9.5</v>
      </c>
      <c r="G581">
        <f>1.8601</f>
        <v>1.8601000000000001</v>
      </c>
    </row>
    <row r="582" spans="1:7" x14ac:dyDescent="0.25">
      <c r="A582" s="1">
        <v>43979</v>
      </c>
      <c r="B582">
        <f>1.776</f>
        <v>1.776</v>
      </c>
      <c r="C582">
        <f>34.98</f>
        <v>34.979999999999997</v>
      </c>
      <c r="D582">
        <f>33.71</f>
        <v>33.71</v>
      </c>
      <c r="E582">
        <f>3.8</f>
        <v>3.8</v>
      </c>
      <c r="F582">
        <f>8.75</f>
        <v>8.75</v>
      </c>
      <c r="G582">
        <f>1.8187</f>
        <v>1.8187</v>
      </c>
    </row>
    <row r="583" spans="1:7" x14ac:dyDescent="0.25">
      <c r="A583" s="1">
        <v>43978</v>
      </c>
      <c r="B583">
        <f>1.785</f>
        <v>1.7849999999999999</v>
      </c>
      <c r="C583">
        <f>33.22</f>
        <v>33.22</v>
      </c>
      <c r="D583">
        <f>32.81</f>
        <v>32.81</v>
      </c>
      <c r="E583">
        <f>3.67</f>
        <v>3.67</v>
      </c>
      <c r="F583">
        <f>8.8</f>
        <v>8.8000000000000007</v>
      </c>
      <c r="G583">
        <f>1.8943</f>
        <v>1.8943000000000001</v>
      </c>
    </row>
    <row r="584" spans="1:7" x14ac:dyDescent="0.25">
      <c r="A584" s="1">
        <v>43977</v>
      </c>
      <c r="B584">
        <f>1.802</f>
        <v>1.802</v>
      </c>
      <c r="C584">
        <f>35.55</f>
        <v>35.549999999999997</v>
      </c>
      <c r="D584">
        <f>34.35</f>
        <v>34.35</v>
      </c>
      <c r="E584">
        <f>4.05</f>
        <v>4.05</v>
      </c>
      <c r="F584">
        <f>9.72</f>
        <v>9.7200000000000006</v>
      </c>
      <c r="G584">
        <f>1.9907</f>
        <v>1.9906999999999999</v>
      </c>
    </row>
    <row r="585" spans="1:7" x14ac:dyDescent="0.25">
      <c r="A585" s="1">
        <v>43976</v>
      </c>
      <c r="B585" t="e">
        <f>NA()</f>
        <v>#N/A</v>
      </c>
      <c r="C585">
        <f>34.99</f>
        <v>34.99</v>
      </c>
      <c r="D585" t="e">
        <f>NA()</f>
        <v>#N/A</v>
      </c>
      <c r="E585">
        <f>4.75</f>
        <v>4.75</v>
      </c>
      <c r="F585" t="e">
        <f>NA()</f>
        <v>#N/A</v>
      </c>
      <c r="G585" t="e">
        <f>NA()</f>
        <v>#N/A</v>
      </c>
    </row>
    <row r="586" spans="1:7" x14ac:dyDescent="0.25">
      <c r="A586" s="1">
        <v>43973</v>
      </c>
      <c r="B586">
        <f>1.69</f>
        <v>1.69</v>
      </c>
      <c r="C586">
        <f>34.52</f>
        <v>34.520000000000003</v>
      </c>
      <c r="D586">
        <f>33.55</f>
        <v>33.549999999999997</v>
      </c>
      <c r="E586">
        <f>4.06</f>
        <v>4.0599999999999996</v>
      </c>
      <c r="F586">
        <f>8.8</f>
        <v>8.8000000000000007</v>
      </c>
      <c r="G586">
        <f>1.9738</f>
        <v>1.9738</v>
      </c>
    </row>
    <row r="587" spans="1:7" x14ac:dyDescent="0.25">
      <c r="A587" s="1">
        <v>43972</v>
      </c>
      <c r="B587">
        <f>1.736</f>
        <v>1.736</v>
      </c>
      <c r="C587">
        <f>35.06</f>
        <v>35.06</v>
      </c>
      <c r="D587">
        <f>34.17</f>
        <v>34.17</v>
      </c>
      <c r="E587">
        <f>3.925</f>
        <v>3.9249999999999998</v>
      </c>
      <c r="F587">
        <f>9.65</f>
        <v>9.65</v>
      </c>
      <c r="G587">
        <f>1.906</f>
        <v>1.9059999999999999</v>
      </c>
    </row>
    <row r="588" spans="1:7" x14ac:dyDescent="0.25">
      <c r="A588" s="1">
        <v>43971</v>
      </c>
      <c r="B588">
        <f>1.895</f>
        <v>1.895</v>
      </c>
      <c r="C588">
        <f>34.64</f>
        <v>34.64</v>
      </c>
      <c r="D588">
        <f>33.79</f>
        <v>33.79</v>
      </c>
      <c r="E588">
        <f>4.425</f>
        <v>4.4249999999999998</v>
      </c>
      <c r="F588">
        <f>10.95</f>
        <v>10.95</v>
      </c>
      <c r="G588">
        <f>1.9341</f>
        <v>1.9340999999999999</v>
      </c>
    </row>
    <row r="589" spans="1:7" x14ac:dyDescent="0.25">
      <c r="A589" s="1">
        <v>43970</v>
      </c>
      <c r="B589">
        <f>1.838</f>
        <v>1.8380000000000001</v>
      </c>
      <c r="C589">
        <f>33.4</f>
        <v>33.4</v>
      </c>
      <c r="D589">
        <f>32.5</f>
        <v>32.5</v>
      </c>
      <c r="E589">
        <f>4.62</f>
        <v>4.62</v>
      </c>
      <c r="F589">
        <f>11.2</f>
        <v>11.2</v>
      </c>
      <c r="G589">
        <f>2.069</f>
        <v>2.069</v>
      </c>
    </row>
    <row r="590" spans="1:7" x14ac:dyDescent="0.25">
      <c r="A590" s="1">
        <v>43969</v>
      </c>
      <c r="B590">
        <f>1.713</f>
        <v>1.7130000000000001</v>
      </c>
      <c r="C590">
        <f>34.34</f>
        <v>34.340000000000003</v>
      </c>
      <c r="D590">
        <f>31.82</f>
        <v>31.82</v>
      </c>
      <c r="E590">
        <f>4.88</f>
        <v>4.88</v>
      </c>
      <c r="F590">
        <f>11.3</f>
        <v>11.3</v>
      </c>
      <c r="G590">
        <f>2.0855</f>
        <v>2.0855000000000001</v>
      </c>
    </row>
    <row r="591" spans="1:7" x14ac:dyDescent="0.25">
      <c r="A591" s="1">
        <v>43966</v>
      </c>
      <c r="B591">
        <f>1.642</f>
        <v>1.6419999999999999</v>
      </c>
      <c r="C591">
        <f>31.51</f>
        <v>31.51</v>
      </c>
      <c r="D591">
        <f>29.43</f>
        <v>29.43</v>
      </c>
      <c r="E591">
        <f>5.225</f>
        <v>5.2249999999999996</v>
      </c>
      <c r="F591">
        <f>12.3</f>
        <v>12.3</v>
      </c>
      <c r="G591">
        <f>1.8919</f>
        <v>1.8918999999999999</v>
      </c>
    </row>
    <row r="592" spans="1:7" x14ac:dyDescent="0.25">
      <c r="A592" s="1">
        <v>43965</v>
      </c>
      <c r="B592">
        <f>1.583</f>
        <v>1.583</v>
      </c>
      <c r="C592">
        <f>30.14</f>
        <v>30.14</v>
      </c>
      <c r="D592">
        <f>27.56</f>
        <v>27.56</v>
      </c>
      <c r="E592">
        <f>5.225</f>
        <v>5.2249999999999996</v>
      </c>
      <c r="F592">
        <f>12.5</f>
        <v>12.5</v>
      </c>
      <c r="G592">
        <f>1.9637</f>
        <v>1.9637</v>
      </c>
    </row>
    <row r="593" spans="1:7" x14ac:dyDescent="0.25">
      <c r="A593" s="1">
        <v>43964</v>
      </c>
      <c r="B593">
        <f>1.594</f>
        <v>1.5940000000000001</v>
      </c>
      <c r="C593">
        <f>27.85</f>
        <v>27.85</v>
      </c>
      <c r="D593">
        <f>25.29</f>
        <v>25.29</v>
      </c>
      <c r="E593">
        <f>5.18</f>
        <v>5.18</v>
      </c>
      <c r="F593">
        <f>12.05</f>
        <v>12.05</v>
      </c>
      <c r="G593">
        <f>1.8369</f>
        <v>1.8369</v>
      </c>
    </row>
    <row r="594" spans="1:7" x14ac:dyDescent="0.25">
      <c r="A594" s="1">
        <v>43963</v>
      </c>
      <c r="B594">
        <f>1.633</f>
        <v>1.633</v>
      </c>
      <c r="C594">
        <f>27.17</f>
        <v>27.17</v>
      </c>
      <c r="D594">
        <f>25.78</f>
        <v>25.78</v>
      </c>
      <c r="E594">
        <f>5.29</f>
        <v>5.29</v>
      </c>
      <c r="F594">
        <f>12.15</f>
        <v>12.15</v>
      </c>
      <c r="G594">
        <f>1.8919</f>
        <v>1.8918999999999999</v>
      </c>
    </row>
    <row r="595" spans="1:7" x14ac:dyDescent="0.25">
      <c r="A595" s="1">
        <v>43962</v>
      </c>
      <c r="B595">
        <f>1.724</f>
        <v>1.724</v>
      </c>
      <c r="C595">
        <f>27.77</f>
        <v>27.77</v>
      </c>
      <c r="D595">
        <f>24.14</f>
        <v>24.14</v>
      </c>
      <c r="E595">
        <f>5.675</f>
        <v>5.6749999999999998</v>
      </c>
      <c r="F595">
        <f>13.15</f>
        <v>13.15</v>
      </c>
      <c r="G595">
        <f>2.043</f>
        <v>2.0430000000000001</v>
      </c>
    </row>
    <row r="596" spans="1:7" x14ac:dyDescent="0.25">
      <c r="A596" s="1">
        <v>43959</v>
      </c>
      <c r="B596">
        <f>1.736</f>
        <v>1.736</v>
      </c>
      <c r="C596">
        <f>28.62</f>
        <v>28.62</v>
      </c>
      <c r="D596">
        <f>24.48</f>
        <v>24.48</v>
      </c>
      <c r="E596">
        <f>5.73</f>
        <v>5.73</v>
      </c>
      <c r="F596" t="e">
        <f>NA()</f>
        <v>#N/A</v>
      </c>
      <c r="G596">
        <f>1.9662</f>
        <v>1.9661999999999999</v>
      </c>
    </row>
    <row r="597" spans="1:7" x14ac:dyDescent="0.25">
      <c r="A597" s="1">
        <v>43958</v>
      </c>
      <c r="B597">
        <f>1.849</f>
        <v>1.849</v>
      </c>
      <c r="C597">
        <f>27.15</f>
        <v>27.15</v>
      </c>
      <c r="D597">
        <f>23.55</f>
        <v>23.55</v>
      </c>
      <c r="E597">
        <f>5.765</f>
        <v>5.7649999999999997</v>
      </c>
      <c r="F597">
        <f>13.85</f>
        <v>13.85</v>
      </c>
      <c r="G597">
        <f>2.0557</f>
        <v>2.0556999999999999</v>
      </c>
    </row>
    <row r="598" spans="1:7" x14ac:dyDescent="0.25">
      <c r="A598" s="1">
        <v>43957</v>
      </c>
      <c r="B598">
        <f>1.896</f>
        <v>1.8959999999999999</v>
      </c>
      <c r="C598">
        <f>27.5</f>
        <v>27.5</v>
      </c>
      <c r="D598">
        <f>23.99</f>
        <v>23.99</v>
      </c>
      <c r="E598">
        <f>5.85</f>
        <v>5.85</v>
      </c>
      <c r="F598">
        <f>14</f>
        <v>14</v>
      </c>
      <c r="G598">
        <f>2.0596</f>
        <v>2.0596000000000001</v>
      </c>
    </row>
    <row r="599" spans="1:7" x14ac:dyDescent="0.25">
      <c r="A599" s="1">
        <v>43956</v>
      </c>
      <c r="B599">
        <f>1.944</f>
        <v>1.944</v>
      </c>
      <c r="C599">
        <f>28.27</f>
        <v>28.27</v>
      </c>
      <c r="D599">
        <f>24.56</f>
        <v>24.56</v>
      </c>
      <c r="E599">
        <f>5.685</f>
        <v>5.6849999999999996</v>
      </c>
      <c r="F599">
        <f>13.7</f>
        <v>13.7</v>
      </c>
      <c r="G599">
        <f>2.2613</f>
        <v>2.2612999999999999</v>
      </c>
    </row>
    <row r="600" spans="1:7" x14ac:dyDescent="0.25">
      <c r="A600" s="1">
        <v>43955</v>
      </c>
      <c r="B600">
        <f>1.789</f>
        <v>1.7889999999999999</v>
      </c>
      <c r="C600">
        <f>24.75</f>
        <v>24.75</v>
      </c>
      <c r="D600">
        <f>20.39</f>
        <v>20.39</v>
      </c>
      <c r="E600">
        <f>5.78</f>
        <v>5.78</v>
      </c>
      <c r="F600">
        <f>14.1</f>
        <v>14.1</v>
      </c>
      <c r="G600">
        <f>2.13</f>
        <v>2.13</v>
      </c>
    </row>
    <row r="601" spans="1:7" x14ac:dyDescent="0.25">
      <c r="A601" s="1">
        <v>43952</v>
      </c>
      <c r="B601">
        <f>1.675</f>
        <v>1.675</v>
      </c>
      <c r="C601">
        <f>23.46</f>
        <v>23.46</v>
      </c>
      <c r="D601">
        <f>19.78</f>
        <v>19.78</v>
      </c>
      <c r="E601">
        <f>5.77</f>
        <v>5.77</v>
      </c>
      <c r="F601">
        <f>13.35</f>
        <v>13.35</v>
      </c>
      <c r="G601">
        <f>1.9743</f>
        <v>1.9742999999999999</v>
      </c>
    </row>
    <row r="602" spans="1:7" x14ac:dyDescent="0.25">
      <c r="A602" s="1">
        <v>43951</v>
      </c>
      <c r="B602">
        <f>1.676</f>
        <v>1.6759999999999999</v>
      </c>
      <c r="C602">
        <f>23.7</f>
        <v>23.7</v>
      </c>
      <c r="D602">
        <f>18.84</f>
        <v>18.84</v>
      </c>
      <c r="E602">
        <f>5.83</f>
        <v>5.83</v>
      </c>
      <c r="F602">
        <f>13.1</f>
        <v>13.1</v>
      </c>
      <c r="G602">
        <f>2.053</f>
        <v>2.0529999999999999</v>
      </c>
    </row>
    <row r="603" spans="1:7" x14ac:dyDescent="0.25">
      <c r="A603" s="1">
        <v>43950</v>
      </c>
      <c r="B603">
        <f>1.726</f>
        <v>1.726</v>
      </c>
      <c r="C603">
        <f>20.66</f>
        <v>20.66</v>
      </c>
      <c r="D603">
        <f>15.06</f>
        <v>15.06</v>
      </c>
      <c r="E603">
        <f>5.9</f>
        <v>5.9</v>
      </c>
      <c r="F603">
        <f>13.15</f>
        <v>13.15</v>
      </c>
      <c r="G603">
        <f>1.9444</f>
        <v>1.9443999999999999</v>
      </c>
    </row>
    <row r="604" spans="1:7" x14ac:dyDescent="0.25">
      <c r="A604" s="1">
        <v>43949</v>
      </c>
      <c r="B604">
        <f>1.805</f>
        <v>1.8049999999999999</v>
      </c>
      <c r="C604">
        <f>18.75</f>
        <v>18.75</v>
      </c>
      <c r="D604">
        <f>12.34</f>
        <v>12.34</v>
      </c>
      <c r="E604">
        <f>6.16</f>
        <v>6.16</v>
      </c>
      <c r="F604">
        <f>13.9</f>
        <v>13.9</v>
      </c>
      <c r="G604">
        <f>1.8003</f>
        <v>1.8003</v>
      </c>
    </row>
    <row r="605" spans="1:7" x14ac:dyDescent="0.25">
      <c r="A605" s="1">
        <v>43948</v>
      </c>
      <c r="B605">
        <f>1.664</f>
        <v>1.6639999999999999</v>
      </c>
      <c r="C605">
        <f>18.26</f>
        <v>18.260000000000002</v>
      </c>
      <c r="D605">
        <f>12.78</f>
        <v>12.78</v>
      </c>
      <c r="E605">
        <f>6</f>
        <v>6</v>
      </c>
      <c r="F605">
        <f>13.05</f>
        <v>13.05</v>
      </c>
      <c r="G605">
        <f>1.8832</f>
        <v>1.8832</v>
      </c>
    </row>
    <row r="606" spans="1:7" x14ac:dyDescent="0.25">
      <c r="A606" s="1">
        <v>43945</v>
      </c>
      <c r="B606">
        <f>1.794</f>
        <v>1.794</v>
      </c>
      <c r="C606">
        <f>20.63</f>
        <v>20.63</v>
      </c>
      <c r="D606">
        <f>16.04</f>
        <v>16.04</v>
      </c>
      <c r="E606">
        <f>5.8</f>
        <v>5.8</v>
      </c>
      <c r="F606">
        <f>12.76</f>
        <v>12.76</v>
      </c>
      <c r="G606">
        <f>1.6869</f>
        <v>1.6869000000000001</v>
      </c>
    </row>
    <row r="607" spans="1:7" x14ac:dyDescent="0.25">
      <c r="A607" s="1">
        <v>43944</v>
      </c>
      <c r="B607">
        <f>1.883</f>
        <v>1.883</v>
      </c>
      <c r="C607">
        <f>20.08</f>
        <v>20.079999999999998</v>
      </c>
      <c r="D607">
        <f>15.75</f>
        <v>15.75</v>
      </c>
      <c r="E607">
        <f>6</f>
        <v>6</v>
      </c>
      <c r="F607">
        <f>13.65</f>
        <v>13.65</v>
      </c>
      <c r="G607">
        <f>1.678</f>
        <v>1.6779999999999999</v>
      </c>
    </row>
    <row r="608" spans="1:7" x14ac:dyDescent="0.25">
      <c r="A608" s="1">
        <v>43943</v>
      </c>
      <c r="B608">
        <f>1.893</f>
        <v>1.893</v>
      </c>
      <c r="C608">
        <f>19.42</f>
        <v>19.420000000000002</v>
      </c>
      <c r="D608">
        <f>12.28</f>
        <v>12.28</v>
      </c>
      <c r="E608">
        <f>6.16</f>
        <v>6.16</v>
      </c>
      <c r="F608">
        <f>13.95</f>
        <v>13.95</v>
      </c>
      <c r="G608">
        <f>1.9148</f>
        <v>1.9148000000000001</v>
      </c>
    </row>
    <row r="609" spans="1:7" x14ac:dyDescent="0.25">
      <c r="A609" s="1">
        <v>43942</v>
      </c>
      <c r="B609">
        <f>1.905</f>
        <v>1.905</v>
      </c>
      <c r="C609">
        <f>17.32</f>
        <v>17.32</v>
      </c>
      <c r="D609">
        <f>10.01</f>
        <v>10.01</v>
      </c>
      <c r="E609">
        <f>6.37</f>
        <v>6.37</v>
      </c>
      <c r="F609">
        <f>14.3</f>
        <v>14.3</v>
      </c>
      <c r="G609">
        <f>1.72</f>
        <v>1.72</v>
      </c>
    </row>
    <row r="610" spans="1:7" x14ac:dyDescent="0.25">
      <c r="A610" s="1">
        <v>43941</v>
      </c>
      <c r="B610">
        <f>1.767</f>
        <v>1.7669999999999999</v>
      </c>
      <c r="C610">
        <f>22.81</f>
        <v>22.81</v>
      </c>
      <c r="D610">
        <f>-37.63</f>
        <v>-37.630000000000003</v>
      </c>
      <c r="E610">
        <f>6.63</f>
        <v>6.63</v>
      </c>
      <c r="F610">
        <f>13.8</f>
        <v>13.8</v>
      </c>
      <c r="G610">
        <f>1.9621</f>
        <v>1.9621</v>
      </c>
    </row>
    <row r="611" spans="1:7" x14ac:dyDescent="0.25">
      <c r="A611" s="1">
        <v>43938</v>
      </c>
      <c r="B611">
        <f>1.739</f>
        <v>1.7390000000000001</v>
      </c>
      <c r="C611">
        <f>24.01</f>
        <v>24.01</v>
      </c>
      <c r="D611">
        <f>18.27</f>
        <v>18.27</v>
      </c>
      <c r="E611">
        <f>6.95</f>
        <v>6.95</v>
      </c>
      <c r="F611">
        <f>15.125</f>
        <v>15.125</v>
      </c>
      <c r="G611">
        <f>1.7102</f>
        <v>1.7101999999999999</v>
      </c>
    </row>
    <row r="612" spans="1:7" x14ac:dyDescent="0.25">
      <c r="A612" s="1">
        <v>43937</v>
      </c>
      <c r="B612">
        <f>1.573</f>
        <v>1.573</v>
      </c>
      <c r="C612">
        <f>23.24</f>
        <v>23.24</v>
      </c>
      <c r="D612">
        <f>19.87</f>
        <v>19.87</v>
      </c>
      <c r="E612">
        <f>7.075</f>
        <v>7.0750000000000002</v>
      </c>
      <c r="F612">
        <f>15.1</f>
        <v>15.1</v>
      </c>
      <c r="G612">
        <f>1.6692</f>
        <v>1.6692</v>
      </c>
    </row>
    <row r="613" spans="1:7" x14ac:dyDescent="0.25">
      <c r="A613" s="1">
        <v>43936</v>
      </c>
      <c r="B613">
        <f>1.663</f>
        <v>1.663</v>
      </c>
      <c r="C613">
        <f>22.14</f>
        <v>22.14</v>
      </c>
      <c r="D613">
        <f>19.87</f>
        <v>19.87</v>
      </c>
      <c r="E613">
        <f>6.8</f>
        <v>6.8</v>
      </c>
      <c r="F613">
        <f>14.75</f>
        <v>14.75</v>
      </c>
      <c r="G613">
        <f>1.5064</f>
        <v>1.5064</v>
      </c>
    </row>
    <row r="614" spans="1:7" x14ac:dyDescent="0.25">
      <c r="A614" s="1">
        <v>43935</v>
      </c>
      <c r="B614">
        <f>1.744</f>
        <v>1.744</v>
      </c>
      <c r="C614">
        <f>24.62</f>
        <v>24.62</v>
      </c>
      <c r="D614">
        <f>20.11</f>
        <v>20.11</v>
      </c>
      <c r="E614">
        <f>6.85</f>
        <v>6.85</v>
      </c>
      <c r="F614">
        <f>15.475</f>
        <v>15.475</v>
      </c>
      <c r="G614">
        <f>1.5066</f>
        <v>1.5065999999999999</v>
      </c>
    </row>
    <row r="615" spans="1:7" x14ac:dyDescent="0.25">
      <c r="A615" s="1">
        <v>43934</v>
      </c>
      <c r="B615">
        <f>1.845</f>
        <v>1.845</v>
      </c>
      <c r="C615">
        <f>27.05</f>
        <v>27.05</v>
      </c>
      <c r="D615">
        <f>22.41</f>
        <v>22.41</v>
      </c>
      <c r="E615" t="e">
        <f>NA()</f>
        <v>#N/A</v>
      </c>
      <c r="F615" t="e">
        <f>NA()</f>
        <v>#N/A</v>
      </c>
      <c r="G615">
        <f>1.5923</f>
        <v>1.5923</v>
      </c>
    </row>
    <row r="616" spans="1:7" x14ac:dyDescent="0.25">
      <c r="A616" s="1">
        <v>43931</v>
      </c>
      <c r="B616" t="e">
        <f>NA()</f>
        <v>#N/A</v>
      </c>
      <c r="C616">
        <f>26.29</f>
        <v>26.29</v>
      </c>
      <c r="D616" t="e">
        <f>NA()</f>
        <v>#N/A</v>
      </c>
      <c r="E616" t="e">
        <f>NA()</f>
        <v>#N/A</v>
      </c>
      <c r="F616" t="e">
        <f>NA()</f>
        <v>#N/A</v>
      </c>
      <c r="G616" t="e">
        <f>NA()</f>
        <v>#N/A</v>
      </c>
    </row>
    <row r="617" spans="1:7" x14ac:dyDescent="0.25">
      <c r="A617" s="1">
        <v>43930</v>
      </c>
      <c r="B617">
        <f>1.725</f>
        <v>1.7250000000000001</v>
      </c>
      <c r="C617">
        <f>26.59</f>
        <v>26.59</v>
      </c>
      <c r="D617">
        <f>22.76</f>
        <v>22.76</v>
      </c>
      <c r="E617">
        <f>7.25</f>
        <v>7.25</v>
      </c>
      <c r="F617">
        <f>16.7</f>
        <v>16.7</v>
      </c>
      <c r="G617">
        <f>1.5843</f>
        <v>1.5843</v>
      </c>
    </row>
    <row r="618" spans="1:7" x14ac:dyDescent="0.25">
      <c r="A618" s="1">
        <v>43929</v>
      </c>
      <c r="B618">
        <f>1.845</f>
        <v>1.845</v>
      </c>
      <c r="C618">
        <f>27.81</f>
        <v>27.81</v>
      </c>
      <c r="D618">
        <f>25.09</f>
        <v>25.09</v>
      </c>
      <c r="E618">
        <f>7.34</f>
        <v>7.34</v>
      </c>
      <c r="F618">
        <f>16.85</f>
        <v>16.850000000000001</v>
      </c>
      <c r="G618">
        <f>1.6276</f>
        <v>1.6275999999999999</v>
      </c>
    </row>
    <row r="619" spans="1:7" x14ac:dyDescent="0.25">
      <c r="A619" s="1">
        <v>43928</v>
      </c>
      <c r="B619">
        <f>1.776</f>
        <v>1.776</v>
      </c>
      <c r="C619">
        <f>26.78</f>
        <v>26.78</v>
      </c>
      <c r="D619">
        <f>23.63</f>
        <v>23.63</v>
      </c>
      <c r="E619">
        <f>7.37</f>
        <v>7.37</v>
      </c>
      <c r="F619">
        <f>17.3</f>
        <v>17.3</v>
      </c>
      <c r="G619">
        <f>1.789</f>
        <v>1.7889999999999999</v>
      </c>
    </row>
    <row r="620" spans="1:7" x14ac:dyDescent="0.25">
      <c r="A620" s="1">
        <v>43927</v>
      </c>
      <c r="B620">
        <f>1.656</f>
        <v>1.6559999999999999</v>
      </c>
      <c r="C620">
        <f>28.05</f>
        <v>28.05</v>
      </c>
      <c r="D620">
        <f>26.08</f>
        <v>26.08</v>
      </c>
      <c r="E620">
        <f>7.25</f>
        <v>7.25</v>
      </c>
      <c r="F620">
        <f>17</f>
        <v>17</v>
      </c>
      <c r="G620">
        <f>1.6937</f>
        <v>1.6937</v>
      </c>
    </row>
    <row r="621" spans="1:7" x14ac:dyDescent="0.25">
      <c r="A621" s="1">
        <v>43924</v>
      </c>
      <c r="B621">
        <f>1.498</f>
        <v>1.498</v>
      </c>
      <c r="C621">
        <f>29.86</f>
        <v>29.86</v>
      </c>
      <c r="D621">
        <f>28.34</f>
        <v>28.34</v>
      </c>
      <c r="E621">
        <f>6.87</f>
        <v>6.87</v>
      </c>
      <c r="F621">
        <f>16.025</f>
        <v>16.024999999999999</v>
      </c>
      <c r="G621">
        <f>1.5877</f>
        <v>1.5876999999999999</v>
      </c>
    </row>
    <row r="622" spans="1:7" x14ac:dyDescent="0.25">
      <c r="A622" s="1">
        <v>43923</v>
      </c>
      <c r="B622">
        <f>1.524</f>
        <v>1.524</v>
      </c>
      <c r="C622">
        <f>24.91</f>
        <v>24.91</v>
      </c>
      <c r="D622">
        <f>24.79</f>
        <v>24.79</v>
      </c>
      <c r="E622">
        <f>6.85</f>
        <v>6.85</v>
      </c>
      <c r="F622">
        <f>16.35</f>
        <v>16.350000000000001</v>
      </c>
      <c r="G622">
        <f>1.4518</f>
        <v>1.4518</v>
      </c>
    </row>
    <row r="623" spans="1:7" x14ac:dyDescent="0.25">
      <c r="A623" s="1">
        <v>43922</v>
      </c>
      <c r="B623">
        <f>1.674</f>
        <v>1.6739999999999999</v>
      </c>
      <c r="C623">
        <f>20.44</f>
        <v>20.440000000000001</v>
      </c>
      <c r="D623">
        <f>20.31</f>
        <v>20.309999999999999</v>
      </c>
      <c r="E623">
        <f>6.775</f>
        <v>6.7750000000000004</v>
      </c>
      <c r="F623">
        <f>16.1</f>
        <v>16.100000000000001</v>
      </c>
      <c r="G623">
        <f>1.4436</f>
        <v>1.4436</v>
      </c>
    </row>
    <row r="624" spans="1:7" x14ac:dyDescent="0.25">
      <c r="A624" s="1">
        <v>43921</v>
      </c>
      <c r="B624">
        <f>1.698</f>
        <v>1.698</v>
      </c>
      <c r="C624">
        <f>21.47</f>
        <v>21.47</v>
      </c>
      <c r="D624">
        <f>20.48</f>
        <v>20.48</v>
      </c>
      <c r="E624">
        <f>6.9</f>
        <v>6.9</v>
      </c>
      <c r="F624">
        <f>16.8</f>
        <v>16.8</v>
      </c>
      <c r="G624">
        <f>1.4866</f>
        <v>1.4865999999999999</v>
      </c>
    </row>
    <row r="625" spans="1:7" x14ac:dyDescent="0.25">
      <c r="A625" s="1">
        <v>43920</v>
      </c>
      <c r="B625">
        <f>1.683</f>
        <v>1.6830000000000001</v>
      </c>
      <c r="C625">
        <f>22.04</f>
        <v>22.04</v>
      </c>
      <c r="D625">
        <f>20.09</f>
        <v>20.09</v>
      </c>
      <c r="E625">
        <f>6.725</f>
        <v>6.7249999999999996</v>
      </c>
      <c r="F625">
        <f>16.9</f>
        <v>16.899999999999999</v>
      </c>
      <c r="G625">
        <f>1.5221</f>
        <v>1.5221</v>
      </c>
    </row>
    <row r="626" spans="1:7" x14ac:dyDescent="0.25">
      <c r="A626" s="1">
        <v>43917</v>
      </c>
      <c r="B626">
        <f>1.682</f>
        <v>1.6819999999999999</v>
      </c>
      <c r="C626">
        <f>24.54</f>
        <v>24.54</v>
      </c>
      <c r="D626">
        <f>21.51</f>
        <v>21.51</v>
      </c>
      <c r="E626">
        <f>7.225</f>
        <v>7.2249999999999996</v>
      </c>
      <c r="F626">
        <f>18.3</f>
        <v>18.3</v>
      </c>
      <c r="G626">
        <f>1.6477</f>
        <v>1.6476999999999999</v>
      </c>
    </row>
    <row r="627" spans="1:7" x14ac:dyDescent="0.25">
      <c r="A627" s="1">
        <v>43916</v>
      </c>
      <c r="B627">
        <f>1.715</f>
        <v>1.7150000000000001</v>
      </c>
      <c r="C627">
        <f>26.21</f>
        <v>26.21</v>
      </c>
      <c r="D627">
        <f>22.6</f>
        <v>22.6</v>
      </c>
      <c r="E627">
        <f>7.5</f>
        <v>7.5</v>
      </c>
      <c r="F627">
        <f>20.05</f>
        <v>20.05</v>
      </c>
      <c r="G627">
        <f>1.6142</f>
        <v>1.6142000000000001</v>
      </c>
    </row>
    <row r="628" spans="1:7" x14ac:dyDescent="0.25">
      <c r="A628" s="1">
        <v>43915</v>
      </c>
      <c r="B628">
        <f>1.736</f>
        <v>1.736</v>
      </c>
      <c r="C628">
        <f>26.69</f>
        <v>26.69</v>
      </c>
      <c r="D628">
        <f>18.99</f>
        <v>18.989999999999998</v>
      </c>
      <c r="E628">
        <f>7.8</f>
        <v>7.8</v>
      </c>
      <c r="F628">
        <f>20.7</f>
        <v>20.7</v>
      </c>
      <c r="G628">
        <f>1.6558</f>
        <v>1.6557999999999999</v>
      </c>
    </row>
    <row r="629" spans="1:7" x14ac:dyDescent="0.25">
      <c r="A629" s="1">
        <v>43914</v>
      </c>
      <c r="B629">
        <f>1.714</f>
        <v>1.714</v>
      </c>
      <c r="C629">
        <f>27.04</f>
        <v>27.04</v>
      </c>
      <c r="D629">
        <f>20.01</f>
        <v>20.010000000000002</v>
      </c>
      <c r="E629">
        <f>7.9</f>
        <v>7.9</v>
      </c>
      <c r="F629">
        <f>21.4</f>
        <v>21.4</v>
      </c>
      <c r="G629">
        <f>1.735</f>
        <v>1.7350000000000001</v>
      </c>
    </row>
    <row r="630" spans="1:7" x14ac:dyDescent="0.25">
      <c r="A630" s="1">
        <v>43913</v>
      </c>
      <c r="B630">
        <f>1.684</f>
        <v>1.6839999999999999</v>
      </c>
      <c r="C630">
        <f>26.4</f>
        <v>26.4</v>
      </c>
      <c r="D630">
        <f>20.36</f>
        <v>20.36</v>
      </c>
      <c r="E630">
        <f>7.93</f>
        <v>7.93</v>
      </c>
      <c r="F630">
        <f>21.62</f>
        <v>21.62</v>
      </c>
      <c r="G630">
        <f>1.6223</f>
        <v>1.6223000000000001</v>
      </c>
    </row>
    <row r="631" spans="1:7" x14ac:dyDescent="0.25">
      <c r="A631" s="1">
        <v>43910</v>
      </c>
      <c r="B631">
        <f>1.743</f>
        <v>1.7430000000000001</v>
      </c>
      <c r="C631">
        <f>25.72</f>
        <v>25.72</v>
      </c>
      <c r="D631">
        <f>22.43</f>
        <v>22.43</v>
      </c>
      <c r="E631">
        <f>8.25</f>
        <v>8.25</v>
      </c>
      <c r="F631">
        <f>22.25</f>
        <v>22.25</v>
      </c>
      <c r="G631">
        <f>1.5756</f>
        <v>1.5755999999999999</v>
      </c>
    </row>
    <row r="632" spans="1:7" x14ac:dyDescent="0.25">
      <c r="A632" s="1">
        <v>43909</v>
      </c>
      <c r="B632">
        <f>1.663</f>
        <v>1.663</v>
      </c>
      <c r="C632">
        <f>26.22</f>
        <v>26.22</v>
      </c>
      <c r="D632">
        <f>25.22</f>
        <v>25.22</v>
      </c>
      <c r="E632">
        <f>8.54</f>
        <v>8.5399999999999991</v>
      </c>
      <c r="F632">
        <f>23</f>
        <v>23</v>
      </c>
      <c r="G632">
        <f>1.65</f>
        <v>1.65</v>
      </c>
    </row>
    <row r="633" spans="1:7" x14ac:dyDescent="0.25">
      <c r="A633" s="1">
        <v>43908</v>
      </c>
      <c r="B633">
        <f>1.712</f>
        <v>1.712</v>
      </c>
      <c r="C633">
        <f>24.56</f>
        <v>24.56</v>
      </c>
      <c r="D633">
        <f>20.37</f>
        <v>20.37</v>
      </c>
      <c r="E633">
        <f>8.17</f>
        <v>8.17</v>
      </c>
      <c r="F633">
        <f>22.1</f>
        <v>22.1</v>
      </c>
      <c r="G633">
        <f>1.5705</f>
        <v>1.5705</v>
      </c>
    </row>
    <row r="634" spans="1:7" x14ac:dyDescent="0.25">
      <c r="A634" s="1">
        <v>43907</v>
      </c>
      <c r="B634">
        <f>1.875</f>
        <v>1.875</v>
      </c>
      <c r="C634">
        <f>27.37</f>
        <v>27.37</v>
      </c>
      <c r="D634">
        <f>26.95</f>
        <v>26.95</v>
      </c>
      <c r="E634">
        <f>8.425</f>
        <v>8.4250000000000007</v>
      </c>
      <c r="F634">
        <f>22.36</f>
        <v>22.36</v>
      </c>
      <c r="G634">
        <f>1.6312</f>
        <v>1.6312</v>
      </c>
    </row>
    <row r="635" spans="1:7" x14ac:dyDescent="0.25">
      <c r="A635" s="1">
        <v>43906</v>
      </c>
      <c r="B635">
        <f>1.874</f>
        <v>1.8740000000000001</v>
      </c>
      <c r="C635">
        <f>27.93</f>
        <v>27.93</v>
      </c>
      <c r="D635">
        <f>28.7</f>
        <v>28.7</v>
      </c>
      <c r="E635">
        <f>8.635</f>
        <v>8.6349999999999998</v>
      </c>
      <c r="F635">
        <f>22.9</f>
        <v>22.9</v>
      </c>
      <c r="G635">
        <f>1.6757</f>
        <v>1.6757</v>
      </c>
    </row>
    <row r="636" spans="1:7" x14ac:dyDescent="0.25">
      <c r="A636" s="1">
        <v>43903</v>
      </c>
      <c r="B636">
        <f>1.954</f>
        <v>1.954</v>
      </c>
      <c r="C636">
        <f>33.55</f>
        <v>33.549999999999997</v>
      </c>
      <c r="D636">
        <f>31.73</f>
        <v>31.73</v>
      </c>
      <c r="E636">
        <f>9.15</f>
        <v>9.15</v>
      </c>
      <c r="F636">
        <f>23.93</f>
        <v>23.93</v>
      </c>
      <c r="G636">
        <f>1.7861</f>
        <v>1.7861</v>
      </c>
    </row>
    <row r="637" spans="1:7" x14ac:dyDescent="0.25">
      <c r="A637" s="1">
        <v>43902</v>
      </c>
      <c r="B637">
        <f>1.834</f>
        <v>1.8340000000000001</v>
      </c>
      <c r="C637">
        <f>31.23</f>
        <v>31.23</v>
      </c>
      <c r="D637">
        <f>31.5</f>
        <v>31.5</v>
      </c>
      <c r="E637">
        <f>9.25</f>
        <v>9.25</v>
      </c>
      <c r="F637">
        <f>23.9</f>
        <v>23.9</v>
      </c>
      <c r="G637">
        <f>1.7073</f>
        <v>1.7073</v>
      </c>
    </row>
    <row r="638" spans="1:7" x14ac:dyDescent="0.25">
      <c r="A638" s="1">
        <v>43901</v>
      </c>
      <c r="B638">
        <f>1.963</f>
        <v>1.9630000000000001</v>
      </c>
      <c r="C638">
        <f>34.51</f>
        <v>34.51</v>
      </c>
      <c r="D638">
        <f>32.98</f>
        <v>32.979999999999997</v>
      </c>
      <c r="E638">
        <f>9.3</f>
        <v>9.3000000000000007</v>
      </c>
      <c r="F638">
        <f>24.25</f>
        <v>24.25</v>
      </c>
      <c r="G638">
        <f>1.7357</f>
        <v>1.7357</v>
      </c>
    </row>
    <row r="639" spans="1:7" x14ac:dyDescent="0.25">
      <c r="A639" s="1">
        <v>43900</v>
      </c>
      <c r="B639">
        <f>1.894</f>
        <v>1.8939999999999999</v>
      </c>
      <c r="C639">
        <f>36.55</f>
        <v>36.549999999999997</v>
      </c>
      <c r="D639">
        <f>34.36</f>
        <v>34.36</v>
      </c>
      <c r="E639">
        <f>9.09</f>
        <v>9.09</v>
      </c>
      <c r="F639">
        <f>22.975</f>
        <v>22.975000000000001</v>
      </c>
      <c r="G639">
        <f>1.9042</f>
        <v>1.9041999999999999</v>
      </c>
    </row>
    <row r="640" spans="1:7" x14ac:dyDescent="0.25">
      <c r="A640" s="1">
        <v>43899</v>
      </c>
      <c r="B640">
        <f>1.725</f>
        <v>1.7250000000000001</v>
      </c>
      <c r="C640">
        <f>32.34</f>
        <v>32.340000000000003</v>
      </c>
      <c r="D640">
        <f>31.13</f>
        <v>31.13</v>
      </c>
      <c r="E640">
        <f>8.6</f>
        <v>8.6</v>
      </c>
      <c r="F640">
        <f>21.45</f>
        <v>21.45</v>
      </c>
      <c r="G640">
        <f>1.7275</f>
        <v>1.7275</v>
      </c>
    </row>
    <row r="641" spans="1:7" x14ac:dyDescent="0.25">
      <c r="A641" s="1">
        <v>43896</v>
      </c>
      <c r="B641">
        <f>1.744</f>
        <v>1.744</v>
      </c>
      <c r="C641">
        <f>45.25</f>
        <v>45.25</v>
      </c>
      <c r="D641">
        <f>41.28</f>
        <v>41.28</v>
      </c>
      <c r="E641">
        <f>8.7</f>
        <v>8.6999999999999993</v>
      </c>
      <c r="F641">
        <f>21.7</f>
        <v>21.7</v>
      </c>
      <c r="G641">
        <f>1.546</f>
        <v>1.546</v>
      </c>
    </row>
    <row r="642" spans="1:7" x14ac:dyDescent="0.25">
      <c r="A642" s="1">
        <v>43895</v>
      </c>
      <c r="B642">
        <f>1.873</f>
        <v>1.873</v>
      </c>
      <c r="C642">
        <f>49.99</f>
        <v>49.99</v>
      </c>
      <c r="D642">
        <f>45.9</f>
        <v>45.9</v>
      </c>
      <c r="E642">
        <f>8.85</f>
        <v>8.85</v>
      </c>
      <c r="F642">
        <f>22.45</f>
        <v>22.45</v>
      </c>
      <c r="G642">
        <f>1.56</f>
        <v>1.56</v>
      </c>
    </row>
    <row r="643" spans="1:7" x14ac:dyDescent="0.25">
      <c r="A643" s="1">
        <v>43894</v>
      </c>
      <c r="B643">
        <f>1.818</f>
        <v>1.8180000000000001</v>
      </c>
      <c r="C643">
        <f>51.6</f>
        <v>51.6</v>
      </c>
      <c r="D643">
        <f>46.78</f>
        <v>46.78</v>
      </c>
      <c r="E643">
        <f>8.8</f>
        <v>8.8000000000000007</v>
      </c>
      <c r="F643">
        <f>22.15</f>
        <v>22.15</v>
      </c>
      <c r="G643">
        <f>1.6687</f>
        <v>1.6687000000000001</v>
      </c>
    </row>
    <row r="644" spans="1:7" x14ac:dyDescent="0.25">
      <c r="A644" s="1">
        <v>43893</v>
      </c>
      <c r="B644">
        <f>1.766</f>
        <v>1.766</v>
      </c>
      <c r="C644">
        <f>51.66</f>
        <v>51.66</v>
      </c>
      <c r="D644">
        <f>47.18</f>
        <v>47.18</v>
      </c>
      <c r="E644">
        <f>9.075</f>
        <v>9.0749999999999993</v>
      </c>
      <c r="F644">
        <f>23</f>
        <v>23</v>
      </c>
      <c r="G644">
        <f>1.6323</f>
        <v>1.6323000000000001</v>
      </c>
    </row>
    <row r="645" spans="1:7" x14ac:dyDescent="0.25">
      <c r="A645" s="1">
        <v>43892</v>
      </c>
      <c r="B645">
        <f>1.738</f>
        <v>1.738</v>
      </c>
      <c r="C645">
        <f>52.73</f>
        <v>52.73</v>
      </c>
      <c r="D645">
        <f>46.75</f>
        <v>46.75</v>
      </c>
      <c r="E645">
        <f>9.05</f>
        <v>9.0500000000000007</v>
      </c>
      <c r="F645">
        <f>22.6</f>
        <v>22.6</v>
      </c>
      <c r="G645">
        <f>1.571</f>
        <v>1.571</v>
      </c>
    </row>
    <row r="646" spans="1:7" x14ac:dyDescent="0.25">
      <c r="A646" s="1">
        <v>43889</v>
      </c>
      <c r="B646">
        <f>1.777</f>
        <v>1.7769999999999999</v>
      </c>
      <c r="C646">
        <f>50.02</f>
        <v>50.02</v>
      </c>
      <c r="D646">
        <f>44.76</f>
        <v>44.76</v>
      </c>
      <c r="E646">
        <f>9.03</f>
        <v>9.0299999999999994</v>
      </c>
      <c r="F646">
        <f>23.45</f>
        <v>23.45</v>
      </c>
      <c r="G646">
        <f>1.4251</f>
        <v>1.4251</v>
      </c>
    </row>
    <row r="647" spans="1:7" x14ac:dyDescent="0.25">
      <c r="A647" s="1">
        <v>43888</v>
      </c>
      <c r="B647">
        <f>1.798</f>
        <v>1.798</v>
      </c>
      <c r="C647">
        <f>50.83</f>
        <v>50.83</v>
      </c>
      <c r="D647">
        <f>47.09</f>
        <v>47.09</v>
      </c>
      <c r="E647">
        <f>8.8</f>
        <v>8.8000000000000007</v>
      </c>
      <c r="F647">
        <f>22.9</f>
        <v>22.9</v>
      </c>
      <c r="G647">
        <f>1.4135</f>
        <v>1.4135</v>
      </c>
    </row>
    <row r="648" spans="1:7" x14ac:dyDescent="0.25">
      <c r="A648" s="1">
        <v>43887</v>
      </c>
      <c r="B648">
        <f>1.948</f>
        <v>1.948</v>
      </c>
      <c r="C648">
        <f>52.74</f>
        <v>52.74</v>
      </c>
      <c r="D648">
        <f>48.73</f>
        <v>48.73</v>
      </c>
      <c r="E648">
        <f>9.1</f>
        <v>9.1</v>
      </c>
      <c r="F648">
        <f>22.9</f>
        <v>22.9</v>
      </c>
      <c r="G648">
        <f>1.6397</f>
        <v>1.6396999999999999</v>
      </c>
    </row>
    <row r="649" spans="1:7" x14ac:dyDescent="0.25">
      <c r="A649" s="1">
        <v>43886</v>
      </c>
      <c r="B649">
        <f>1.918</f>
        <v>1.9179999999999999</v>
      </c>
      <c r="C649">
        <f>54.34</f>
        <v>54.34</v>
      </c>
      <c r="D649">
        <f>49.76</f>
        <v>49.76</v>
      </c>
      <c r="E649">
        <f>8.95</f>
        <v>8.9499999999999993</v>
      </c>
      <c r="F649">
        <f>22.5</f>
        <v>22.5</v>
      </c>
      <c r="G649">
        <f>1.6803</f>
        <v>1.6802999999999999</v>
      </c>
    </row>
    <row r="650" spans="1:7" x14ac:dyDescent="0.25">
      <c r="A650" s="1">
        <v>43885</v>
      </c>
      <c r="B650">
        <f>1.928</f>
        <v>1.9279999999999999</v>
      </c>
      <c r="C650">
        <f>55.61</f>
        <v>55.61</v>
      </c>
      <c r="D650">
        <f>51.33</f>
        <v>51.33</v>
      </c>
      <c r="E650">
        <f>8.99</f>
        <v>8.99</v>
      </c>
      <c r="F650">
        <f>22.5</f>
        <v>22.5</v>
      </c>
      <c r="G650">
        <f>1.6114</f>
        <v>1.6113999999999999</v>
      </c>
    </row>
    <row r="651" spans="1:7" x14ac:dyDescent="0.25">
      <c r="A651" s="1">
        <v>43882</v>
      </c>
      <c r="B651">
        <f>1.967</f>
        <v>1.9670000000000001</v>
      </c>
      <c r="C651">
        <f>57.86</f>
        <v>57.86</v>
      </c>
      <c r="D651">
        <f>53.3</f>
        <v>53.3</v>
      </c>
      <c r="E651">
        <f>9.3</f>
        <v>9.3000000000000007</v>
      </c>
      <c r="F651">
        <f>22.68</f>
        <v>22.68</v>
      </c>
      <c r="G651">
        <f>1.6438</f>
        <v>1.6437999999999999</v>
      </c>
    </row>
    <row r="652" spans="1:7" x14ac:dyDescent="0.25">
      <c r="A652" s="1">
        <v>43881</v>
      </c>
      <c r="B652">
        <f>1.998</f>
        <v>1.998</v>
      </c>
      <c r="C652">
        <f>58.5</f>
        <v>58.5</v>
      </c>
      <c r="D652">
        <f>53.78</f>
        <v>53.78</v>
      </c>
      <c r="E652">
        <f>9.6</f>
        <v>9.6</v>
      </c>
      <c r="F652">
        <f>23.2</f>
        <v>23.2</v>
      </c>
      <c r="G652">
        <f>1.6315</f>
        <v>1.6315</v>
      </c>
    </row>
    <row r="653" spans="1:7" x14ac:dyDescent="0.25">
      <c r="A653" s="1">
        <v>43880</v>
      </c>
      <c r="B653">
        <f>2.019</f>
        <v>2.0190000000000001</v>
      </c>
      <c r="C653">
        <f>59.07</f>
        <v>59.07</v>
      </c>
      <c r="D653">
        <f>53.29</f>
        <v>53.29</v>
      </c>
      <c r="E653">
        <f>9.63</f>
        <v>9.6300000000000008</v>
      </c>
      <c r="F653">
        <f>23.2</f>
        <v>23.2</v>
      </c>
      <c r="G653">
        <f>1.6951</f>
        <v>1.6951000000000001</v>
      </c>
    </row>
    <row r="654" spans="1:7" x14ac:dyDescent="0.25">
      <c r="A654" s="1">
        <v>43879</v>
      </c>
      <c r="B654">
        <f>1.978</f>
        <v>1.978</v>
      </c>
      <c r="C654">
        <f>57.3</f>
        <v>57.3</v>
      </c>
      <c r="D654">
        <f>52.05</f>
        <v>52.05</v>
      </c>
      <c r="E654">
        <f>9.3</f>
        <v>9.3000000000000007</v>
      </c>
      <c r="F654">
        <f>22.25</f>
        <v>22.25</v>
      </c>
      <c r="G654">
        <f>1.7996</f>
        <v>1.7996000000000001</v>
      </c>
    </row>
    <row r="655" spans="1:7" x14ac:dyDescent="0.25">
      <c r="A655" s="1">
        <v>43878</v>
      </c>
      <c r="B655" t="e">
        <f>NA()</f>
        <v>#N/A</v>
      </c>
      <c r="C655">
        <f>57.35</f>
        <v>57.35</v>
      </c>
      <c r="D655" t="e">
        <f>NA()</f>
        <v>#N/A</v>
      </c>
      <c r="E655">
        <f>9.5</f>
        <v>9.5</v>
      </c>
      <c r="F655">
        <f>22</f>
        <v>22</v>
      </c>
      <c r="G655" t="e">
        <f>NA()</f>
        <v>#N/A</v>
      </c>
    </row>
    <row r="656" spans="1:7" x14ac:dyDescent="0.25">
      <c r="A656" s="1">
        <v>43875</v>
      </c>
      <c r="B656">
        <f>1.856</f>
        <v>1.8560000000000001</v>
      </c>
      <c r="C656">
        <f>57.22</f>
        <v>57.22</v>
      </c>
      <c r="D656">
        <f>52.05</f>
        <v>52.05</v>
      </c>
      <c r="E656">
        <f>8.95</f>
        <v>8.9499999999999993</v>
      </c>
      <c r="F656">
        <f>21.15</f>
        <v>21.15</v>
      </c>
      <c r="G656">
        <f>1.6509</f>
        <v>1.6509</v>
      </c>
    </row>
    <row r="657" spans="1:7" x14ac:dyDescent="0.25">
      <c r="A657" s="1">
        <v>43874</v>
      </c>
      <c r="B657">
        <f>1.938</f>
        <v>1.9379999999999999</v>
      </c>
      <c r="C657">
        <f>56.38</f>
        <v>56.38</v>
      </c>
      <c r="D657">
        <f>51.42</f>
        <v>51.42</v>
      </c>
      <c r="E657">
        <f>8.75</f>
        <v>8.75</v>
      </c>
      <c r="F657">
        <f>20.55</f>
        <v>20.55</v>
      </c>
      <c r="G657">
        <f>1.6377</f>
        <v>1.6376999999999999</v>
      </c>
    </row>
    <row r="658" spans="1:7" x14ac:dyDescent="0.25">
      <c r="A658" s="1">
        <v>43873</v>
      </c>
      <c r="B658">
        <f>1.899</f>
        <v>1.899</v>
      </c>
      <c r="C658">
        <f>56.2</f>
        <v>56.2</v>
      </c>
      <c r="D658">
        <f>51.17</f>
        <v>51.17</v>
      </c>
      <c r="E658">
        <f>8.8</f>
        <v>8.8000000000000007</v>
      </c>
      <c r="F658">
        <f>20.6</f>
        <v>20.6</v>
      </c>
      <c r="G658">
        <f>1.7078</f>
        <v>1.7078</v>
      </c>
    </row>
    <row r="659" spans="1:7" x14ac:dyDescent="0.25">
      <c r="A659" s="1">
        <v>43872</v>
      </c>
      <c r="B659">
        <f>1.839</f>
        <v>1.839</v>
      </c>
      <c r="C659">
        <f>54.03</f>
        <v>54.03</v>
      </c>
      <c r="D659">
        <f>49.94</f>
        <v>49.94</v>
      </c>
      <c r="E659">
        <f>8.525</f>
        <v>8.5250000000000004</v>
      </c>
      <c r="F659">
        <f>20.6</f>
        <v>20.6</v>
      </c>
      <c r="G659">
        <f>1.6214</f>
        <v>1.6214</v>
      </c>
    </row>
    <row r="660" spans="1:7" x14ac:dyDescent="0.25">
      <c r="A660" s="1">
        <v>43871</v>
      </c>
      <c r="B660">
        <f>1.838</f>
        <v>1.8380000000000001</v>
      </c>
      <c r="C660">
        <f>52.97</f>
        <v>52.97</v>
      </c>
      <c r="D660">
        <f>49.57</f>
        <v>49.57</v>
      </c>
      <c r="E660">
        <f>8.55</f>
        <v>8.5500000000000007</v>
      </c>
      <c r="F660">
        <f>20.75</f>
        <v>20.75</v>
      </c>
      <c r="G660">
        <f>1.5502</f>
        <v>1.5502</v>
      </c>
    </row>
    <row r="661" spans="1:7" x14ac:dyDescent="0.25">
      <c r="A661" s="1">
        <v>43868</v>
      </c>
      <c r="B661">
        <f>1.892</f>
        <v>1.8919999999999999</v>
      </c>
      <c r="C661">
        <f>53.86</f>
        <v>53.86</v>
      </c>
      <c r="D661">
        <f>50.32</f>
        <v>50.32</v>
      </c>
      <c r="E661">
        <f>9.1</f>
        <v>9.1</v>
      </c>
      <c r="F661">
        <f>22.075</f>
        <v>22.074999999999999</v>
      </c>
      <c r="G661">
        <f>1.6428</f>
        <v>1.6428</v>
      </c>
    </row>
    <row r="662" spans="1:7" x14ac:dyDescent="0.25">
      <c r="A662" s="1">
        <v>43867</v>
      </c>
      <c r="B662">
        <f>1.887</f>
        <v>1.887</v>
      </c>
      <c r="C662">
        <f>54.48</f>
        <v>54.48</v>
      </c>
      <c r="D662">
        <f>50.95</f>
        <v>50.95</v>
      </c>
      <c r="E662">
        <f>9.15</f>
        <v>9.15</v>
      </c>
      <c r="F662">
        <f>22.5</f>
        <v>22.5</v>
      </c>
      <c r="G662">
        <f>1.6845</f>
        <v>1.6845000000000001</v>
      </c>
    </row>
    <row r="663" spans="1:7" x14ac:dyDescent="0.25">
      <c r="A663" s="1">
        <v>43866</v>
      </c>
      <c r="B663">
        <f>1.877</f>
        <v>1.877</v>
      </c>
      <c r="C663">
        <f>55.02</f>
        <v>55.02</v>
      </c>
      <c r="D663">
        <f>50.75</f>
        <v>50.75</v>
      </c>
      <c r="E663">
        <f>9.28</f>
        <v>9.2799999999999994</v>
      </c>
      <c r="F663">
        <f>22.89</f>
        <v>22.89</v>
      </c>
      <c r="G663">
        <f>1.6778</f>
        <v>1.6778</v>
      </c>
    </row>
    <row r="664" spans="1:7" x14ac:dyDescent="0.25">
      <c r="A664" s="1">
        <v>43865</v>
      </c>
      <c r="B664">
        <f>1.876</f>
        <v>1.8759999999999999</v>
      </c>
      <c r="C664">
        <f>53.05</f>
        <v>53.05</v>
      </c>
      <c r="D664">
        <f>49.61</f>
        <v>49.61</v>
      </c>
      <c r="E664">
        <f>9.45</f>
        <v>9.4499999999999993</v>
      </c>
      <c r="F664">
        <f>23.1</f>
        <v>23.1</v>
      </c>
      <c r="G664">
        <f>1.6956</f>
        <v>1.6956</v>
      </c>
    </row>
    <row r="665" spans="1:7" x14ac:dyDescent="0.25">
      <c r="A665" s="1">
        <v>43864</v>
      </c>
      <c r="B665">
        <f>1.887</f>
        <v>1.887</v>
      </c>
      <c r="C665">
        <f>53.24</f>
        <v>53.24</v>
      </c>
      <c r="D665">
        <f>50.11</f>
        <v>50.11</v>
      </c>
      <c r="E665">
        <f>9.2</f>
        <v>9.1999999999999993</v>
      </c>
      <c r="F665">
        <f>22.8</f>
        <v>22.8</v>
      </c>
      <c r="G665">
        <f>1.6386</f>
        <v>1.6386000000000001</v>
      </c>
    </row>
    <row r="666" spans="1:7" x14ac:dyDescent="0.25">
      <c r="A666" s="1">
        <v>43861</v>
      </c>
      <c r="B666">
        <f>1.896</f>
        <v>1.8959999999999999</v>
      </c>
      <c r="C666">
        <f>56.33</f>
        <v>56.33</v>
      </c>
      <c r="D666">
        <f>51.56</f>
        <v>51.56</v>
      </c>
      <c r="E666">
        <f>9.775</f>
        <v>9.7750000000000004</v>
      </c>
      <c r="F666">
        <f>25.25</f>
        <v>25.25</v>
      </c>
      <c r="G666">
        <f>1.6937</f>
        <v>1.6937</v>
      </c>
    </row>
    <row r="667" spans="1:7" x14ac:dyDescent="0.25">
      <c r="A667" s="1">
        <v>43860</v>
      </c>
      <c r="B667">
        <f>1.926</f>
        <v>1.9259999999999999</v>
      </c>
      <c r="C667">
        <f>57.97</f>
        <v>57.97</v>
      </c>
      <c r="D667">
        <f>52.14</f>
        <v>52.14</v>
      </c>
      <c r="E667">
        <f>9.925</f>
        <v>9.9250000000000007</v>
      </c>
      <c r="F667">
        <f>25.65</f>
        <v>25.65</v>
      </c>
      <c r="G667">
        <f>1.6601</f>
        <v>1.6600999999999999</v>
      </c>
    </row>
    <row r="668" spans="1:7" x14ac:dyDescent="0.25">
      <c r="A668" s="1">
        <v>43859</v>
      </c>
      <c r="B668">
        <f>1.927</f>
        <v>1.927</v>
      </c>
      <c r="C668">
        <f>58.79</f>
        <v>58.79</v>
      </c>
      <c r="D668">
        <f>53.33</f>
        <v>53.33</v>
      </c>
      <c r="E668">
        <f>10.075</f>
        <v>10.074999999999999</v>
      </c>
      <c r="F668">
        <f>27</f>
        <v>27</v>
      </c>
      <c r="G668">
        <f>2.0379</f>
        <v>2.0379</v>
      </c>
    </row>
    <row r="669" spans="1:7" x14ac:dyDescent="0.25">
      <c r="A669" s="1">
        <v>43858</v>
      </c>
      <c r="B669">
        <f>1.965</f>
        <v>1.9650000000000001</v>
      </c>
      <c r="C669">
        <f>59.33</f>
        <v>59.33</v>
      </c>
      <c r="D669">
        <f>53.48</f>
        <v>53.48</v>
      </c>
      <c r="E669">
        <f>10.85</f>
        <v>10.85</v>
      </c>
      <c r="F669">
        <f>28.15</f>
        <v>28.15</v>
      </c>
      <c r="G669">
        <f>2.1045</f>
        <v>2.1044999999999998</v>
      </c>
    </row>
    <row r="670" spans="1:7" x14ac:dyDescent="0.25">
      <c r="A670" s="1">
        <v>43857</v>
      </c>
      <c r="B670">
        <f>2.017</f>
        <v>2.0169999999999999</v>
      </c>
      <c r="C670">
        <f>58.21</f>
        <v>58.21</v>
      </c>
      <c r="D670">
        <f>53.14</f>
        <v>53.14</v>
      </c>
      <c r="E670">
        <f>10.54</f>
        <v>10.54</v>
      </c>
      <c r="F670">
        <f>27.4</f>
        <v>27.4</v>
      </c>
      <c r="G670">
        <f>2.0634</f>
        <v>2.0634000000000001</v>
      </c>
    </row>
    <row r="671" spans="1:7" x14ac:dyDescent="0.25">
      <c r="A671" s="1">
        <v>43854</v>
      </c>
      <c r="B671">
        <f>1.911</f>
        <v>1.911</v>
      </c>
      <c r="C671">
        <f>60.01</f>
        <v>60.01</v>
      </c>
      <c r="D671">
        <f>54.12</f>
        <v>54.12</v>
      </c>
      <c r="E671">
        <f>10.525</f>
        <v>10.525</v>
      </c>
      <c r="F671">
        <f>27.12</f>
        <v>27.12</v>
      </c>
      <c r="G671">
        <f>2.0344</f>
        <v>2.0344000000000002</v>
      </c>
    </row>
    <row r="672" spans="1:7" x14ac:dyDescent="0.25">
      <c r="A672" s="1">
        <v>43853</v>
      </c>
      <c r="B672">
        <f>1.968</f>
        <v>1.968</v>
      </c>
      <c r="C672">
        <f>61.59</f>
        <v>61.59</v>
      </c>
      <c r="D672">
        <f>55.5</f>
        <v>55.5</v>
      </c>
      <c r="E672">
        <f>10.425</f>
        <v>10.425000000000001</v>
      </c>
      <c r="F672">
        <f>26.8</f>
        <v>26.8</v>
      </c>
      <c r="G672">
        <f>2.1143</f>
        <v>2.1143000000000001</v>
      </c>
    </row>
    <row r="673" spans="1:7" x14ac:dyDescent="0.25">
      <c r="A673" s="1">
        <v>43852</v>
      </c>
      <c r="B673">
        <f>1.914</f>
        <v>1.9139999999999999</v>
      </c>
      <c r="C673">
        <f>62.17</f>
        <v>62.17</v>
      </c>
      <c r="D673">
        <f>56.64</f>
        <v>56.64</v>
      </c>
      <c r="E673">
        <f>10.4</f>
        <v>10.4</v>
      </c>
      <c r="F673">
        <f>26.9</f>
        <v>26.9</v>
      </c>
      <c r="G673">
        <f>2.1522</f>
        <v>2.1522000000000001</v>
      </c>
    </row>
    <row r="674" spans="1:7" x14ac:dyDescent="0.25">
      <c r="A674" s="1">
        <v>43851</v>
      </c>
      <c r="B674">
        <f>1.965</f>
        <v>1.9650000000000001</v>
      </c>
      <c r="C674">
        <f>63.92</f>
        <v>63.92</v>
      </c>
      <c r="D674">
        <f>58.34</f>
        <v>58.34</v>
      </c>
      <c r="E674">
        <f>10.775</f>
        <v>10.775</v>
      </c>
      <c r="F674">
        <f>27.85</f>
        <v>27.85</v>
      </c>
      <c r="G674">
        <f>2.0277</f>
        <v>2.0276999999999998</v>
      </c>
    </row>
    <row r="675" spans="1:7" x14ac:dyDescent="0.25">
      <c r="A675" s="1">
        <v>43850</v>
      </c>
      <c r="B675" t="e">
        <f>NA()</f>
        <v>#N/A</v>
      </c>
      <c r="C675">
        <f>64.69</f>
        <v>64.69</v>
      </c>
      <c r="D675" t="e">
        <f>NA()</f>
        <v>#N/A</v>
      </c>
      <c r="E675">
        <f>10.675</f>
        <v>10.675000000000001</v>
      </c>
      <c r="F675">
        <f>27.28</f>
        <v>27.28</v>
      </c>
      <c r="G675" t="e">
        <f>NA()</f>
        <v>#N/A</v>
      </c>
    </row>
    <row r="676" spans="1:7" x14ac:dyDescent="0.25">
      <c r="A676" s="1">
        <v>43847</v>
      </c>
      <c r="B676">
        <f>2.047</f>
        <v>2.0470000000000002</v>
      </c>
      <c r="C676">
        <f>65.18</f>
        <v>65.180000000000007</v>
      </c>
      <c r="D676">
        <f>58.54</f>
        <v>58.54</v>
      </c>
      <c r="E676">
        <f>10.875</f>
        <v>10.875</v>
      </c>
      <c r="F676">
        <f>28.31</f>
        <v>28.31</v>
      </c>
      <c r="G676">
        <f>2.0766</f>
        <v>2.0766</v>
      </c>
    </row>
    <row r="677" spans="1:7" x14ac:dyDescent="0.25">
      <c r="A677" s="1">
        <v>43846</v>
      </c>
      <c r="B677">
        <f>2.078</f>
        <v>2.0779999999999998</v>
      </c>
      <c r="C677">
        <f>64.82</f>
        <v>64.819999999999993</v>
      </c>
      <c r="D677">
        <f>58.52</f>
        <v>58.52</v>
      </c>
      <c r="E677">
        <f>11.15</f>
        <v>11.15</v>
      </c>
      <c r="F677">
        <f>28.85</f>
        <v>28.85</v>
      </c>
      <c r="G677">
        <f>2.1411</f>
        <v>2.1410999999999998</v>
      </c>
    </row>
    <row r="678" spans="1:7" x14ac:dyDescent="0.25">
      <c r="A678" s="1">
        <v>43845</v>
      </c>
      <c r="B678">
        <f>2.023</f>
        <v>2.0230000000000001</v>
      </c>
      <c r="C678">
        <f>64.4</f>
        <v>64.400000000000006</v>
      </c>
      <c r="D678">
        <f>57.81</f>
        <v>57.81</v>
      </c>
      <c r="E678">
        <f>11.275</f>
        <v>11.275</v>
      </c>
      <c r="F678">
        <f>29.4</f>
        <v>29.4</v>
      </c>
      <c r="G678">
        <f>2.1783</f>
        <v>2.1783000000000001</v>
      </c>
    </row>
    <row r="679" spans="1:7" x14ac:dyDescent="0.25">
      <c r="A679" s="1">
        <v>43844</v>
      </c>
      <c r="B679">
        <f>2.186</f>
        <v>2.1859999999999999</v>
      </c>
      <c r="C679">
        <f>64.88</f>
        <v>64.88</v>
      </c>
      <c r="D679">
        <f>58.23</f>
        <v>58.23</v>
      </c>
      <c r="E679">
        <f>11.3</f>
        <v>11.3</v>
      </c>
      <c r="F679">
        <f>29.25</f>
        <v>29.25</v>
      </c>
      <c r="G679">
        <f>2.2643</f>
        <v>2.2643</v>
      </c>
    </row>
    <row r="680" spans="1:7" x14ac:dyDescent="0.25">
      <c r="A680" s="1">
        <v>43843</v>
      </c>
      <c r="B680">
        <f>2.126</f>
        <v>2.1259999999999999</v>
      </c>
      <c r="C680">
        <f>64.46</f>
        <v>64.459999999999994</v>
      </c>
      <c r="D680">
        <f>58.08</f>
        <v>58.08</v>
      </c>
      <c r="E680">
        <f>12.075</f>
        <v>12.074999999999999</v>
      </c>
      <c r="F680">
        <f>31.45</f>
        <v>31.45</v>
      </c>
      <c r="G680">
        <f>2.3448</f>
        <v>2.3448000000000002</v>
      </c>
    </row>
    <row r="681" spans="1:7" x14ac:dyDescent="0.25">
      <c r="A681" s="1">
        <v>43840</v>
      </c>
      <c r="B681">
        <f>2.066</f>
        <v>2.0659999999999998</v>
      </c>
      <c r="C681">
        <f>65.29</f>
        <v>65.290000000000006</v>
      </c>
      <c r="D681">
        <f>59.04</f>
        <v>59.04</v>
      </c>
      <c r="E681">
        <f>12</f>
        <v>12</v>
      </c>
      <c r="F681">
        <f>30.65</f>
        <v>30.65</v>
      </c>
      <c r="G681">
        <f>2.3448</f>
        <v>2.3448000000000002</v>
      </c>
    </row>
    <row r="682" spans="1:7" x14ac:dyDescent="0.25">
      <c r="A682" s="1">
        <v>43839</v>
      </c>
      <c r="B682">
        <f>2.034</f>
        <v>2.0339999999999998</v>
      </c>
      <c r="C682">
        <f>65.54</f>
        <v>65.540000000000006</v>
      </c>
      <c r="D682">
        <f>59.56</f>
        <v>59.56</v>
      </c>
      <c r="E682">
        <f>12</f>
        <v>12</v>
      </c>
      <c r="F682">
        <f>30.75</f>
        <v>30.75</v>
      </c>
      <c r="G682">
        <f>2.3245</f>
        <v>2.3245</v>
      </c>
    </row>
    <row r="683" spans="1:7" x14ac:dyDescent="0.25">
      <c r="A683" s="1">
        <v>43838</v>
      </c>
      <c r="B683">
        <f>2.072</f>
        <v>2.0720000000000001</v>
      </c>
      <c r="C683">
        <f>65.89</f>
        <v>65.89</v>
      </c>
      <c r="D683">
        <f>59.61</f>
        <v>59.61</v>
      </c>
      <c r="E683">
        <f>11.975</f>
        <v>11.975</v>
      </c>
      <c r="F683">
        <f>30.25</f>
        <v>30.25</v>
      </c>
      <c r="G683">
        <f>2.2752</f>
        <v>2.2751999999999999</v>
      </c>
    </row>
    <row r="684" spans="1:7" x14ac:dyDescent="0.25">
      <c r="A684" s="1">
        <v>43837</v>
      </c>
      <c r="B684">
        <f>2.155</f>
        <v>2.1549999999999998</v>
      </c>
      <c r="C684">
        <f>68.47</f>
        <v>68.47</v>
      </c>
      <c r="D684">
        <f>62.7</f>
        <v>62.7</v>
      </c>
      <c r="E684">
        <f>11.95</f>
        <v>11.95</v>
      </c>
      <c r="F684">
        <f>30.15</f>
        <v>30.15</v>
      </c>
      <c r="G684">
        <f>2.3321</f>
        <v>2.3321000000000001</v>
      </c>
    </row>
    <row r="685" spans="1:7" x14ac:dyDescent="0.25">
      <c r="A685" s="1">
        <v>43836</v>
      </c>
      <c r="B685">
        <f>2.106</f>
        <v>2.1059999999999999</v>
      </c>
      <c r="C685">
        <f>69.02</f>
        <v>69.02</v>
      </c>
      <c r="D685">
        <f>63.27</f>
        <v>63.27</v>
      </c>
      <c r="E685">
        <f>12.25</f>
        <v>12.25</v>
      </c>
      <c r="F685">
        <f>31</f>
        <v>31</v>
      </c>
      <c r="G685">
        <f>2.2127</f>
        <v>2.2126999999999999</v>
      </c>
    </row>
    <row r="686" spans="1:7" x14ac:dyDescent="0.25">
      <c r="A686" s="1">
        <v>43833</v>
      </c>
      <c r="B686">
        <f>2.043</f>
        <v>2.0430000000000001</v>
      </c>
      <c r="C686">
        <f>68.96</f>
        <v>68.959999999999994</v>
      </c>
      <c r="D686">
        <f>63.05</f>
        <v>63.05</v>
      </c>
      <c r="E686">
        <f>12.975</f>
        <v>12.975</v>
      </c>
      <c r="F686">
        <f>33.3</f>
        <v>33.299999999999997</v>
      </c>
      <c r="G686">
        <f>2.1195</f>
        <v>2.1194999999999999</v>
      </c>
    </row>
    <row r="687" spans="1:7" x14ac:dyDescent="0.25">
      <c r="A687" s="1">
        <v>43832</v>
      </c>
      <c r="B687">
        <f>2.035</f>
        <v>2.0350000000000001</v>
      </c>
      <c r="C687">
        <f>66.62</f>
        <v>66.62</v>
      </c>
      <c r="D687">
        <f>61.18</f>
        <v>61.18</v>
      </c>
      <c r="E687">
        <f>12.1</f>
        <v>12.1</v>
      </c>
      <c r="F687">
        <f>31</f>
        <v>31</v>
      </c>
      <c r="G687">
        <f>2.0815</f>
        <v>2.0815000000000001</v>
      </c>
    </row>
    <row r="688" spans="1:7" x14ac:dyDescent="0.25">
      <c r="A688" s="1">
        <v>43831</v>
      </c>
      <c r="B688" t="e">
        <f>NA()</f>
        <v>#N/A</v>
      </c>
      <c r="C688">
        <f>66.31</f>
        <v>66.31</v>
      </c>
      <c r="D688" t="e">
        <f>NA()</f>
        <v>#N/A</v>
      </c>
      <c r="E688" t="e">
        <f>NA()</f>
        <v>#N/A</v>
      </c>
      <c r="F688" t="e">
        <f>NA()</f>
        <v>#N/A</v>
      </c>
      <c r="G688" t="e">
        <f>NA()</f>
        <v>#N/A</v>
      </c>
    </row>
    <row r="689" spans="1:7" x14ac:dyDescent="0.25">
      <c r="A689" s="1">
        <v>43830</v>
      </c>
      <c r="B689">
        <f>2.073</f>
        <v>2.073</v>
      </c>
      <c r="C689">
        <f>66.42</f>
        <v>66.42</v>
      </c>
      <c r="D689">
        <f>61.06</f>
        <v>61.06</v>
      </c>
      <c r="E689">
        <f>11.8</f>
        <v>11.8</v>
      </c>
      <c r="F689">
        <f>31.2</f>
        <v>31.2</v>
      </c>
      <c r="G689">
        <f>2.1654</f>
        <v>2.1654</v>
      </c>
    </row>
    <row r="690" spans="1:7" x14ac:dyDescent="0.25">
      <c r="A690" s="1">
        <v>43829</v>
      </c>
      <c r="B690">
        <f>2.036</f>
        <v>2.036</v>
      </c>
      <c r="C690">
        <f>67.13</f>
        <v>67.13</v>
      </c>
      <c r="D690">
        <f>61.68</f>
        <v>61.68</v>
      </c>
      <c r="E690">
        <f>12.25</f>
        <v>12.25</v>
      </c>
      <c r="F690">
        <f>31.84</f>
        <v>31.84</v>
      </c>
      <c r="G690">
        <f>2.1363</f>
        <v>2.1362999999999999</v>
      </c>
    </row>
    <row r="691" spans="1:7" x14ac:dyDescent="0.25">
      <c r="A691" s="1">
        <v>43826</v>
      </c>
      <c r="B691">
        <f>1.78</f>
        <v>1.78</v>
      </c>
      <c r="C691">
        <f>67.51</f>
        <v>67.510000000000005</v>
      </c>
      <c r="D691">
        <f>61.72</f>
        <v>61.72</v>
      </c>
      <c r="E691">
        <f>12.8</f>
        <v>12.8</v>
      </c>
      <c r="F691">
        <f>33.2</f>
        <v>33.200000000000003</v>
      </c>
      <c r="G691">
        <f>2.1383</f>
        <v>2.1383000000000001</v>
      </c>
    </row>
    <row r="692" spans="1:7" x14ac:dyDescent="0.25">
      <c r="A692" s="1">
        <v>43825</v>
      </c>
      <c r="B692">
        <f>2.068</f>
        <v>2.0680000000000001</v>
      </c>
      <c r="C692">
        <f>67.56</f>
        <v>67.56</v>
      </c>
      <c r="D692">
        <f>61.68</f>
        <v>61.68</v>
      </c>
      <c r="E692" t="e">
        <f>NA()</f>
        <v>#N/A</v>
      </c>
      <c r="F692" t="e">
        <f>NA()</f>
        <v>#N/A</v>
      </c>
      <c r="G692">
        <f>2.3333</f>
        <v>2.3332999999999999</v>
      </c>
    </row>
    <row r="693" spans="1:7" x14ac:dyDescent="0.25">
      <c r="A693" s="1">
        <v>43824</v>
      </c>
      <c r="B693" t="e">
        <f>NA()</f>
        <v>#N/A</v>
      </c>
      <c r="C693">
        <f>66.94</f>
        <v>66.94</v>
      </c>
      <c r="D693" t="e">
        <f>NA()</f>
        <v>#N/A</v>
      </c>
      <c r="E693" t="e">
        <f>NA()</f>
        <v>#N/A</v>
      </c>
      <c r="F693" t="e">
        <f>NA()</f>
        <v>#N/A</v>
      </c>
      <c r="G693" t="e">
        <f>NA()</f>
        <v>#N/A</v>
      </c>
    </row>
    <row r="694" spans="1:7" x14ac:dyDescent="0.25">
      <c r="A694" s="1">
        <v>43823</v>
      </c>
      <c r="B694">
        <f>2.09</f>
        <v>2.09</v>
      </c>
      <c r="C694">
        <f>66.99</f>
        <v>66.989999999999995</v>
      </c>
      <c r="D694">
        <f>61.06</f>
        <v>61.06</v>
      </c>
      <c r="E694">
        <f>12.625</f>
        <v>12.625</v>
      </c>
      <c r="F694">
        <f>33.12</f>
        <v>33.119999999999997</v>
      </c>
      <c r="G694">
        <f>2.2251</f>
        <v>2.2250999999999999</v>
      </c>
    </row>
    <row r="695" spans="1:7" x14ac:dyDescent="0.25">
      <c r="A695" s="1">
        <v>43822</v>
      </c>
      <c r="B695">
        <f>2.151</f>
        <v>2.1509999999999998</v>
      </c>
      <c r="C695">
        <f>66.26</f>
        <v>66.260000000000005</v>
      </c>
      <c r="D695">
        <f>60.51</f>
        <v>60.51</v>
      </c>
      <c r="E695">
        <f>13.06</f>
        <v>13.06</v>
      </c>
      <c r="F695">
        <f>34.5</f>
        <v>34.5</v>
      </c>
      <c r="G695">
        <f>2.1623</f>
        <v>2.1623000000000001</v>
      </c>
    </row>
    <row r="696" spans="1:7" x14ac:dyDescent="0.25">
      <c r="A696" s="1">
        <v>43819</v>
      </c>
      <c r="B696">
        <f>2.254</f>
        <v>2.254</v>
      </c>
      <c r="C696">
        <f>66.57</f>
        <v>66.569999999999993</v>
      </c>
      <c r="D696">
        <f>60.41</f>
        <v>60.41</v>
      </c>
      <c r="E696">
        <f>14.225</f>
        <v>14.225</v>
      </c>
      <c r="F696">
        <f>37.12</f>
        <v>37.119999999999997</v>
      </c>
      <c r="G696">
        <f>2.3348</f>
        <v>2.3348</v>
      </c>
    </row>
    <row r="697" spans="1:7" x14ac:dyDescent="0.25">
      <c r="A697" s="1">
        <v>43818</v>
      </c>
      <c r="B697">
        <f>2.192</f>
        <v>2.1920000000000002</v>
      </c>
      <c r="C697">
        <f>67.73</f>
        <v>67.73</v>
      </c>
      <c r="D697">
        <f>61.22</f>
        <v>61.22</v>
      </c>
      <c r="E697">
        <f>15.05</f>
        <v>15.05</v>
      </c>
      <c r="F697">
        <f>39.08</f>
        <v>39.08</v>
      </c>
      <c r="G697">
        <f>2.2603</f>
        <v>2.2603</v>
      </c>
    </row>
    <row r="698" spans="1:7" x14ac:dyDescent="0.25">
      <c r="A698" s="1">
        <v>43817</v>
      </c>
      <c r="B698">
        <f>2.243</f>
        <v>2.2429999999999999</v>
      </c>
      <c r="C698">
        <f>67.79</f>
        <v>67.790000000000006</v>
      </c>
      <c r="D698">
        <f>60.93</f>
        <v>60.93</v>
      </c>
      <c r="E698">
        <f>15.125</f>
        <v>15.125</v>
      </c>
      <c r="F698">
        <f>39.35</f>
        <v>39.35</v>
      </c>
      <c r="G698">
        <f>2.2389</f>
        <v>2.2389000000000001</v>
      </c>
    </row>
    <row r="699" spans="1:7" x14ac:dyDescent="0.25">
      <c r="A699" s="1">
        <v>43816</v>
      </c>
      <c r="B699">
        <f>2.304</f>
        <v>2.3039999999999998</v>
      </c>
      <c r="C699">
        <f>67.54</f>
        <v>67.540000000000006</v>
      </c>
      <c r="D699">
        <f>60.94</f>
        <v>60.94</v>
      </c>
      <c r="E699">
        <f>14.4</f>
        <v>14.4</v>
      </c>
      <c r="F699">
        <f>37.8</f>
        <v>37.799999999999997</v>
      </c>
      <c r="G699">
        <f>2.2617</f>
        <v>2.2616999999999998</v>
      </c>
    </row>
    <row r="700" spans="1:7" x14ac:dyDescent="0.25">
      <c r="A700" s="1">
        <v>43815</v>
      </c>
      <c r="B700">
        <f>2.334</f>
        <v>2.3340000000000001</v>
      </c>
      <c r="C700">
        <f>67.11</f>
        <v>67.11</v>
      </c>
      <c r="D700">
        <f>60.21</f>
        <v>60.21</v>
      </c>
      <c r="E700">
        <f>13.925</f>
        <v>13.925000000000001</v>
      </c>
      <c r="F700">
        <f>35.4</f>
        <v>35.4</v>
      </c>
      <c r="G700">
        <f>2.3305</f>
        <v>2.3304999999999998</v>
      </c>
    </row>
    <row r="701" spans="1:7" x14ac:dyDescent="0.25">
      <c r="A701" s="1">
        <v>43812</v>
      </c>
      <c r="B701">
        <f>2.233</f>
        <v>2.2330000000000001</v>
      </c>
      <c r="C701">
        <f>66.9</f>
        <v>66.900000000000006</v>
      </c>
      <c r="D701">
        <f>60.07</f>
        <v>60.07</v>
      </c>
      <c r="E701">
        <f>13.65</f>
        <v>13.65</v>
      </c>
      <c r="F701">
        <f>35.17</f>
        <v>35.17</v>
      </c>
      <c r="G701">
        <f>2.2383</f>
        <v>2.2383000000000002</v>
      </c>
    </row>
    <row r="702" spans="1:7" x14ac:dyDescent="0.25">
      <c r="A702" s="1">
        <v>43811</v>
      </c>
      <c r="B702">
        <f>2.259</f>
        <v>2.2589999999999999</v>
      </c>
      <c r="C702">
        <f>66.28</f>
        <v>66.28</v>
      </c>
      <c r="D702">
        <f>59.18</f>
        <v>59.18</v>
      </c>
      <c r="E702">
        <f>14.7</f>
        <v>14.7</v>
      </c>
      <c r="F702">
        <f>38</f>
        <v>38</v>
      </c>
      <c r="G702">
        <f>2.3474</f>
        <v>2.3473999999999999</v>
      </c>
    </row>
    <row r="703" spans="1:7" x14ac:dyDescent="0.25">
      <c r="A703" s="1">
        <v>43810</v>
      </c>
      <c r="B703">
        <f>2.263</f>
        <v>2.2629999999999999</v>
      </c>
      <c r="C703">
        <f>65.16</f>
        <v>65.16</v>
      </c>
      <c r="D703">
        <f>58.76</f>
        <v>58.76</v>
      </c>
      <c r="E703">
        <f>13.95</f>
        <v>13.95</v>
      </c>
      <c r="F703">
        <f>36</f>
        <v>36</v>
      </c>
      <c r="G703">
        <f>2.2422</f>
        <v>2.2422</v>
      </c>
    </row>
    <row r="704" spans="1:7" x14ac:dyDescent="0.25">
      <c r="A704" s="1">
        <v>43809</v>
      </c>
      <c r="B704">
        <f>2.187</f>
        <v>2.1869999999999998</v>
      </c>
      <c r="C704">
        <f>65.29</f>
        <v>65.290000000000006</v>
      </c>
      <c r="D704">
        <f>59.24</f>
        <v>59.24</v>
      </c>
      <c r="E704">
        <f>14.4</f>
        <v>14.4</v>
      </c>
      <c r="F704">
        <f>37.2</f>
        <v>37.200000000000003</v>
      </c>
      <c r="G704">
        <f>2.3389</f>
        <v>2.3389000000000002</v>
      </c>
    </row>
    <row r="705" spans="1:7" x14ac:dyDescent="0.25">
      <c r="A705" s="1">
        <v>43808</v>
      </c>
      <c r="B705">
        <f>2.155</f>
        <v>2.1549999999999998</v>
      </c>
      <c r="C705">
        <f>65.42</f>
        <v>65.42</v>
      </c>
      <c r="D705">
        <f>59.02</f>
        <v>59.02</v>
      </c>
      <c r="E705">
        <f>14.775</f>
        <v>14.775</v>
      </c>
      <c r="F705">
        <f>38.2</f>
        <v>38.200000000000003</v>
      </c>
      <c r="G705">
        <f>2.237</f>
        <v>2.2370000000000001</v>
      </c>
    </row>
    <row r="706" spans="1:7" x14ac:dyDescent="0.25">
      <c r="A706" s="1">
        <v>43805</v>
      </c>
      <c r="B706">
        <f>2.284</f>
        <v>2.2839999999999998</v>
      </c>
      <c r="C706">
        <f>65.46</f>
        <v>65.459999999999994</v>
      </c>
      <c r="D706">
        <f>59.2</f>
        <v>59.2</v>
      </c>
      <c r="E706">
        <f>15.025</f>
        <v>15.025</v>
      </c>
      <c r="F706">
        <f>38.78</f>
        <v>38.78</v>
      </c>
      <c r="G706">
        <f>2.3351</f>
        <v>2.3351000000000002</v>
      </c>
    </row>
    <row r="707" spans="1:7" x14ac:dyDescent="0.25">
      <c r="A707" s="1">
        <v>43804</v>
      </c>
      <c r="B707">
        <f>2.352</f>
        <v>2.3519999999999999</v>
      </c>
      <c r="C707">
        <f>64.17</f>
        <v>64.17</v>
      </c>
      <c r="D707">
        <f>58.43</f>
        <v>58.43</v>
      </c>
      <c r="E707">
        <f>15.33</f>
        <v>15.33</v>
      </c>
      <c r="F707">
        <f>39.65</f>
        <v>39.65</v>
      </c>
      <c r="G707">
        <f>2.3993</f>
        <v>2.3993000000000002</v>
      </c>
    </row>
    <row r="708" spans="1:7" x14ac:dyDescent="0.25">
      <c r="A708" s="1">
        <v>43803</v>
      </c>
      <c r="B708">
        <f>2.363</f>
        <v>2.363</v>
      </c>
      <c r="C708">
        <f>62.86</f>
        <v>62.86</v>
      </c>
      <c r="D708">
        <f>58.43</f>
        <v>58.43</v>
      </c>
      <c r="E708">
        <f>15.775</f>
        <v>15.775</v>
      </c>
      <c r="F708">
        <f>41.03</f>
        <v>41.03</v>
      </c>
      <c r="G708">
        <f>2.33</f>
        <v>2.33</v>
      </c>
    </row>
    <row r="709" spans="1:7" x14ac:dyDescent="0.25">
      <c r="A709" s="1">
        <v>43802</v>
      </c>
      <c r="B709">
        <f>2.402</f>
        <v>2.4020000000000001</v>
      </c>
      <c r="C709">
        <f>60.94</f>
        <v>60.94</v>
      </c>
      <c r="D709">
        <f>56.1</f>
        <v>56.1</v>
      </c>
      <c r="E709">
        <f>15.82</f>
        <v>15.82</v>
      </c>
      <c r="F709">
        <f>41</f>
        <v>41</v>
      </c>
      <c r="G709">
        <f>2.4057</f>
        <v>2.4056999999999999</v>
      </c>
    </row>
    <row r="710" spans="1:7" x14ac:dyDescent="0.25">
      <c r="A710" s="1">
        <v>43801</v>
      </c>
      <c r="B710">
        <f>2.267</f>
        <v>2.2669999999999999</v>
      </c>
      <c r="C710">
        <f>60.77</f>
        <v>60.77</v>
      </c>
      <c r="D710">
        <f>55.96</f>
        <v>55.96</v>
      </c>
      <c r="E710">
        <f>15.85</f>
        <v>15.85</v>
      </c>
      <c r="F710">
        <f>41.38</f>
        <v>41.38</v>
      </c>
      <c r="G710">
        <f>2.2978</f>
        <v>2.2978000000000001</v>
      </c>
    </row>
    <row r="711" spans="1:7" x14ac:dyDescent="0.25">
      <c r="A711" s="1">
        <v>43798</v>
      </c>
      <c r="B711" t="e">
        <f>NA()</f>
        <v>#N/A</v>
      </c>
      <c r="C711">
        <f>61.34</f>
        <v>61.34</v>
      </c>
      <c r="D711">
        <f>55.17</f>
        <v>55.17</v>
      </c>
      <c r="E711">
        <f>15.65</f>
        <v>15.65</v>
      </c>
      <c r="F711">
        <f>40.55</f>
        <v>40.549999999999997</v>
      </c>
      <c r="G711">
        <f>2.17</f>
        <v>2.17</v>
      </c>
    </row>
    <row r="712" spans="1:7" x14ac:dyDescent="0.25">
      <c r="A712" s="1">
        <v>43797</v>
      </c>
      <c r="B712" t="e">
        <f>NA()</f>
        <v>#N/A</v>
      </c>
      <c r="C712">
        <f>63.87</f>
        <v>63.87</v>
      </c>
      <c r="D712" t="e">
        <f>NA()</f>
        <v>#N/A</v>
      </c>
      <c r="E712">
        <f>15.7</f>
        <v>15.7</v>
      </c>
      <c r="F712">
        <f>40.84</f>
        <v>40.840000000000003</v>
      </c>
      <c r="G712" t="e">
        <f>NA()</f>
        <v>#N/A</v>
      </c>
    </row>
    <row r="713" spans="1:7" x14ac:dyDescent="0.25">
      <c r="A713" s="1">
        <v>43796</v>
      </c>
      <c r="B713">
        <f>2.438</f>
        <v>2.4380000000000002</v>
      </c>
      <c r="C713">
        <f>63.66</f>
        <v>63.66</v>
      </c>
      <c r="D713">
        <f>58.11</f>
        <v>58.11</v>
      </c>
      <c r="E713">
        <f>16.05</f>
        <v>16.05</v>
      </c>
      <c r="F713">
        <f>42.1</f>
        <v>42.1</v>
      </c>
      <c r="G713">
        <f>2.3843</f>
        <v>2.3843000000000001</v>
      </c>
    </row>
    <row r="714" spans="1:7" x14ac:dyDescent="0.25">
      <c r="A714" s="1">
        <v>43795</v>
      </c>
      <c r="B714">
        <f>2.372</f>
        <v>2.3719999999999999</v>
      </c>
      <c r="C714">
        <f>63.7</f>
        <v>63.7</v>
      </c>
      <c r="D714">
        <f>58.41</f>
        <v>58.41</v>
      </c>
      <c r="E714">
        <f>15.9</f>
        <v>15.9</v>
      </c>
      <c r="F714">
        <f>41.8</f>
        <v>41.8</v>
      </c>
      <c r="G714">
        <f>2.563</f>
        <v>2.5630000000000002</v>
      </c>
    </row>
    <row r="715" spans="1:7" x14ac:dyDescent="0.25">
      <c r="A715" s="1">
        <v>43794</v>
      </c>
      <c r="B715">
        <f>2.493</f>
        <v>2.4929999999999999</v>
      </c>
      <c r="C715">
        <f>63.05</f>
        <v>63.05</v>
      </c>
      <c r="D715">
        <f>57.94</f>
        <v>57.94</v>
      </c>
      <c r="E715">
        <f>16.425</f>
        <v>16.425000000000001</v>
      </c>
      <c r="F715">
        <f>42.9</f>
        <v>42.9</v>
      </c>
      <c r="G715">
        <f>2.51</f>
        <v>2.5099999999999998</v>
      </c>
    </row>
    <row r="716" spans="1:7" x14ac:dyDescent="0.25">
      <c r="A716" s="1">
        <v>43791</v>
      </c>
      <c r="B716">
        <f>2.602</f>
        <v>2.6019999999999999</v>
      </c>
      <c r="C716">
        <f>62.98</f>
        <v>62.98</v>
      </c>
      <c r="D716">
        <f>57.7</f>
        <v>57.7</v>
      </c>
      <c r="E716">
        <f>16.14</f>
        <v>16.14</v>
      </c>
      <c r="F716">
        <f>42.2</f>
        <v>42.2</v>
      </c>
      <c r="G716">
        <f>2.7674</f>
        <v>2.7673999999999999</v>
      </c>
    </row>
    <row r="717" spans="1:7" x14ac:dyDescent="0.25">
      <c r="A717" s="1">
        <v>43790</v>
      </c>
      <c r="B717">
        <f>2.513</f>
        <v>2.5129999999999999</v>
      </c>
      <c r="C717">
        <f>63.07</f>
        <v>63.07</v>
      </c>
      <c r="D717">
        <f>58.53</f>
        <v>58.53</v>
      </c>
      <c r="E717">
        <f>15.65</f>
        <v>15.65</v>
      </c>
      <c r="F717">
        <f>41.1</f>
        <v>41.1</v>
      </c>
      <c r="G717">
        <f>2.6375</f>
        <v>2.6375000000000002</v>
      </c>
    </row>
    <row r="718" spans="1:7" x14ac:dyDescent="0.25">
      <c r="A718" s="1">
        <v>43789</v>
      </c>
      <c r="B718">
        <f>2.542</f>
        <v>2.5419999999999998</v>
      </c>
      <c r="C718">
        <f>62.61</f>
        <v>62.61</v>
      </c>
      <c r="D718">
        <f>57.11</f>
        <v>57.11</v>
      </c>
      <c r="E718">
        <f>15.575</f>
        <v>15.574999999999999</v>
      </c>
      <c r="F718">
        <f>40.125</f>
        <v>40.125</v>
      </c>
      <c r="G718">
        <f>2.6183</f>
        <v>2.6183000000000001</v>
      </c>
    </row>
    <row r="719" spans="1:7" x14ac:dyDescent="0.25">
      <c r="A719" s="1">
        <v>43788</v>
      </c>
      <c r="B719">
        <f>2.514</f>
        <v>2.5139999999999998</v>
      </c>
      <c r="C719">
        <f>60.99</f>
        <v>60.99</v>
      </c>
      <c r="D719">
        <f>55.21</f>
        <v>55.21</v>
      </c>
      <c r="E719">
        <f>15.35</f>
        <v>15.35</v>
      </c>
      <c r="F719">
        <f>40</f>
        <v>40</v>
      </c>
      <c r="G719">
        <f>2.4533</f>
        <v>2.4533</v>
      </c>
    </row>
    <row r="720" spans="1:7" x14ac:dyDescent="0.25">
      <c r="A720" s="1">
        <v>43787</v>
      </c>
      <c r="B720">
        <f>2.593</f>
        <v>2.593</v>
      </c>
      <c r="C720">
        <f>62.44</f>
        <v>62.44</v>
      </c>
      <c r="D720">
        <f>57.05</f>
        <v>57.05</v>
      </c>
      <c r="E720">
        <f>15.2</f>
        <v>15.2</v>
      </c>
      <c r="F720">
        <f>39.75</f>
        <v>39.75</v>
      </c>
      <c r="G720">
        <f>2.2837</f>
        <v>2.2837000000000001</v>
      </c>
    </row>
    <row r="721" spans="1:7" x14ac:dyDescent="0.25">
      <c r="A721" s="1">
        <v>43784</v>
      </c>
      <c r="B721">
        <f>2.684</f>
        <v>2.6840000000000002</v>
      </c>
      <c r="C721">
        <f>63.93</f>
        <v>63.93</v>
      </c>
      <c r="D721">
        <f>57.72</f>
        <v>57.72</v>
      </c>
      <c r="E721">
        <f>15.7</f>
        <v>15.7</v>
      </c>
      <c r="F721">
        <f>41</f>
        <v>41</v>
      </c>
      <c r="G721">
        <f>2.5154</f>
        <v>2.5154000000000001</v>
      </c>
    </row>
    <row r="722" spans="1:7" x14ac:dyDescent="0.25">
      <c r="A722" s="1">
        <v>43783</v>
      </c>
      <c r="B722">
        <f>2.665</f>
        <v>2.665</v>
      </c>
      <c r="C722">
        <f>62.99</f>
        <v>62.99</v>
      </c>
      <c r="D722">
        <f>56.77</f>
        <v>56.77</v>
      </c>
      <c r="E722">
        <f>15.65</f>
        <v>15.65</v>
      </c>
      <c r="F722">
        <f>40.8</f>
        <v>40.799999999999997</v>
      </c>
      <c r="G722">
        <f>2.4779</f>
        <v>2.4779</v>
      </c>
    </row>
    <row r="723" spans="1:7" x14ac:dyDescent="0.25">
      <c r="A723" s="1">
        <v>43782</v>
      </c>
      <c r="B723">
        <f>2.642</f>
        <v>2.6419999999999999</v>
      </c>
      <c r="C723">
        <f>63.12</f>
        <v>63.12</v>
      </c>
      <c r="D723">
        <f>57.12</f>
        <v>57.12</v>
      </c>
      <c r="E723">
        <f>15.525</f>
        <v>15.525</v>
      </c>
      <c r="F723">
        <f>40.5</f>
        <v>40.5</v>
      </c>
      <c r="G723">
        <f>2.4683</f>
        <v>2.4683000000000002</v>
      </c>
    </row>
    <row r="724" spans="1:7" x14ac:dyDescent="0.25">
      <c r="A724" s="1">
        <v>43781</v>
      </c>
      <c r="B724">
        <f>2.725</f>
        <v>2.7250000000000001</v>
      </c>
      <c r="C724">
        <f>62.6</f>
        <v>62.6</v>
      </c>
      <c r="D724">
        <f>56.8</f>
        <v>56.8</v>
      </c>
      <c r="E724">
        <f>15.525</f>
        <v>15.525</v>
      </c>
      <c r="F724">
        <f>40.7</f>
        <v>40.700000000000003</v>
      </c>
      <c r="G724">
        <f>2.4283</f>
        <v>2.4283000000000001</v>
      </c>
    </row>
    <row r="725" spans="1:7" x14ac:dyDescent="0.25">
      <c r="A725" s="1">
        <v>43780</v>
      </c>
      <c r="B725">
        <f>2.717</f>
        <v>2.7170000000000001</v>
      </c>
      <c r="C725">
        <f>62.41</f>
        <v>62.41</v>
      </c>
      <c r="D725">
        <f>56.86</f>
        <v>56.86</v>
      </c>
      <c r="E725">
        <f>15.8</f>
        <v>15.8</v>
      </c>
      <c r="F725">
        <f>41.55</f>
        <v>41.55</v>
      </c>
      <c r="G725">
        <f>2.3501</f>
        <v>2.3500999999999999</v>
      </c>
    </row>
    <row r="726" spans="1:7" x14ac:dyDescent="0.25">
      <c r="A726" s="1">
        <v>43777</v>
      </c>
      <c r="B726">
        <f>2.853</f>
        <v>2.8530000000000002</v>
      </c>
      <c r="C726">
        <f>62.97</f>
        <v>62.97</v>
      </c>
      <c r="D726">
        <f>57.24</f>
        <v>57.24</v>
      </c>
      <c r="E726">
        <f>15.875</f>
        <v>15.875</v>
      </c>
      <c r="F726">
        <f>41.95</f>
        <v>41.95</v>
      </c>
      <c r="G726">
        <f>2.5491</f>
        <v>2.5491000000000001</v>
      </c>
    </row>
    <row r="727" spans="1:7" x14ac:dyDescent="0.25">
      <c r="A727" s="1">
        <v>43776</v>
      </c>
      <c r="B727">
        <f>2.848</f>
        <v>2.8479999999999999</v>
      </c>
      <c r="C727">
        <f>62.7</f>
        <v>62.7</v>
      </c>
      <c r="D727">
        <f>57.15</f>
        <v>57.15</v>
      </c>
      <c r="E727">
        <f>16.1</f>
        <v>16.100000000000001</v>
      </c>
      <c r="F727">
        <f>42.5</f>
        <v>42.5</v>
      </c>
      <c r="G727">
        <f>2.4258</f>
        <v>2.4258000000000002</v>
      </c>
    </row>
    <row r="728" spans="1:7" x14ac:dyDescent="0.25">
      <c r="A728" s="1">
        <v>43775</v>
      </c>
      <c r="B728">
        <f>2.831</f>
        <v>2.831</v>
      </c>
      <c r="C728">
        <f>62.01</f>
        <v>62.01</v>
      </c>
      <c r="D728">
        <f>56.35</f>
        <v>56.35</v>
      </c>
      <c r="E728">
        <f>16.295</f>
        <v>16.295000000000002</v>
      </c>
      <c r="F728">
        <f>43</f>
        <v>43</v>
      </c>
      <c r="G728">
        <f>2.4442</f>
        <v>2.4441999999999999</v>
      </c>
    </row>
    <row r="729" spans="1:7" x14ac:dyDescent="0.25">
      <c r="A729" s="1">
        <v>43774</v>
      </c>
      <c r="B729">
        <f>2.753</f>
        <v>2.7530000000000001</v>
      </c>
      <c r="C729">
        <f>63.13</f>
        <v>63.13</v>
      </c>
      <c r="D729">
        <f>57.23</f>
        <v>57.23</v>
      </c>
      <c r="E729">
        <f>16.675</f>
        <v>16.675000000000001</v>
      </c>
      <c r="F729">
        <f>43.9</f>
        <v>43.9</v>
      </c>
      <c r="G729">
        <f>2.5455</f>
        <v>2.5455000000000001</v>
      </c>
    </row>
    <row r="730" spans="1:7" x14ac:dyDescent="0.25">
      <c r="A730" s="1">
        <v>43773</v>
      </c>
      <c r="B730">
        <f>2.754</f>
        <v>2.754</v>
      </c>
      <c r="C730">
        <f>62.37</f>
        <v>62.37</v>
      </c>
      <c r="D730">
        <f>56.54</f>
        <v>56.54</v>
      </c>
      <c r="E730">
        <f>16.4</f>
        <v>16.399999999999999</v>
      </c>
      <c r="F730">
        <f>43.6</f>
        <v>43.6</v>
      </c>
      <c r="G730">
        <f>2.7204</f>
        <v>2.7204000000000002</v>
      </c>
    </row>
    <row r="731" spans="1:7" x14ac:dyDescent="0.25">
      <c r="A731" s="1">
        <v>43770</v>
      </c>
      <c r="B731">
        <f>2.5</f>
        <v>2.5</v>
      </c>
      <c r="C731">
        <f>61.69</f>
        <v>61.69</v>
      </c>
      <c r="D731">
        <f>56.2</f>
        <v>56.2</v>
      </c>
      <c r="E731">
        <f>16.3</f>
        <v>16.3</v>
      </c>
      <c r="F731">
        <f>43.05</f>
        <v>43.05</v>
      </c>
      <c r="G731">
        <f>2.6028</f>
        <v>2.6027999999999998</v>
      </c>
    </row>
    <row r="732" spans="1:7" x14ac:dyDescent="0.25">
      <c r="A732" s="1">
        <v>43769</v>
      </c>
      <c r="B732" t="e">
        <f>NA()</f>
        <v>#N/A</v>
      </c>
      <c r="C732">
        <f>59.55</f>
        <v>59.55</v>
      </c>
      <c r="D732">
        <f>54.18</f>
        <v>54.18</v>
      </c>
      <c r="E732">
        <f>13.375</f>
        <v>13.375</v>
      </c>
      <c r="F732">
        <f>35.5</f>
        <v>35.5</v>
      </c>
      <c r="G732">
        <f>2.5059</f>
        <v>2.5059</v>
      </c>
    </row>
    <row r="733" spans="1:7" x14ac:dyDescent="0.25">
      <c r="A733" s="1">
        <v>43768</v>
      </c>
      <c r="B733" t="e">
        <f>NA()</f>
        <v>#N/A</v>
      </c>
      <c r="C733">
        <f>60.1</f>
        <v>60.1</v>
      </c>
      <c r="D733">
        <f>55.06</f>
        <v>55.06</v>
      </c>
      <c r="E733">
        <f>13.8</f>
        <v>13.8</v>
      </c>
      <c r="F733">
        <f>36.1</f>
        <v>36.1</v>
      </c>
      <c r="G733">
        <f>2.6486</f>
        <v>2.6486000000000001</v>
      </c>
    </row>
    <row r="734" spans="1:7" x14ac:dyDescent="0.25">
      <c r="A734" s="1">
        <v>43767</v>
      </c>
      <c r="B734" t="e">
        <f>NA()</f>
        <v>#N/A</v>
      </c>
      <c r="C734">
        <f>60.92</f>
        <v>60.92</v>
      </c>
      <c r="D734">
        <f>55.54</f>
        <v>55.54</v>
      </c>
      <c r="E734">
        <f>13.9</f>
        <v>13.9</v>
      </c>
      <c r="F734">
        <f>36.1</f>
        <v>36.1</v>
      </c>
      <c r="G734">
        <f>2.4477</f>
        <v>2.4477000000000002</v>
      </c>
    </row>
    <row r="735" spans="1:7" x14ac:dyDescent="0.25">
      <c r="A735" s="1">
        <v>43766</v>
      </c>
      <c r="B735" t="e">
        <f>NA()</f>
        <v>#N/A</v>
      </c>
      <c r="C735">
        <f>60.99</f>
        <v>60.99</v>
      </c>
      <c r="D735">
        <f>55.81</f>
        <v>55.81</v>
      </c>
      <c r="E735">
        <f>14.5</f>
        <v>14.5</v>
      </c>
      <c r="F735">
        <f>37.2</f>
        <v>37.200000000000003</v>
      </c>
      <c r="G735">
        <f>2.398</f>
        <v>2.3980000000000001</v>
      </c>
    </row>
    <row r="736" spans="1:7" x14ac:dyDescent="0.25">
      <c r="A736" s="1">
        <v>43763</v>
      </c>
      <c r="B736" t="e">
        <f>NA()</f>
        <v>#N/A</v>
      </c>
      <c r="C736">
        <f>61.48</f>
        <v>61.48</v>
      </c>
      <c r="D736">
        <f>56.46</f>
        <v>56.46</v>
      </c>
      <c r="E736">
        <f>15.225</f>
        <v>15.225</v>
      </c>
      <c r="F736">
        <f>40</f>
        <v>40</v>
      </c>
      <c r="G736">
        <f>2.2087</f>
        <v>2.2086999999999999</v>
      </c>
    </row>
    <row r="737" spans="1:7" x14ac:dyDescent="0.25">
      <c r="A737" s="1">
        <v>43762</v>
      </c>
      <c r="B737">
        <f>2.316</f>
        <v>2.3159999999999998</v>
      </c>
      <c r="C737">
        <f>60.93</f>
        <v>60.93</v>
      </c>
      <c r="D737">
        <f>56.02</f>
        <v>56.02</v>
      </c>
      <c r="E737">
        <f>15.7</f>
        <v>15.7</v>
      </c>
      <c r="F737">
        <f>41.25</f>
        <v>41.25</v>
      </c>
      <c r="G737">
        <f>2.2572</f>
        <v>2.2572000000000001</v>
      </c>
    </row>
    <row r="738" spans="1:7" x14ac:dyDescent="0.25">
      <c r="A738" s="1">
        <v>43761</v>
      </c>
      <c r="B738">
        <f>2.327</f>
        <v>2.327</v>
      </c>
      <c r="C738">
        <f>60.51</f>
        <v>60.51</v>
      </c>
      <c r="D738">
        <f>55.77</f>
        <v>55.77</v>
      </c>
      <c r="E738">
        <f>15.375</f>
        <v>15.375</v>
      </c>
      <c r="F738">
        <f>40.5</f>
        <v>40.5</v>
      </c>
      <c r="G738">
        <f>2.211</f>
        <v>2.2109999999999999</v>
      </c>
    </row>
    <row r="739" spans="1:7" x14ac:dyDescent="0.25">
      <c r="A739" s="1">
        <v>43760</v>
      </c>
      <c r="B739">
        <f>2.113</f>
        <v>2.113</v>
      </c>
      <c r="C739">
        <f>59.05</f>
        <v>59.05</v>
      </c>
      <c r="D739">
        <f>54.16</f>
        <v>54.16</v>
      </c>
      <c r="E739">
        <f>15.625</f>
        <v>15.625</v>
      </c>
      <c r="F739">
        <f>41.25</f>
        <v>41.25</v>
      </c>
      <c r="G739">
        <f>2.1908</f>
        <v>2.1907999999999999</v>
      </c>
    </row>
    <row r="740" spans="1:7" x14ac:dyDescent="0.25">
      <c r="A740" s="1">
        <v>43759</v>
      </c>
      <c r="B740">
        <f>2.114</f>
        <v>2.1139999999999999</v>
      </c>
      <c r="C740">
        <f>58.53</f>
        <v>58.53</v>
      </c>
      <c r="D740">
        <f>53.31</f>
        <v>53.31</v>
      </c>
      <c r="E740">
        <f>15.65</f>
        <v>15.65</v>
      </c>
      <c r="F740">
        <f>40.19</f>
        <v>40.19</v>
      </c>
      <c r="G740">
        <f>2.0155</f>
        <v>2.0154999999999998</v>
      </c>
    </row>
    <row r="741" spans="1:7" x14ac:dyDescent="0.25">
      <c r="A741" s="1">
        <v>43756</v>
      </c>
      <c r="B741">
        <f>2.144</f>
        <v>2.1440000000000001</v>
      </c>
      <c r="C741">
        <f>58.96</f>
        <v>58.96</v>
      </c>
      <c r="D741">
        <f>53.78</f>
        <v>53.78</v>
      </c>
      <c r="E741">
        <f>15.83</f>
        <v>15.83</v>
      </c>
      <c r="F741">
        <f>41.89</f>
        <v>41.89</v>
      </c>
      <c r="G741">
        <f>2.1512</f>
        <v>2.1511999999999998</v>
      </c>
    </row>
    <row r="742" spans="1:7" x14ac:dyDescent="0.25">
      <c r="A742" s="1">
        <v>43755</v>
      </c>
      <c r="B742">
        <f>2.274</f>
        <v>2.274</v>
      </c>
      <c r="C742">
        <f>59.5</f>
        <v>59.5</v>
      </c>
      <c r="D742">
        <f>53.93</f>
        <v>53.93</v>
      </c>
      <c r="E742">
        <f>15.95</f>
        <v>15.95</v>
      </c>
      <c r="F742">
        <f>41.7</f>
        <v>41.7</v>
      </c>
      <c r="G742">
        <f>2.1063</f>
        <v>2.1063000000000001</v>
      </c>
    </row>
    <row r="743" spans="1:7" x14ac:dyDescent="0.25">
      <c r="A743" s="1">
        <v>43754</v>
      </c>
      <c r="B743">
        <f>2.316</f>
        <v>2.3159999999999998</v>
      </c>
      <c r="C743">
        <f>58.56</f>
        <v>58.56</v>
      </c>
      <c r="D743">
        <f>53.36</f>
        <v>53.36</v>
      </c>
      <c r="E743">
        <f>16.175</f>
        <v>16.175000000000001</v>
      </c>
      <c r="F743">
        <f>42</f>
        <v>42</v>
      </c>
      <c r="G743">
        <f>2.044</f>
        <v>2.044</v>
      </c>
    </row>
    <row r="744" spans="1:7" x14ac:dyDescent="0.25">
      <c r="A744" s="1">
        <v>43753</v>
      </c>
      <c r="B744">
        <f>2.245</f>
        <v>2.2450000000000001</v>
      </c>
      <c r="C744">
        <f>58.39</f>
        <v>58.39</v>
      </c>
      <c r="D744">
        <f>52.81</f>
        <v>52.81</v>
      </c>
      <c r="E744">
        <f>16</f>
        <v>16</v>
      </c>
      <c r="F744">
        <f>41.71</f>
        <v>41.71</v>
      </c>
      <c r="G744">
        <f>2.1761</f>
        <v>2.1760999999999999</v>
      </c>
    </row>
    <row r="745" spans="1:7" x14ac:dyDescent="0.25">
      <c r="A745" s="1">
        <v>43752</v>
      </c>
      <c r="B745">
        <f>2.216</f>
        <v>2.2160000000000002</v>
      </c>
      <c r="C745">
        <f>59.22</f>
        <v>59.22</v>
      </c>
      <c r="D745">
        <f>53.59</f>
        <v>53.59</v>
      </c>
      <c r="E745">
        <f>15.975</f>
        <v>15.975</v>
      </c>
      <c r="F745">
        <f>42.225</f>
        <v>42.225000000000001</v>
      </c>
      <c r="G745">
        <f>2.0974</f>
        <v>2.0973999999999999</v>
      </c>
    </row>
    <row r="746" spans="1:7" x14ac:dyDescent="0.25">
      <c r="A746" s="1">
        <v>43749</v>
      </c>
      <c r="B746">
        <f>2.107</f>
        <v>2.1070000000000002</v>
      </c>
      <c r="C746">
        <f>60.49</f>
        <v>60.49</v>
      </c>
      <c r="D746">
        <f>54.7</f>
        <v>54.7</v>
      </c>
      <c r="E746">
        <f>16.03</f>
        <v>16.03</v>
      </c>
      <c r="F746">
        <f>42.15</f>
        <v>42.15</v>
      </c>
      <c r="G746">
        <f>2.0003</f>
        <v>2.0003000000000002</v>
      </c>
    </row>
    <row r="747" spans="1:7" x14ac:dyDescent="0.25">
      <c r="A747" s="1">
        <v>43748</v>
      </c>
      <c r="B747">
        <f>2.246</f>
        <v>2.246</v>
      </c>
      <c r="C747">
        <f>59.39</f>
        <v>59.39</v>
      </c>
      <c r="D747">
        <f>53.55</f>
        <v>53.55</v>
      </c>
      <c r="E747">
        <f>15.75</f>
        <v>15.75</v>
      </c>
      <c r="F747">
        <f>42.25</f>
        <v>42.25</v>
      </c>
      <c r="G747" t="e">
        <f>NA()</f>
        <v>#N/A</v>
      </c>
    </row>
    <row r="748" spans="1:7" x14ac:dyDescent="0.25">
      <c r="A748" s="1">
        <v>43747</v>
      </c>
      <c r="B748">
        <f>2.25</f>
        <v>2.25</v>
      </c>
      <c r="C748">
        <f>58.27</f>
        <v>58.27</v>
      </c>
      <c r="D748">
        <f>52.59</f>
        <v>52.59</v>
      </c>
      <c r="E748">
        <f>15.85</f>
        <v>15.85</v>
      </c>
      <c r="F748">
        <f>42.5</f>
        <v>42.5</v>
      </c>
      <c r="G748">
        <f>2.0028</f>
        <v>2.0028000000000001</v>
      </c>
    </row>
    <row r="749" spans="1:7" x14ac:dyDescent="0.25">
      <c r="A749" s="1">
        <v>43746</v>
      </c>
      <c r="B749">
        <f>2.276</f>
        <v>2.2759999999999998</v>
      </c>
      <c r="C749">
        <f>58.08</f>
        <v>58.08</v>
      </c>
      <c r="D749">
        <f>52.63</f>
        <v>52.63</v>
      </c>
      <c r="E749">
        <f>15.725</f>
        <v>15.725</v>
      </c>
      <c r="F749">
        <f>42.1</f>
        <v>42.1</v>
      </c>
      <c r="G749">
        <f>2.0152</f>
        <v>2.0152000000000001</v>
      </c>
    </row>
    <row r="750" spans="1:7" x14ac:dyDescent="0.25">
      <c r="A750" s="1">
        <v>43745</v>
      </c>
      <c r="B750">
        <f>2.346</f>
        <v>2.3460000000000001</v>
      </c>
      <c r="C750">
        <f>58.61</f>
        <v>58.61</v>
      </c>
      <c r="D750">
        <f>52.75</f>
        <v>52.75</v>
      </c>
      <c r="E750">
        <f>15.525</f>
        <v>15.525</v>
      </c>
      <c r="F750">
        <f>41.05</f>
        <v>41.05</v>
      </c>
      <c r="G750">
        <f>2.0331</f>
        <v>2.0331000000000001</v>
      </c>
    </row>
    <row r="751" spans="1:7" x14ac:dyDescent="0.25">
      <c r="A751" s="1">
        <v>43742</v>
      </c>
      <c r="B751">
        <f>2.253</f>
        <v>2.2530000000000001</v>
      </c>
      <c r="C751">
        <f>58.8</f>
        <v>58.8</v>
      </c>
      <c r="D751">
        <f>52.81</f>
        <v>52.81</v>
      </c>
      <c r="E751">
        <f>15.8</f>
        <v>15.8</v>
      </c>
      <c r="F751">
        <f>41.95</f>
        <v>41.95</v>
      </c>
      <c r="G751">
        <f>2.0499</f>
        <v>2.0499000000000001</v>
      </c>
    </row>
    <row r="752" spans="1:7" x14ac:dyDescent="0.25">
      <c r="A752" s="1">
        <v>43741</v>
      </c>
      <c r="B752">
        <f>2.299</f>
        <v>2.2989999999999999</v>
      </c>
      <c r="C752">
        <f>57.93</f>
        <v>57.93</v>
      </c>
      <c r="D752">
        <f>52.45</f>
        <v>52.45</v>
      </c>
      <c r="E752">
        <f>16.175</f>
        <v>16.175000000000001</v>
      </c>
      <c r="F752">
        <f>42.9</f>
        <v>42.9</v>
      </c>
      <c r="G752">
        <f>2.0203</f>
        <v>2.0203000000000002</v>
      </c>
    </row>
    <row r="753" spans="1:7" x14ac:dyDescent="0.25">
      <c r="A753" s="1">
        <v>43740</v>
      </c>
      <c r="B753">
        <f>2.369</f>
        <v>2.3690000000000002</v>
      </c>
      <c r="C753">
        <f>57.77</f>
        <v>57.77</v>
      </c>
      <c r="D753">
        <f>52.64</f>
        <v>52.64</v>
      </c>
      <c r="E753">
        <f>15.9</f>
        <v>15.9</v>
      </c>
      <c r="F753">
        <f>42.35</f>
        <v>42.35</v>
      </c>
      <c r="G753">
        <f>1.8591</f>
        <v>1.8591</v>
      </c>
    </row>
    <row r="754" spans="1:7" x14ac:dyDescent="0.25">
      <c r="A754" s="1">
        <v>43739</v>
      </c>
      <c r="B754">
        <f>2.346</f>
        <v>2.3460000000000001</v>
      </c>
      <c r="C754">
        <f>59.48</f>
        <v>59.48</v>
      </c>
      <c r="D754">
        <f>53.62</f>
        <v>53.62</v>
      </c>
      <c r="E754">
        <f>16.4</f>
        <v>16.399999999999999</v>
      </c>
      <c r="F754">
        <f>43.7</f>
        <v>43.7</v>
      </c>
      <c r="G754">
        <f>1.8995</f>
        <v>1.8995</v>
      </c>
    </row>
    <row r="755" spans="1:7" x14ac:dyDescent="0.25">
      <c r="A755" s="1">
        <v>43738</v>
      </c>
      <c r="B755">
        <f>2.361</f>
        <v>2.3610000000000002</v>
      </c>
      <c r="C755">
        <f>59.85</f>
        <v>59.85</v>
      </c>
      <c r="D755">
        <f>54.07</f>
        <v>54.07</v>
      </c>
      <c r="E755">
        <f>11.15</f>
        <v>11.15</v>
      </c>
      <c r="F755">
        <f>28.6</f>
        <v>28.6</v>
      </c>
      <c r="G755">
        <f>1.907</f>
        <v>1.907</v>
      </c>
    </row>
    <row r="756" spans="1:7" x14ac:dyDescent="0.25">
      <c r="A756" s="1">
        <v>43735</v>
      </c>
      <c r="B756">
        <f>2.411</f>
        <v>2.411</v>
      </c>
      <c r="C756">
        <f>61.65</f>
        <v>61.65</v>
      </c>
      <c r="D756">
        <f>55.91</f>
        <v>55.91</v>
      </c>
      <c r="E756">
        <f>11.925</f>
        <v>11.925000000000001</v>
      </c>
      <c r="F756">
        <f>30.75</f>
        <v>30.75</v>
      </c>
      <c r="G756">
        <f>1.9519</f>
        <v>1.9519</v>
      </c>
    </row>
    <row r="757" spans="1:7" x14ac:dyDescent="0.25">
      <c r="A757" s="1">
        <v>43734</v>
      </c>
      <c r="B757">
        <f>2.557</f>
        <v>2.5569999999999999</v>
      </c>
      <c r="C757">
        <f>62.11</f>
        <v>62.11</v>
      </c>
      <c r="D757">
        <f>56.41</f>
        <v>56.41</v>
      </c>
      <c r="E757">
        <f>12.15</f>
        <v>12.15</v>
      </c>
      <c r="F757">
        <f>30.65</f>
        <v>30.65</v>
      </c>
      <c r="G757">
        <f>1.4835</f>
        <v>1.4835</v>
      </c>
    </row>
    <row r="758" spans="1:7" x14ac:dyDescent="0.25">
      <c r="A758" s="1">
        <v>43733</v>
      </c>
      <c r="B758">
        <f>2.55</f>
        <v>2.5499999999999998</v>
      </c>
      <c r="C758">
        <f>62.07</f>
        <v>62.07</v>
      </c>
      <c r="D758">
        <f>56.32</f>
        <v>56.32</v>
      </c>
      <c r="E758">
        <f>11.95</f>
        <v>11.95</v>
      </c>
      <c r="F758">
        <f>30.95</f>
        <v>30.95</v>
      </c>
      <c r="G758">
        <f>1.5789</f>
        <v>1.5789</v>
      </c>
    </row>
    <row r="759" spans="1:7" x14ac:dyDescent="0.25">
      <c r="A759" s="1">
        <v>43732</v>
      </c>
      <c r="B759">
        <f>2.593</f>
        <v>2.593</v>
      </c>
      <c r="C759">
        <f>61.99</f>
        <v>61.99</v>
      </c>
      <c r="D759">
        <f>57.17</f>
        <v>57.17</v>
      </c>
      <c r="E759">
        <f>12.325</f>
        <v>12.324999999999999</v>
      </c>
      <c r="F759">
        <f>32.15</f>
        <v>32.15</v>
      </c>
      <c r="G759">
        <f>1.5789</f>
        <v>1.5789</v>
      </c>
    </row>
    <row r="760" spans="1:7" x14ac:dyDescent="0.25">
      <c r="A760" s="1">
        <v>43731</v>
      </c>
      <c r="B760">
        <f>2.561</f>
        <v>2.5609999999999999</v>
      </c>
      <c r="C760">
        <f>63.95</f>
        <v>63.95</v>
      </c>
      <c r="D760">
        <f>58.49</f>
        <v>58.49</v>
      </c>
      <c r="E760">
        <f>12.3</f>
        <v>12.3</v>
      </c>
      <c r="F760">
        <f>32.25</f>
        <v>32.25</v>
      </c>
      <c r="G760">
        <f>1.6071</f>
        <v>1.6071</v>
      </c>
    </row>
    <row r="761" spans="1:7" x14ac:dyDescent="0.25">
      <c r="A761" s="1">
        <v>43728</v>
      </c>
      <c r="B761">
        <f>2.649</f>
        <v>2.649</v>
      </c>
      <c r="C761">
        <f>64.62</f>
        <v>64.62</v>
      </c>
      <c r="D761">
        <f>58.09</f>
        <v>58.09</v>
      </c>
      <c r="E761">
        <f>12.55</f>
        <v>12.55</v>
      </c>
      <c r="F761">
        <f>33.325</f>
        <v>33.325000000000003</v>
      </c>
      <c r="G761">
        <f>1.6057</f>
        <v>1.6056999999999999</v>
      </c>
    </row>
    <row r="762" spans="1:7" x14ac:dyDescent="0.25">
      <c r="A762" s="1">
        <v>43727</v>
      </c>
      <c r="B762">
        <f>2.639</f>
        <v>2.6389999999999998</v>
      </c>
      <c r="C762">
        <f>64.76</f>
        <v>64.760000000000005</v>
      </c>
      <c r="D762">
        <f>58.13</f>
        <v>58.13</v>
      </c>
      <c r="E762">
        <f>12.5</f>
        <v>12.5</v>
      </c>
      <c r="F762">
        <f>32.45</f>
        <v>32.450000000000003</v>
      </c>
      <c r="G762">
        <f>1.4517</f>
        <v>1.4517</v>
      </c>
    </row>
    <row r="763" spans="1:7" x14ac:dyDescent="0.25">
      <c r="A763" s="1">
        <v>43726</v>
      </c>
      <c r="B763">
        <f>2.708</f>
        <v>2.7080000000000002</v>
      </c>
      <c r="C763">
        <f>64.05</f>
        <v>64.05</v>
      </c>
      <c r="D763">
        <f>58.11</f>
        <v>58.11</v>
      </c>
      <c r="E763">
        <f>12.5</f>
        <v>12.5</v>
      </c>
      <c r="F763">
        <f>32.505</f>
        <v>32.505000000000003</v>
      </c>
      <c r="G763">
        <f>1.5619</f>
        <v>1.5619000000000001</v>
      </c>
    </row>
    <row r="764" spans="1:7" x14ac:dyDescent="0.25">
      <c r="A764" s="1">
        <v>43725</v>
      </c>
      <c r="B764">
        <f>2.7</f>
        <v>2.7</v>
      </c>
      <c r="C764">
        <f>64.46</f>
        <v>64.459999999999994</v>
      </c>
      <c r="D764">
        <f>59.34</f>
        <v>59.34</v>
      </c>
      <c r="E764">
        <f>13.6</f>
        <v>13.6</v>
      </c>
      <c r="F764">
        <f>35.145</f>
        <v>35.145000000000003</v>
      </c>
      <c r="G764">
        <f>1.5966</f>
        <v>1.5966</v>
      </c>
    </row>
    <row r="765" spans="1:7" x14ac:dyDescent="0.25">
      <c r="A765" s="1">
        <v>43724</v>
      </c>
      <c r="B765">
        <f>2.753</f>
        <v>2.7530000000000001</v>
      </c>
      <c r="C765">
        <f>68.38</f>
        <v>68.38</v>
      </c>
      <c r="D765">
        <f>62.9</f>
        <v>62.9</v>
      </c>
      <c r="E765">
        <f>15.225</f>
        <v>15.225</v>
      </c>
      <c r="F765">
        <f>39.725</f>
        <v>39.725000000000001</v>
      </c>
      <c r="G765">
        <f>1.6248</f>
        <v>1.6248</v>
      </c>
    </row>
    <row r="766" spans="1:7" x14ac:dyDescent="0.25">
      <c r="A766" s="1">
        <v>43721</v>
      </c>
      <c r="B766">
        <f>2.608</f>
        <v>2.6080000000000001</v>
      </c>
      <c r="C766">
        <f>60.63</f>
        <v>60.63</v>
      </c>
      <c r="D766">
        <f>54.85</f>
        <v>54.85</v>
      </c>
      <c r="E766">
        <f>14.5</f>
        <v>14.5</v>
      </c>
      <c r="F766">
        <f>38.185</f>
        <v>38.185000000000002</v>
      </c>
      <c r="G766">
        <f>1.6272</f>
        <v>1.6272</v>
      </c>
    </row>
    <row r="767" spans="1:7" x14ac:dyDescent="0.25">
      <c r="A767" s="1">
        <v>43720</v>
      </c>
      <c r="B767">
        <f>2.609</f>
        <v>2.609</v>
      </c>
      <c r="C767">
        <f>60.74</f>
        <v>60.74</v>
      </c>
      <c r="D767">
        <f>55.09</f>
        <v>55.09</v>
      </c>
      <c r="E767">
        <f>14.7</f>
        <v>14.7</v>
      </c>
      <c r="F767">
        <f>37.555</f>
        <v>37.555</v>
      </c>
      <c r="G767">
        <f>1.6149</f>
        <v>1.6149</v>
      </c>
    </row>
    <row r="768" spans="1:7" x14ac:dyDescent="0.25">
      <c r="A768" s="1">
        <v>43719</v>
      </c>
      <c r="B768">
        <f>2.619</f>
        <v>2.6190000000000002</v>
      </c>
      <c r="C768">
        <f>61.56</f>
        <v>61.56</v>
      </c>
      <c r="D768">
        <f>55.75</f>
        <v>55.75</v>
      </c>
      <c r="E768">
        <f>13.975</f>
        <v>13.975</v>
      </c>
      <c r="F768">
        <f>36.25</f>
        <v>36.25</v>
      </c>
      <c r="G768">
        <f>1.5972</f>
        <v>1.5972</v>
      </c>
    </row>
    <row r="769" spans="1:7" x14ac:dyDescent="0.25">
      <c r="A769" s="1">
        <v>43718</v>
      </c>
      <c r="B769">
        <f>2.654</f>
        <v>2.6539999999999999</v>
      </c>
      <c r="C769">
        <f>63.38</f>
        <v>63.38</v>
      </c>
      <c r="D769">
        <f>57.4</f>
        <v>57.4</v>
      </c>
      <c r="E769">
        <f>14.45</f>
        <v>14.45</v>
      </c>
      <c r="F769">
        <f>37</f>
        <v>37</v>
      </c>
      <c r="G769">
        <f>1.6328</f>
        <v>1.6328</v>
      </c>
    </row>
    <row r="770" spans="1:7" x14ac:dyDescent="0.25">
      <c r="A770" s="1">
        <v>43717</v>
      </c>
      <c r="B770">
        <f>2.633</f>
        <v>2.633</v>
      </c>
      <c r="C770">
        <f>63.34</f>
        <v>63.34</v>
      </c>
      <c r="D770">
        <f>57.85</f>
        <v>57.85</v>
      </c>
      <c r="E770">
        <f>12.325</f>
        <v>12.324999999999999</v>
      </c>
      <c r="F770">
        <f>31.465</f>
        <v>31.465</v>
      </c>
      <c r="G770">
        <f>1.7002</f>
        <v>1.7001999999999999</v>
      </c>
    </row>
    <row r="771" spans="1:7" x14ac:dyDescent="0.25">
      <c r="A771" s="1">
        <v>43714</v>
      </c>
      <c r="B771">
        <f>2.49</f>
        <v>2.4900000000000002</v>
      </c>
      <c r="C771">
        <f>62.15</f>
        <v>62.15</v>
      </c>
      <c r="D771">
        <f>56.52</f>
        <v>56.52</v>
      </c>
      <c r="E771">
        <f>12.38</f>
        <v>12.38</v>
      </c>
      <c r="F771">
        <f>31.995</f>
        <v>31.995000000000001</v>
      </c>
      <c r="G771">
        <f>1.7399</f>
        <v>1.7399</v>
      </c>
    </row>
    <row r="772" spans="1:7" x14ac:dyDescent="0.25">
      <c r="A772" s="1">
        <v>43713</v>
      </c>
      <c r="B772">
        <f>2.479</f>
        <v>2.4790000000000001</v>
      </c>
      <c r="C772">
        <f>61.24</f>
        <v>61.24</v>
      </c>
      <c r="D772">
        <f>56.3</f>
        <v>56.3</v>
      </c>
      <c r="E772">
        <f>12.275</f>
        <v>12.275</v>
      </c>
      <c r="F772">
        <f>31.605</f>
        <v>31.605</v>
      </c>
      <c r="G772">
        <f>1.6755</f>
        <v>1.6755</v>
      </c>
    </row>
    <row r="773" spans="1:7" x14ac:dyDescent="0.25">
      <c r="A773" s="1">
        <v>43712</v>
      </c>
      <c r="B773">
        <f>2.466</f>
        <v>2.4660000000000002</v>
      </c>
      <c r="C773">
        <f>60.69</f>
        <v>60.69</v>
      </c>
      <c r="D773">
        <f>56.26</f>
        <v>56.26</v>
      </c>
      <c r="E773">
        <f>11.925</f>
        <v>11.925000000000001</v>
      </c>
      <c r="F773">
        <f>30.9</f>
        <v>30.9</v>
      </c>
      <c r="G773">
        <f>1.695</f>
        <v>1.6950000000000001</v>
      </c>
    </row>
    <row r="774" spans="1:7" x14ac:dyDescent="0.25">
      <c r="A774" s="1">
        <v>43711</v>
      </c>
      <c r="B774">
        <f>2.396</f>
        <v>2.3959999999999999</v>
      </c>
      <c r="C774">
        <f>58.42</f>
        <v>58.42</v>
      </c>
      <c r="D774">
        <f>53.94</f>
        <v>53.94</v>
      </c>
      <c r="E774">
        <f>12.1</f>
        <v>12.1</v>
      </c>
      <c r="F774">
        <f>31.575</f>
        <v>31.574999999999999</v>
      </c>
      <c r="G774">
        <f>1.6868</f>
        <v>1.6868000000000001</v>
      </c>
    </row>
    <row r="775" spans="1:7" x14ac:dyDescent="0.25">
      <c r="A775" s="1">
        <v>43710</v>
      </c>
      <c r="B775" t="e">
        <f>NA()</f>
        <v>#N/A</v>
      </c>
      <c r="C775">
        <f>58.89</f>
        <v>58.89</v>
      </c>
      <c r="D775" t="e">
        <f>NA()</f>
        <v>#N/A</v>
      </c>
      <c r="E775">
        <f>11.9</f>
        <v>11.9</v>
      </c>
      <c r="F775">
        <f>30.88</f>
        <v>30.88</v>
      </c>
      <c r="G775" t="e">
        <f>NA()</f>
        <v>#N/A</v>
      </c>
    </row>
    <row r="776" spans="1:7" x14ac:dyDescent="0.25">
      <c r="A776" s="1">
        <v>43707</v>
      </c>
      <c r="B776">
        <f>2.327</f>
        <v>2.327</v>
      </c>
      <c r="C776">
        <f>59.2</f>
        <v>59.2</v>
      </c>
      <c r="D776">
        <f>55.1</f>
        <v>55.1</v>
      </c>
      <c r="E776">
        <f>9.725</f>
        <v>9.7249999999999996</v>
      </c>
      <c r="F776">
        <f>27.65</f>
        <v>27.65</v>
      </c>
      <c r="G776">
        <f>1.6057</f>
        <v>1.6056999999999999</v>
      </c>
    </row>
    <row r="777" spans="1:7" x14ac:dyDescent="0.25">
      <c r="A777" s="1">
        <v>43706</v>
      </c>
      <c r="B777">
        <f>2.345</f>
        <v>2.3450000000000002</v>
      </c>
      <c r="C777">
        <f>60.53</f>
        <v>60.53</v>
      </c>
      <c r="D777">
        <f>56.71</f>
        <v>56.71</v>
      </c>
      <c r="E777">
        <f>10.6</f>
        <v>10.6</v>
      </c>
      <c r="F777">
        <f>30.1</f>
        <v>30.1</v>
      </c>
      <c r="G777">
        <f>1.6689</f>
        <v>1.6689000000000001</v>
      </c>
    </row>
    <row r="778" spans="1:7" x14ac:dyDescent="0.25">
      <c r="A778" s="1">
        <v>43705</v>
      </c>
      <c r="B778">
        <f>2.284</f>
        <v>2.2839999999999998</v>
      </c>
      <c r="C778">
        <f>60</f>
        <v>60</v>
      </c>
      <c r="D778">
        <f>55.78</f>
        <v>55.78</v>
      </c>
      <c r="E778">
        <f>10.4</f>
        <v>10.4</v>
      </c>
      <c r="F778">
        <f>29.1</f>
        <v>29.1</v>
      </c>
      <c r="G778">
        <f>1.2692</f>
        <v>1.2692000000000001</v>
      </c>
    </row>
    <row r="779" spans="1:7" x14ac:dyDescent="0.25">
      <c r="A779" s="1">
        <v>43704</v>
      </c>
      <c r="B779">
        <f>2.226</f>
        <v>2.226</v>
      </c>
      <c r="C779">
        <f>59.75</f>
        <v>59.75</v>
      </c>
      <c r="D779">
        <f>54.93</f>
        <v>54.93</v>
      </c>
      <c r="E779">
        <f>10.25</f>
        <v>10.25</v>
      </c>
      <c r="F779">
        <f>28.28</f>
        <v>28.28</v>
      </c>
      <c r="G779">
        <f>1.171</f>
        <v>1.171</v>
      </c>
    </row>
    <row r="780" spans="1:7" x14ac:dyDescent="0.25">
      <c r="A780" s="1">
        <v>43703</v>
      </c>
      <c r="B780">
        <f>2.239</f>
        <v>2.2389999999999999</v>
      </c>
      <c r="C780">
        <f>58.29</f>
        <v>58.29</v>
      </c>
      <c r="D780">
        <f>53.64</f>
        <v>53.64</v>
      </c>
      <c r="E780">
        <f>10.375</f>
        <v>10.375</v>
      </c>
      <c r="F780" t="e">
        <f>NA()</f>
        <v>#N/A</v>
      </c>
      <c r="G780">
        <f>1.2714</f>
        <v>1.2714000000000001</v>
      </c>
    </row>
    <row r="781" spans="1:7" x14ac:dyDescent="0.25">
      <c r="A781" s="1">
        <v>43700</v>
      </c>
      <c r="B781">
        <f>2.165</f>
        <v>2.165</v>
      </c>
      <c r="C781">
        <f>58.31</f>
        <v>58.31</v>
      </c>
      <c r="D781">
        <f>54.11</f>
        <v>54.11</v>
      </c>
      <c r="E781">
        <f>10.48</f>
        <v>10.48</v>
      </c>
      <c r="F781">
        <f>29.85</f>
        <v>29.85</v>
      </c>
      <c r="G781">
        <f>1.1489</f>
        <v>1.1489</v>
      </c>
    </row>
    <row r="782" spans="1:7" x14ac:dyDescent="0.25">
      <c r="A782" s="1">
        <v>43699</v>
      </c>
      <c r="B782">
        <f>2.266</f>
        <v>2.266</v>
      </c>
      <c r="C782">
        <f>59.62</f>
        <v>59.62</v>
      </c>
      <c r="D782">
        <f>55.25</f>
        <v>55.25</v>
      </c>
      <c r="E782">
        <f>11</f>
        <v>11</v>
      </c>
      <c r="F782">
        <f>30.64</f>
        <v>30.64</v>
      </c>
      <c r="G782">
        <f>1.2291</f>
        <v>1.2291000000000001</v>
      </c>
    </row>
    <row r="783" spans="1:7" x14ac:dyDescent="0.25">
      <c r="A783" s="1">
        <v>43698</v>
      </c>
      <c r="B783">
        <f>2.295</f>
        <v>2.2949999999999999</v>
      </c>
      <c r="C783">
        <f>60.3</f>
        <v>60.3</v>
      </c>
      <c r="D783">
        <f>55.73</f>
        <v>55.73</v>
      </c>
      <c r="E783">
        <f>11.33</f>
        <v>11.33</v>
      </c>
      <c r="F783">
        <f>31.88</f>
        <v>31.88</v>
      </c>
      <c r="G783">
        <f>1.2775</f>
        <v>1.2775000000000001</v>
      </c>
    </row>
    <row r="784" spans="1:7" x14ac:dyDescent="0.25">
      <c r="A784" s="1">
        <v>43697</v>
      </c>
      <c r="B784">
        <f>2.337</f>
        <v>2.3370000000000002</v>
      </c>
      <c r="C784">
        <f>59.89</f>
        <v>59.89</v>
      </c>
      <c r="D784">
        <f>56.34</f>
        <v>56.34</v>
      </c>
      <c r="E784">
        <f>11.275</f>
        <v>11.275</v>
      </c>
      <c r="F784">
        <f>31.51</f>
        <v>31.51</v>
      </c>
      <c r="G784">
        <f>1.388</f>
        <v>1.3879999999999999</v>
      </c>
    </row>
    <row r="785" spans="1:7" x14ac:dyDescent="0.25">
      <c r="A785" s="1">
        <v>43696</v>
      </c>
      <c r="B785">
        <f>2.247</f>
        <v>2.2469999999999999</v>
      </c>
      <c r="C785">
        <f>59.49</f>
        <v>59.49</v>
      </c>
      <c r="D785">
        <f>56.21</f>
        <v>56.21</v>
      </c>
      <c r="E785">
        <f>10.775</f>
        <v>10.775</v>
      </c>
      <c r="F785">
        <f>30.1</f>
        <v>30.1</v>
      </c>
      <c r="G785">
        <f>1.3683</f>
        <v>1.3683000000000001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7"/>
  <sheetViews>
    <sheetView workbookViewId="0">
      <selection activeCell="G1" sqref="G1:M1048576"/>
    </sheetView>
  </sheetViews>
  <sheetFormatPr defaultRowHeight="15" x14ac:dyDescent="0.25"/>
  <cols>
    <col min="1" max="1" width="16" bestFit="1" customWidth="1"/>
    <col min="2" max="8" width="9.140625" bestFit="1" customWidth="1"/>
    <col min="9" max="9" width="16.5703125" customWidth="1"/>
    <col min="10" max="11" width="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6" x14ac:dyDescent="0.25">
      <c r="A3" s="2">
        <v>44790</v>
      </c>
      <c r="B3">
        <f>2.4763</f>
        <v>2.4763000000000002</v>
      </c>
      <c r="C3">
        <f>2.7021</f>
        <v>2.7021000000000002</v>
      </c>
      <c r="D3">
        <f>2.3955</f>
        <v>2.3955000000000002</v>
      </c>
      <c r="E3">
        <f>2.7404</f>
        <v>2.7404000000000002</v>
      </c>
      <c r="F3" t="e">
        <f>NA()</f>
        <v>#N/A</v>
      </c>
    </row>
    <row r="4" spans="1:6" x14ac:dyDescent="0.25">
      <c r="A4" s="2">
        <v>44789</v>
      </c>
      <c r="B4">
        <f>2.4486</f>
        <v>2.4485999999999999</v>
      </c>
      <c r="C4">
        <f>2.6587</f>
        <v>2.6587000000000001</v>
      </c>
      <c r="D4">
        <f>2.3363</f>
        <v>2.3363</v>
      </c>
      <c r="E4">
        <f>2.7099</f>
        <v>2.7099000000000002</v>
      </c>
      <c r="F4">
        <f>3.3222</f>
        <v>3.3222</v>
      </c>
    </row>
    <row r="5" spans="1:6" x14ac:dyDescent="0.25">
      <c r="A5" s="2">
        <v>44788</v>
      </c>
      <c r="B5">
        <f>2.4461</f>
        <v>2.4460999999999999</v>
      </c>
      <c r="C5">
        <f>2.6581</f>
        <v>2.6581000000000001</v>
      </c>
      <c r="D5">
        <f>2.2814</f>
        <v>2.2814000000000001</v>
      </c>
      <c r="E5">
        <f>2.7648</f>
        <v>2.7648000000000001</v>
      </c>
      <c r="F5">
        <f>3.3082</f>
        <v>3.3081999999999998</v>
      </c>
    </row>
    <row r="6" spans="1:6" x14ac:dyDescent="0.25">
      <c r="A6" s="2">
        <v>44785</v>
      </c>
      <c r="B6">
        <f>2.4754</f>
        <v>2.4754</v>
      </c>
      <c r="C6">
        <f>2.7063</f>
        <v>2.7063000000000001</v>
      </c>
      <c r="D6">
        <f>2.3191</f>
        <v>2.3191000000000002</v>
      </c>
      <c r="E6">
        <f>2.8419</f>
        <v>2.8418999999999999</v>
      </c>
      <c r="F6">
        <f>3.2895</f>
        <v>3.2894999999999999</v>
      </c>
    </row>
    <row r="7" spans="1:6" x14ac:dyDescent="0.25">
      <c r="A7" s="2">
        <v>44784</v>
      </c>
      <c r="B7">
        <f>2.4831</f>
        <v>2.4830999999999999</v>
      </c>
      <c r="C7">
        <f>2.7106</f>
        <v>2.7105999999999999</v>
      </c>
      <c r="D7">
        <f>2.3292</f>
        <v>2.3292000000000002</v>
      </c>
      <c r="E7">
        <f>2.8304</f>
        <v>2.8304</v>
      </c>
      <c r="F7">
        <f>3.34</f>
        <v>3.34</v>
      </c>
    </row>
    <row r="8" spans="1:6" x14ac:dyDescent="0.25">
      <c r="A8" s="2">
        <v>44783</v>
      </c>
      <c r="B8">
        <f>2.4404</f>
        <v>2.4403999999999999</v>
      </c>
      <c r="C8">
        <f>2.6554</f>
        <v>2.6554000000000002</v>
      </c>
      <c r="D8">
        <f>2.2719</f>
        <v>2.2719</v>
      </c>
      <c r="E8">
        <f>2.8158</f>
        <v>2.8157999999999999</v>
      </c>
      <c r="F8">
        <f>3.2836</f>
        <v>3.2835999999999999</v>
      </c>
    </row>
    <row r="9" spans="1:6" x14ac:dyDescent="0.25">
      <c r="A9" s="2">
        <v>44782</v>
      </c>
      <c r="B9">
        <f>2.4638</f>
        <v>2.4638</v>
      </c>
      <c r="C9">
        <f>2.6976</f>
        <v>2.6976</v>
      </c>
      <c r="D9">
        <f>2.297</f>
        <v>2.2970000000000002</v>
      </c>
      <c r="E9">
        <f>2.8927</f>
        <v>2.8927</v>
      </c>
      <c r="F9">
        <f>3.3055</f>
        <v>3.3054999999999999</v>
      </c>
    </row>
    <row r="10" spans="1:6" x14ac:dyDescent="0.25">
      <c r="A10" s="2">
        <v>44781</v>
      </c>
      <c r="B10">
        <f>2.4724</f>
        <v>2.4723999999999999</v>
      </c>
      <c r="C10">
        <f>2.7001</f>
        <v>2.7000999999999999</v>
      </c>
      <c r="D10">
        <f>2.2872</f>
        <v>2.2871999999999999</v>
      </c>
      <c r="E10">
        <f>2.8687</f>
        <v>2.8687</v>
      </c>
      <c r="F10">
        <f>3.3347</f>
        <v>3.3347000000000002</v>
      </c>
    </row>
    <row r="11" spans="1:6" x14ac:dyDescent="0.25">
      <c r="A11" s="2">
        <v>44778</v>
      </c>
      <c r="B11">
        <f>2.4749</f>
        <v>2.4748999999999999</v>
      </c>
      <c r="C11">
        <f>2.6879</f>
        <v>2.6879</v>
      </c>
      <c r="D11">
        <f>2.2649</f>
        <v>2.2648999999999999</v>
      </c>
      <c r="E11">
        <f>2.9207</f>
        <v>2.9207000000000001</v>
      </c>
      <c r="F11">
        <f>3.3424</f>
        <v>3.3424</v>
      </c>
    </row>
    <row r="12" spans="1:6" x14ac:dyDescent="0.25">
      <c r="A12" s="2">
        <v>44777</v>
      </c>
      <c r="B12">
        <f>2.457</f>
        <v>2.4569999999999999</v>
      </c>
      <c r="C12">
        <f>2.6922</f>
        <v>2.6922000000000001</v>
      </c>
      <c r="D12">
        <f>2.2177</f>
        <v>2.2176999999999998</v>
      </c>
      <c r="E12">
        <f>2.9413</f>
        <v>2.9413</v>
      </c>
      <c r="F12">
        <f>3.2966</f>
        <v>3.2966000000000002</v>
      </c>
    </row>
    <row r="13" spans="1:6" x14ac:dyDescent="0.25">
      <c r="A13" s="2">
        <v>44776</v>
      </c>
      <c r="B13">
        <f>2.4838</f>
        <v>2.4838</v>
      </c>
      <c r="C13">
        <f>2.7409</f>
        <v>2.7408999999999999</v>
      </c>
      <c r="D13">
        <f>2.23</f>
        <v>2.23</v>
      </c>
      <c r="E13">
        <f>3.0418</f>
        <v>3.0417999999999998</v>
      </c>
      <c r="F13">
        <f>3.2243</f>
        <v>3.2242999999999999</v>
      </c>
    </row>
    <row r="14" spans="1:6" x14ac:dyDescent="0.25">
      <c r="A14" s="2">
        <v>44775</v>
      </c>
      <c r="B14">
        <f>2.4759</f>
        <v>2.4759000000000002</v>
      </c>
      <c r="C14">
        <f>2.7306</f>
        <v>2.7305999999999999</v>
      </c>
      <c r="D14">
        <f>2.1711</f>
        <v>2.1711</v>
      </c>
      <c r="E14">
        <f>3.0716</f>
        <v>3.0716000000000001</v>
      </c>
      <c r="F14">
        <f>3.2499</f>
        <v>3.2498999999999998</v>
      </c>
    </row>
    <row r="15" spans="1:6" x14ac:dyDescent="0.25">
      <c r="A15" s="2">
        <v>44774</v>
      </c>
      <c r="B15">
        <f>2.5022</f>
        <v>2.5022000000000002</v>
      </c>
      <c r="C15">
        <f>2.7533</f>
        <v>2.7532999999999999</v>
      </c>
      <c r="D15">
        <f>2.1612</f>
        <v>2.1612</v>
      </c>
      <c r="E15">
        <f>3.1358</f>
        <v>3.1358000000000001</v>
      </c>
      <c r="F15">
        <f>3.1995</f>
        <v>3.1995</v>
      </c>
    </row>
    <row r="16" spans="1:6" x14ac:dyDescent="0.25">
      <c r="A16" s="2">
        <v>44771</v>
      </c>
      <c r="B16">
        <f>2.5526</f>
        <v>2.5526</v>
      </c>
      <c r="C16">
        <f>2.8068</f>
        <v>2.8068</v>
      </c>
      <c r="D16">
        <f>2.1473</f>
        <v>2.1473</v>
      </c>
      <c r="E16">
        <f>3.2454</f>
        <v>3.2454000000000001</v>
      </c>
      <c r="F16">
        <f>3.1661</f>
        <v>3.1661000000000001</v>
      </c>
    </row>
    <row r="17" spans="1:6" x14ac:dyDescent="0.25">
      <c r="A17" s="2">
        <v>44770</v>
      </c>
      <c r="B17">
        <f>2.4933</f>
        <v>2.4933000000000001</v>
      </c>
      <c r="C17">
        <f>2.7268</f>
        <v>2.7267999999999999</v>
      </c>
      <c r="D17">
        <f>2.1127</f>
        <v>2.1126999999999998</v>
      </c>
      <c r="E17">
        <f>3.1877</f>
        <v>3.1877</v>
      </c>
      <c r="F17">
        <f>2.9887</f>
        <v>2.9887000000000001</v>
      </c>
    </row>
    <row r="18" spans="1:6" x14ac:dyDescent="0.25">
      <c r="A18" s="2">
        <v>44769</v>
      </c>
      <c r="B18">
        <f>2.4724</f>
        <v>2.4723999999999999</v>
      </c>
      <c r="C18">
        <f>2.6922</f>
        <v>2.6922000000000001</v>
      </c>
      <c r="D18">
        <f>2.1345</f>
        <v>2.1345000000000001</v>
      </c>
      <c r="E18">
        <f>3.1761</f>
        <v>3.1760999999999999</v>
      </c>
      <c r="F18">
        <f>2.923</f>
        <v>2.923</v>
      </c>
    </row>
    <row r="19" spans="1:6" x14ac:dyDescent="0.25">
      <c r="A19" s="2">
        <v>44768</v>
      </c>
      <c r="B19">
        <f>2.3607</f>
        <v>2.3607</v>
      </c>
      <c r="C19">
        <f>2.5908</f>
        <v>2.5908000000000002</v>
      </c>
      <c r="D19">
        <f>2.102</f>
        <v>2.1019999999999999</v>
      </c>
      <c r="E19">
        <f>3.0899</f>
        <v>3.0899000000000001</v>
      </c>
      <c r="F19">
        <f>2.8891</f>
        <v>2.8891</v>
      </c>
    </row>
    <row r="20" spans="1:6" x14ac:dyDescent="0.25">
      <c r="A20" s="2">
        <v>44767</v>
      </c>
      <c r="B20">
        <f>2.3613</f>
        <v>2.3613</v>
      </c>
      <c r="C20">
        <f>2.5989</f>
        <v>2.5989</v>
      </c>
      <c r="D20">
        <f>2.0714</f>
        <v>2.0714000000000001</v>
      </c>
      <c r="E20">
        <f>3.1073</f>
        <v>3.1073</v>
      </c>
      <c r="F20">
        <f>2.8153</f>
        <v>2.8153000000000001</v>
      </c>
    </row>
    <row r="21" spans="1:6" x14ac:dyDescent="0.25">
      <c r="A21" s="2">
        <v>44764</v>
      </c>
      <c r="B21">
        <f>2.3447</f>
        <v>2.3447</v>
      </c>
      <c r="C21">
        <f>2.5795</f>
        <v>2.5794999999999999</v>
      </c>
      <c r="D21">
        <f>2.0445</f>
        <v>2.0445000000000002</v>
      </c>
      <c r="E21">
        <f>3.084</f>
        <v>3.0840000000000001</v>
      </c>
      <c r="F21">
        <f>2.8448</f>
        <v>2.8448000000000002</v>
      </c>
    </row>
    <row r="22" spans="1:6" x14ac:dyDescent="0.25">
      <c r="A22" s="2">
        <v>44763</v>
      </c>
      <c r="B22">
        <f>2.3113</f>
        <v>2.3113000000000001</v>
      </c>
      <c r="C22">
        <f>2.5824</f>
        <v>2.5823999999999998</v>
      </c>
      <c r="D22">
        <f>2.0738</f>
        <v>2.0737999999999999</v>
      </c>
      <c r="E22">
        <f>3.1324</f>
        <v>3.1324000000000001</v>
      </c>
      <c r="F22">
        <f>2.8706</f>
        <v>2.8706</v>
      </c>
    </row>
    <row r="23" spans="1:6" x14ac:dyDescent="0.25">
      <c r="A23" s="2">
        <v>44762</v>
      </c>
      <c r="B23">
        <f>2.3835</f>
        <v>2.3835000000000002</v>
      </c>
      <c r="C23">
        <f>2.677</f>
        <v>2.677</v>
      </c>
      <c r="D23">
        <f>2.1122</f>
        <v>2.1122000000000001</v>
      </c>
      <c r="E23">
        <f>3.2193</f>
        <v>3.2193000000000001</v>
      </c>
      <c r="F23">
        <f>2.8772</f>
        <v>2.8772000000000002</v>
      </c>
    </row>
    <row r="24" spans="1:6" x14ac:dyDescent="0.25">
      <c r="A24" s="2">
        <v>44761</v>
      </c>
      <c r="B24">
        <f>2.3979</f>
        <v>2.3978999999999999</v>
      </c>
      <c r="C24">
        <f>2.695</f>
        <v>2.6949999999999998</v>
      </c>
      <c r="D24">
        <f>2.117</f>
        <v>2.117</v>
      </c>
      <c r="E24">
        <f>3.2474</f>
        <v>3.2473999999999998</v>
      </c>
      <c r="F24">
        <f>2.9216</f>
        <v>2.9216000000000002</v>
      </c>
    </row>
    <row r="25" spans="1:6" x14ac:dyDescent="0.25">
      <c r="A25" s="2">
        <v>44760</v>
      </c>
      <c r="B25">
        <f>2.3782</f>
        <v>2.3782000000000001</v>
      </c>
      <c r="C25">
        <f>2.6609</f>
        <v>2.6608999999999998</v>
      </c>
      <c r="D25">
        <f>2.1142</f>
        <v>2.1141999999999999</v>
      </c>
      <c r="E25">
        <f>3.1702</f>
        <v>3.1701999999999999</v>
      </c>
      <c r="F25">
        <f>2.9914</f>
        <v>2.9914000000000001</v>
      </c>
    </row>
    <row r="26" spans="1:6" x14ac:dyDescent="0.25">
      <c r="A26" s="2">
        <v>44757</v>
      </c>
      <c r="B26">
        <f>2.3717</f>
        <v>2.3717000000000001</v>
      </c>
      <c r="C26">
        <f>2.6101</f>
        <v>2.6101000000000001</v>
      </c>
      <c r="D26">
        <f>2.0941</f>
        <v>2.0941000000000001</v>
      </c>
      <c r="E26">
        <f>3.0415</f>
        <v>3.0415000000000001</v>
      </c>
      <c r="F26">
        <f>3.0364</f>
        <v>3.0364</v>
      </c>
    </row>
    <row r="27" spans="1:6" x14ac:dyDescent="0.25">
      <c r="A27" s="2">
        <v>44756</v>
      </c>
      <c r="B27">
        <f>2.3521</f>
        <v>2.3521000000000001</v>
      </c>
      <c r="C27">
        <f>2.5747</f>
        <v>2.5747</v>
      </c>
      <c r="D27">
        <f>2.0973</f>
        <v>2.0973000000000002</v>
      </c>
      <c r="E27">
        <f>2.9295</f>
        <v>2.9295</v>
      </c>
      <c r="F27">
        <f>3.0322</f>
        <v>3.0322</v>
      </c>
    </row>
    <row r="28" spans="1:6" x14ac:dyDescent="0.25">
      <c r="A28" s="2">
        <v>44755</v>
      </c>
      <c r="B28">
        <f>2.3424</f>
        <v>2.3424</v>
      </c>
      <c r="C28">
        <f>2.556</f>
        <v>2.556</v>
      </c>
      <c r="D28">
        <f>2.0774</f>
        <v>2.0773999999999999</v>
      </c>
      <c r="E28">
        <f>2.9835</f>
        <v>2.9834999999999998</v>
      </c>
      <c r="F28">
        <f>3.0991</f>
        <v>3.0991</v>
      </c>
    </row>
    <row r="29" spans="1:6" x14ac:dyDescent="0.25">
      <c r="A29" s="2">
        <v>44754</v>
      </c>
      <c r="B29">
        <f>2.3184</f>
        <v>2.3184</v>
      </c>
      <c r="C29">
        <f>2.5174</f>
        <v>2.5173999999999999</v>
      </c>
      <c r="D29">
        <f>2.05</f>
        <v>2.0499999999999998</v>
      </c>
      <c r="E29">
        <f>2.9095</f>
        <v>2.9095</v>
      </c>
      <c r="F29">
        <f>3.1071</f>
        <v>3.1071</v>
      </c>
    </row>
    <row r="30" spans="1:6" x14ac:dyDescent="0.25">
      <c r="A30" s="2">
        <v>44753</v>
      </c>
      <c r="B30">
        <f>2.3256</f>
        <v>2.3256000000000001</v>
      </c>
      <c r="C30">
        <f>2.5758</f>
        <v>2.5758000000000001</v>
      </c>
      <c r="D30">
        <f>2.0733</f>
        <v>2.0733000000000001</v>
      </c>
      <c r="E30">
        <f>3.1584</f>
        <v>3.1583999999999999</v>
      </c>
      <c r="F30">
        <f>3.1487</f>
        <v>3.1486999999999998</v>
      </c>
    </row>
    <row r="31" spans="1:6" x14ac:dyDescent="0.25">
      <c r="A31" s="2">
        <v>44750</v>
      </c>
      <c r="B31">
        <f>2.3748</f>
        <v>2.3748</v>
      </c>
      <c r="C31">
        <f>2.6317</f>
        <v>2.6316999999999999</v>
      </c>
      <c r="D31">
        <f>2.0698</f>
        <v>2.0697999999999999</v>
      </c>
      <c r="E31">
        <f>3.216</f>
        <v>3.2160000000000002</v>
      </c>
      <c r="F31">
        <f>3.1649</f>
        <v>3.1648999999999998</v>
      </c>
    </row>
    <row r="32" spans="1:6" x14ac:dyDescent="0.25">
      <c r="A32" s="2">
        <v>44749</v>
      </c>
      <c r="B32">
        <f>2.3492</f>
        <v>2.3492000000000002</v>
      </c>
      <c r="C32">
        <f>2.5772</f>
        <v>2.5771999999999999</v>
      </c>
      <c r="D32">
        <f>2.0766</f>
        <v>2.0766</v>
      </c>
      <c r="E32">
        <f>3.172</f>
        <v>3.1720000000000002</v>
      </c>
      <c r="F32">
        <f>3.1566</f>
        <v>3.1566000000000001</v>
      </c>
    </row>
    <row r="33" spans="1:6" x14ac:dyDescent="0.25">
      <c r="A33" s="2">
        <v>44748</v>
      </c>
      <c r="B33">
        <f>2.2953</f>
        <v>2.2953000000000001</v>
      </c>
      <c r="C33">
        <f>2.4993</f>
        <v>2.4992999999999999</v>
      </c>
      <c r="D33">
        <f>2.0452</f>
        <v>2.0451999999999999</v>
      </c>
      <c r="E33">
        <f>3.1095</f>
        <v>3.1095000000000002</v>
      </c>
      <c r="F33">
        <f>3.1176</f>
        <v>3.1175999999999999</v>
      </c>
    </row>
    <row r="34" spans="1:6" x14ac:dyDescent="0.25">
      <c r="A34" s="2">
        <v>44747</v>
      </c>
      <c r="B34">
        <f>2.2979</f>
        <v>2.2978999999999998</v>
      </c>
      <c r="C34">
        <f>2.5133</f>
        <v>2.5133000000000001</v>
      </c>
      <c r="D34">
        <f>2.0909</f>
        <v>2.0909</v>
      </c>
      <c r="E34">
        <f>3.1674</f>
        <v>3.1674000000000002</v>
      </c>
      <c r="F34">
        <f>3.1926</f>
        <v>3.1926000000000001</v>
      </c>
    </row>
    <row r="35" spans="1:6" x14ac:dyDescent="0.25">
      <c r="A35" s="2">
        <v>44746</v>
      </c>
      <c r="B35">
        <f>2.3594</f>
        <v>2.3593999999999999</v>
      </c>
      <c r="C35">
        <f>2.6369</f>
        <v>2.6368999999999998</v>
      </c>
      <c r="D35">
        <f>2.0918</f>
        <v>2.0918000000000001</v>
      </c>
      <c r="E35">
        <f>3.3418</f>
        <v>3.3418000000000001</v>
      </c>
      <c r="F35">
        <f>3.2052</f>
        <v>3.2052</v>
      </c>
    </row>
    <row r="36" spans="1:6" x14ac:dyDescent="0.25">
      <c r="A36" s="2">
        <v>44743</v>
      </c>
      <c r="B36">
        <f>2.3601</f>
        <v>2.3601000000000001</v>
      </c>
      <c r="C36">
        <f>2.6369</f>
        <v>2.6368999999999998</v>
      </c>
      <c r="D36">
        <f>2.0301</f>
        <v>2.0301</v>
      </c>
      <c r="E36">
        <f>3.3418</f>
        <v>3.3418000000000001</v>
      </c>
      <c r="F36">
        <f>3.1781</f>
        <v>3.1781000000000001</v>
      </c>
    </row>
    <row r="37" spans="1:6" x14ac:dyDescent="0.25">
      <c r="A37" s="2">
        <v>44742</v>
      </c>
      <c r="B37">
        <f>2.3449</f>
        <v>2.3449</v>
      </c>
      <c r="C37">
        <f>2.6173</f>
        <v>2.6173000000000002</v>
      </c>
      <c r="D37">
        <f>2.0262</f>
        <v>2.0261999999999998</v>
      </c>
      <c r="E37">
        <f>3.2877</f>
        <v>3.2877000000000001</v>
      </c>
      <c r="F37">
        <f>3.1265</f>
        <v>3.1265000000000001</v>
      </c>
    </row>
    <row r="38" spans="1:6" x14ac:dyDescent="0.25">
      <c r="A38" s="2">
        <v>44741</v>
      </c>
      <c r="B38">
        <f>2.3917</f>
        <v>2.3917000000000002</v>
      </c>
      <c r="C38">
        <f>2.6611</f>
        <v>2.6610999999999998</v>
      </c>
      <c r="D38">
        <f>2.1492</f>
        <v>2.1492</v>
      </c>
      <c r="E38">
        <f>3.4498</f>
        <v>3.4498000000000002</v>
      </c>
      <c r="F38">
        <f>3.0526</f>
        <v>3.0526</v>
      </c>
    </row>
    <row r="39" spans="1:6" x14ac:dyDescent="0.25">
      <c r="A39" s="2">
        <v>44740</v>
      </c>
      <c r="B39">
        <f>2.4741</f>
        <v>2.4741</v>
      </c>
      <c r="C39">
        <f>2.7499</f>
        <v>2.7498999999999998</v>
      </c>
      <c r="D39">
        <f>2.2037</f>
        <v>2.2037</v>
      </c>
      <c r="E39">
        <f>3.5978</f>
        <v>3.5977999999999999</v>
      </c>
      <c r="F39">
        <f>3.1391</f>
        <v>3.1391</v>
      </c>
    </row>
    <row r="40" spans="1:6" x14ac:dyDescent="0.25">
      <c r="A40" s="2">
        <v>44739</v>
      </c>
      <c r="B40">
        <f>2.5444</f>
        <v>2.5444</v>
      </c>
      <c r="C40">
        <f>2.813</f>
        <v>2.8130000000000002</v>
      </c>
      <c r="D40">
        <f>2.2131</f>
        <v>2.2130999999999998</v>
      </c>
      <c r="E40">
        <f>3.6905</f>
        <v>3.6905000000000001</v>
      </c>
      <c r="F40">
        <f>3.2194</f>
        <v>3.2193999999999998</v>
      </c>
    </row>
    <row r="41" spans="1:6" x14ac:dyDescent="0.25">
      <c r="A41" s="2">
        <v>44736</v>
      </c>
      <c r="B41">
        <f>2.5744</f>
        <v>2.5743999999999998</v>
      </c>
      <c r="C41">
        <f>2.8411</f>
        <v>2.8411</v>
      </c>
      <c r="D41">
        <f>2.1667</f>
        <v>2.1667000000000001</v>
      </c>
      <c r="E41">
        <f>3.7449</f>
        <v>3.7448999999999999</v>
      </c>
      <c r="F41">
        <f>3.2672</f>
        <v>3.2671999999999999</v>
      </c>
    </row>
    <row r="42" spans="1:6" x14ac:dyDescent="0.25">
      <c r="A42" s="2">
        <v>44735</v>
      </c>
      <c r="B42">
        <f>2.5221</f>
        <v>2.5221</v>
      </c>
      <c r="C42">
        <f>2.7674</f>
        <v>2.7673999999999999</v>
      </c>
      <c r="D42">
        <f>2.123</f>
        <v>2.1230000000000002</v>
      </c>
      <c r="E42">
        <f>3.6751</f>
        <v>3.6751</v>
      </c>
      <c r="F42">
        <f>3.168</f>
        <v>3.1680000000000001</v>
      </c>
    </row>
    <row r="43" spans="1:6" x14ac:dyDescent="0.25">
      <c r="A43" s="2">
        <v>44734</v>
      </c>
      <c r="B43">
        <f>2.5445</f>
        <v>2.5445000000000002</v>
      </c>
      <c r="C43">
        <f>2.7554</f>
        <v>2.7553999999999998</v>
      </c>
      <c r="D43">
        <f>2.171</f>
        <v>2.1709999999999998</v>
      </c>
      <c r="E43">
        <f>3.6835</f>
        <v>3.6835</v>
      </c>
      <c r="F43">
        <f>3.2463</f>
        <v>3.2463000000000002</v>
      </c>
    </row>
    <row r="44" spans="1:6" x14ac:dyDescent="0.25">
      <c r="A44" s="2">
        <v>44733</v>
      </c>
      <c r="B44">
        <f>2.6096</f>
        <v>2.6095999999999999</v>
      </c>
      <c r="C44">
        <f>2.8598</f>
        <v>2.8597999999999999</v>
      </c>
      <c r="D44">
        <f>2.181</f>
        <v>2.181</v>
      </c>
      <c r="E44">
        <f>3.8791</f>
        <v>3.8791000000000002</v>
      </c>
      <c r="F44">
        <f>3.2896</f>
        <v>3.2896000000000001</v>
      </c>
    </row>
    <row r="45" spans="1:6" x14ac:dyDescent="0.25">
      <c r="A45" s="2">
        <v>44732</v>
      </c>
      <c r="B45">
        <f>2.5947</f>
        <v>2.5947</v>
      </c>
      <c r="C45">
        <f>2.8359</f>
        <v>2.8359000000000001</v>
      </c>
      <c r="D45">
        <f>2.1227</f>
        <v>2.1227</v>
      </c>
      <c r="E45">
        <f>3.8636</f>
        <v>3.8635999999999999</v>
      </c>
      <c r="F45">
        <f>3.2527</f>
        <v>3.2526999999999999</v>
      </c>
    </row>
    <row r="46" spans="1:6" x14ac:dyDescent="0.25">
      <c r="A46" s="2">
        <v>44729</v>
      </c>
      <c r="B46">
        <f>2.5957</f>
        <v>2.5956999999999999</v>
      </c>
      <c r="C46">
        <f>2.8351</f>
        <v>2.8351000000000002</v>
      </c>
      <c r="D46">
        <f>2.1172</f>
        <v>2.1172</v>
      </c>
      <c r="E46">
        <f>3.8625</f>
        <v>3.8624999999999998</v>
      </c>
      <c r="F46">
        <f>3.2698</f>
        <v>3.2698</v>
      </c>
    </row>
    <row r="47" spans="1:6" x14ac:dyDescent="0.25">
      <c r="A47" s="2">
        <v>44728</v>
      </c>
      <c r="B47">
        <f>2.5771</f>
        <v>2.5771000000000002</v>
      </c>
      <c r="C47">
        <f>2.8456</f>
        <v>2.8456000000000001</v>
      </c>
      <c r="D47">
        <f>2.2017</f>
        <v>2.2017000000000002</v>
      </c>
      <c r="E47">
        <f>3.9588</f>
        <v>3.9588000000000001</v>
      </c>
      <c r="F47">
        <f>3.3512</f>
        <v>3.3512</v>
      </c>
    </row>
    <row r="48" spans="1:6" x14ac:dyDescent="0.25">
      <c r="A48" s="2">
        <v>44727</v>
      </c>
      <c r="B48">
        <f>2.6806</f>
        <v>2.6806000000000001</v>
      </c>
      <c r="C48">
        <f>2.9889</f>
        <v>2.9889000000000001</v>
      </c>
      <c r="D48">
        <f>2.228</f>
        <v>2.2280000000000002</v>
      </c>
      <c r="E48">
        <f>4.1132</f>
        <v>4.1132</v>
      </c>
      <c r="F48">
        <f>3.3878</f>
        <v>3.3877999999999999</v>
      </c>
    </row>
    <row r="49" spans="1:6" x14ac:dyDescent="0.25">
      <c r="A49" s="2">
        <v>44726</v>
      </c>
      <c r="B49">
        <f>2.6572</f>
        <v>2.6572</v>
      </c>
      <c r="C49">
        <f>2.9474</f>
        <v>2.9474</v>
      </c>
      <c r="D49">
        <f>2.2844</f>
        <v>2.2844000000000002</v>
      </c>
      <c r="E49">
        <f>4.1472</f>
        <v>4.1471999999999998</v>
      </c>
      <c r="F49">
        <f>3.3723</f>
        <v>3.3723000000000001</v>
      </c>
    </row>
    <row r="50" spans="1:6" x14ac:dyDescent="0.25">
      <c r="A50" s="2">
        <v>44725</v>
      </c>
      <c r="B50">
        <f>2.6837</f>
        <v>2.6837</v>
      </c>
      <c r="C50">
        <f>3.0647</f>
        <v>3.0647000000000002</v>
      </c>
      <c r="D50">
        <f>2.337</f>
        <v>2.3370000000000002</v>
      </c>
      <c r="E50">
        <f>4.4077</f>
        <v>4.4077000000000002</v>
      </c>
      <c r="F50">
        <f>3.3363</f>
        <v>3.3363</v>
      </c>
    </row>
    <row r="51" spans="1:6" x14ac:dyDescent="0.25">
      <c r="A51" s="2">
        <v>44722</v>
      </c>
      <c r="B51">
        <f>2.7853</f>
        <v>2.7852999999999999</v>
      </c>
      <c r="C51">
        <f>3.1645</f>
        <v>3.1644999999999999</v>
      </c>
      <c r="D51">
        <f>2.4149</f>
        <v>2.4148999999999998</v>
      </c>
      <c r="E51">
        <f>4.3919</f>
        <v>4.3918999999999997</v>
      </c>
      <c r="F51">
        <f>3.3038</f>
        <v>3.3037999999999998</v>
      </c>
    </row>
    <row r="52" spans="1:6" x14ac:dyDescent="0.25">
      <c r="A52" s="2">
        <v>44721</v>
      </c>
      <c r="B52">
        <f>2.7772</f>
        <v>2.7772000000000001</v>
      </c>
      <c r="C52">
        <f>3.1071</f>
        <v>3.1071</v>
      </c>
      <c r="D52">
        <f>2.4494</f>
        <v>2.4493999999999998</v>
      </c>
      <c r="E52">
        <f>4.1713</f>
        <v>4.1712999999999996</v>
      </c>
      <c r="F52">
        <f>3.343</f>
        <v>3.343</v>
      </c>
    </row>
    <row r="53" spans="1:6" x14ac:dyDescent="0.25">
      <c r="A53" s="2">
        <v>44720</v>
      </c>
      <c r="B53">
        <f>2.7683</f>
        <v>2.7683</v>
      </c>
      <c r="C53">
        <f>3.0803</f>
        <v>3.0802999999999998</v>
      </c>
      <c r="D53">
        <f>2.4558</f>
        <v>2.4558</v>
      </c>
      <c r="E53">
        <f>4.1002</f>
        <v>4.1002000000000001</v>
      </c>
      <c r="F53">
        <f>3.3069</f>
        <v>3.3069000000000002</v>
      </c>
    </row>
    <row r="54" spans="1:6" x14ac:dyDescent="0.25">
      <c r="A54" s="2">
        <v>44719</v>
      </c>
      <c r="B54">
        <f>2.7588</f>
        <v>2.7587999999999999</v>
      </c>
      <c r="C54">
        <f>3.0654</f>
        <v>3.0653999999999999</v>
      </c>
      <c r="D54">
        <f>2.427</f>
        <v>2.427</v>
      </c>
      <c r="E54">
        <f>4.0556</f>
        <v>4.0556000000000001</v>
      </c>
      <c r="F54">
        <f>3.3304</f>
        <v>3.3304</v>
      </c>
    </row>
    <row r="55" spans="1:6" x14ac:dyDescent="0.25">
      <c r="A55" s="2">
        <v>44718</v>
      </c>
      <c r="B55">
        <f>2.7864</f>
        <v>2.7864</v>
      </c>
      <c r="C55">
        <f>3.0892</f>
        <v>3.0891999999999999</v>
      </c>
      <c r="D55">
        <f>2.4278</f>
        <v>2.4278</v>
      </c>
      <c r="E55">
        <f>4.028</f>
        <v>4.0279999999999996</v>
      </c>
      <c r="F55">
        <f>3.3341</f>
        <v>3.3340999999999998</v>
      </c>
    </row>
    <row r="56" spans="1:6" x14ac:dyDescent="0.25">
      <c r="A56" s="2">
        <v>44715</v>
      </c>
      <c r="B56">
        <f>2.7654</f>
        <v>2.7654000000000001</v>
      </c>
      <c r="C56">
        <f>3.0649</f>
        <v>3.0649000000000002</v>
      </c>
      <c r="D56">
        <f>2.4035</f>
        <v>2.4035000000000002</v>
      </c>
      <c r="E56">
        <f>4.031</f>
        <v>4.0309999999999997</v>
      </c>
      <c r="F56" t="e">
        <f>NA()</f>
        <v>#N/A</v>
      </c>
    </row>
    <row r="57" spans="1:6" x14ac:dyDescent="0.25">
      <c r="A57" s="2">
        <v>44714</v>
      </c>
      <c r="B57">
        <f>2.6838</f>
        <v>2.6838000000000002</v>
      </c>
      <c r="C57">
        <f>3.0002</f>
        <v>3.0002</v>
      </c>
      <c r="D57">
        <f>2.3647</f>
        <v>2.3647</v>
      </c>
      <c r="E57">
        <f>3.9615</f>
        <v>3.9615</v>
      </c>
      <c r="F57" t="e">
        <f>NA()</f>
        <v>#N/A</v>
      </c>
    </row>
    <row r="58" spans="1:6" x14ac:dyDescent="0.25">
      <c r="A58" s="2">
        <v>44713</v>
      </c>
      <c r="B58">
        <f>2.6559</f>
        <v>2.6558999999999999</v>
      </c>
      <c r="C58">
        <f>2.9775</f>
        <v>2.9775</v>
      </c>
      <c r="D58">
        <f>2.3198</f>
        <v>2.3197999999999999</v>
      </c>
      <c r="E58">
        <f>3.9362</f>
        <v>3.9361999999999999</v>
      </c>
      <c r="F58">
        <f>3.3526</f>
        <v>3.3525999999999998</v>
      </c>
    </row>
    <row r="59" spans="1:6" x14ac:dyDescent="0.25">
      <c r="A59" s="2">
        <v>44712</v>
      </c>
      <c r="B59">
        <f>2.6525</f>
        <v>2.6524999999999999</v>
      </c>
      <c r="C59">
        <f>2.9572</f>
        <v>2.9571999999999998</v>
      </c>
      <c r="D59">
        <f>2.2658</f>
        <v>2.2658</v>
      </c>
      <c r="E59">
        <f>3.8585</f>
        <v>3.8584999999999998</v>
      </c>
      <c r="F59">
        <f>3.3117</f>
        <v>3.3117000000000001</v>
      </c>
    </row>
    <row r="60" spans="1:6" x14ac:dyDescent="0.25">
      <c r="A60" s="2">
        <v>44711</v>
      </c>
      <c r="B60">
        <f>2.6586</f>
        <v>2.6585999999999999</v>
      </c>
      <c r="C60">
        <f>2.9935</f>
        <v>2.9935</v>
      </c>
      <c r="D60">
        <f>2.2379</f>
        <v>2.2378999999999998</v>
      </c>
      <c r="E60">
        <f>3.9161</f>
        <v>3.9161000000000001</v>
      </c>
      <c r="F60">
        <f>3.503</f>
        <v>3.5030000000000001</v>
      </c>
    </row>
    <row r="61" spans="1:6" x14ac:dyDescent="0.25">
      <c r="A61" s="2">
        <v>44708</v>
      </c>
      <c r="B61">
        <f>2.6586</f>
        <v>2.6585999999999999</v>
      </c>
      <c r="C61">
        <f>2.9935</f>
        <v>2.9935</v>
      </c>
      <c r="D61">
        <f>2.1731</f>
        <v>2.1730999999999998</v>
      </c>
      <c r="E61">
        <f>3.9161</f>
        <v>3.9161000000000001</v>
      </c>
      <c r="F61">
        <f>3.423</f>
        <v>3.423</v>
      </c>
    </row>
    <row r="62" spans="1:6" x14ac:dyDescent="0.25">
      <c r="A62" s="2">
        <v>44707</v>
      </c>
      <c r="B62">
        <f>2.6331</f>
        <v>2.6331000000000002</v>
      </c>
      <c r="C62">
        <f>2.975</f>
        <v>2.9750000000000001</v>
      </c>
      <c r="D62">
        <f>2.1971</f>
        <v>2.1970999999999998</v>
      </c>
      <c r="E62">
        <f>3.9249</f>
        <v>3.9249000000000001</v>
      </c>
      <c r="F62">
        <f>3.4521</f>
        <v>3.4521000000000002</v>
      </c>
    </row>
    <row r="63" spans="1:6" x14ac:dyDescent="0.25">
      <c r="A63" s="2">
        <v>44706</v>
      </c>
      <c r="B63">
        <f>2.5635</f>
        <v>2.5634999999999999</v>
      </c>
      <c r="C63">
        <f>2.9004</f>
        <v>2.9003999999999999</v>
      </c>
      <c r="D63">
        <f>2.226</f>
        <v>2.226</v>
      </c>
      <c r="E63">
        <f>3.8613</f>
        <v>3.8613</v>
      </c>
      <c r="F63">
        <f>3.4274</f>
        <v>3.4274</v>
      </c>
    </row>
    <row r="64" spans="1:6" x14ac:dyDescent="0.25">
      <c r="A64" s="2">
        <v>44705</v>
      </c>
      <c r="B64">
        <f>2.5744</f>
        <v>2.5743999999999998</v>
      </c>
      <c r="C64">
        <f>2.8829</f>
        <v>2.8828999999999998</v>
      </c>
      <c r="D64">
        <f>2.2683</f>
        <v>2.2683</v>
      </c>
      <c r="E64">
        <f>3.8373</f>
        <v>3.8372999999999999</v>
      </c>
      <c r="F64">
        <f>3.3558</f>
        <v>3.3557999999999999</v>
      </c>
    </row>
    <row r="65" spans="1:6" x14ac:dyDescent="0.25">
      <c r="A65" s="2">
        <v>44704</v>
      </c>
      <c r="B65">
        <f>2.6102</f>
        <v>2.6101999999999999</v>
      </c>
      <c r="C65">
        <f>2.9221</f>
        <v>2.9220999999999999</v>
      </c>
      <c r="D65">
        <f>2.3302</f>
        <v>2.3302</v>
      </c>
      <c r="E65">
        <f>3.9001</f>
        <v>3.9001000000000001</v>
      </c>
      <c r="F65">
        <f>3.4012</f>
        <v>3.4011999999999998</v>
      </c>
    </row>
    <row r="66" spans="1:6" x14ac:dyDescent="0.25">
      <c r="A66" s="2">
        <v>44701</v>
      </c>
      <c r="B66">
        <f>2.5921</f>
        <v>2.5920999999999998</v>
      </c>
      <c r="C66">
        <f>2.9043</f>
        <v>2.9043000000000001</v>
      </c>
      <c r="D66">
        <f>2.358</f>
        <v>2.3580000000000001</v>
      </c>
      <c r="E66">
        <f>3.9025</f>
        <v>3.9024999999999999</v>
      </c>
      <c r="F66">
        <f>3.4069</f>
        <v>3.4068999999999998</v>
      </c>
    </row>
    <row r="67" spans="1:6" x14ac:dyDescent="0.25">
      <c r="A67" s="2">
        <v>44700</v>
      </c>
      <c r="B67">
        <f>2.6575</f>
        <v>2.6575000000000002</v>
      </c>
      <c r="C67">
        <f>2.9746</f>
        <v>2.9746000000000001</v>
      </c>
      <c r="D67">
        <f>2.3944</f>
        <v>2.3944000000000001</v>
      </c>
      <c r="E67">
        <f>3.9481</f>
        <v>3.9481000000000002</v>
      </c>
      <c r="F67">
        <f>3.4651</f>
        <v>3.4651000000000001</v>
      </c>
    </row>
    <row r="68" spans="1:6" x14ac:dyDescent="0.25">
      <c r="A68" s="2">
        <v>44699</v>
      </c>
      <c r="B68">
        <f>2.7417</f>
        <v>2.7416999999999998</v>
      </c>
      <c r="C68">
        <f>3.0691</f>
        <v>3.0691000000000002</v>
      </c>
      <c r="D68">
        <f>2.4294</f>
        <v>2.4293999999999998</v>
      </c>
      <c r="E68">
        <f>4.0065</f>
        <v>4.0065</v>
      </c>
      <c r="F68">
        <f>3.5428</f>
        <v>3.5428000000000002</v>
      </c>
    </row>
    <row r="69" spans="1:6" x14ac:dyDescent="0.25">
      <c r="A69" s="2">
        <v>44698</v>
      </c>
      <c r="B69">
        <f>2.7478</f>
        <v>2.7477999999999998</v>
      </c>
      <c r="C69">
        <f>3.1032</f>
        <v>3.1032000000000002</v>
      </c>
      <c r="D69">
        <f>2.4498</f>
        <v>2.4498000000000002</v>
      </c>
      <c r="E69">
        <f>4.0248</f>
        <v>4.0247999999999999</v>
      </c>
      <c r="F69">
        <f>3.6594</f>
        <v>3.6594000000000002</v>
      </c>
    </row>
    <row r="70" spans="1:6" x14ac:dyDescent="0.25">
      <c r="A70" s="2">
        <v>44697</v>
      </c>
      <c r="B70">
        <f>2.7241</f>
        <v>2.7241</v>
      </c>
      <c r="C70">
        <f>3.0649</f>
        <v>3.0649000000000002</v>
      </c>
      <c r="D70">
        <f>2.3984</f>
        <v>2.3984000000000001</v>
      </c>
      <c r="E70">
        <f>3.9869</f>
        <v>3.9868999999999999</v>
      </c>
      <c r="F70">
        <f>3.6386</f>
        <v>3.6385999999999998</v>
      </c>
    </row>
    <row r="71" spans="1:6" x14ac:dyDescent="0.25">
      <c r="A71" s="2">
        <v>44694</v>
      </c>
      <c r="B71">
        <f>2.7415</f>
        <v>2.7414999999999998</v>
      </c>
      <c r="C71">
        <f>3.0765</f>
        <v>3.0764999999999998</v>
      </c>
      <c r="D71">
        <f>2.3459</f>
        <v>2.3458999999999999</v>
      </c>
      <c r="E71">
        <f>3.9491</f>
        <v>3.9491000000000001</v>
      </c>
      <c r="F71">
        <f>3.6236</f>
        <v>3.6236000000000002</v>
      </c>
    </row>
    <row r="72" spans="1:6" x14ac:dyDescent="0.25">
      <c r="A72" s="2">
        <v>44693</v>
      </c>
      <c r="B72">
        <f>2.6272</f>
        <v>2.6272000000000002</v>
      </c>
      <c r="C72">
        <f>2.9076</f>
        <v>2.9076</v>
      </c>
      <c r="D72">
        <f>2.2885</f>
        <v>2.2885</v>
      </c>
      <c r="E72">
        <f>3.7961</f>
        <v>3.7961</v>
      </c>
      <c r="F72">
        <f>3.6457</f>
        <v>3.6457000000000002</v>
      </c>
    </row>
    <row r="73" spans="1:6" x14ac:dyDescent="0.25">
      <c r="A73" s="2">
        <v>44692</v>
      </c>
      <c r="B73">
        <f>2.733</f>
        <v>2.7330000000000001</v>
      </c>
      <c r="C73">
        <f>3.0263</f>
        <v>3.0263</v>
      </c>
      <c r="D73">
        <f>2.3862</f>
        <v>2.3862000000000001</v>
      </c>
      <c r="E73">
        <f>3.8994</f>
        <v>3.8994</v>
      </c>
      <c r="F73">
        <f>3.5696</f>
        <v>3.5695999999999999</v>
      </c>
    </row>
    <row r="74" spans="1:6" x14ac:dyDescent="0.25">
      <c r="A74" s="2">
        <v>44691</v>
      </c>
      <c r="B74">
        <f>2.6524</f>
        <v>2.6524000000000001</v>
      </c>
      <c r="C74">
        <f>2.9261</f>
        <v>2.9260999999999999</v>
      </c>
      <c r="D74">
        <f>2.3642</f>
        <v>2.3641999999999999</v>
      </c>
      <c r="E74">
        <f>3.7499</f>
        <v>3.7498999999999998</v>
      </c>
      <c r="F74">
        <f>3.4573</f>
        <v>3.4573</v>
      </c>
    </row>
    <row r="75" spans="1:6" x14ac:dyDescent="0.25">
      <c r="A75" s="2">
        <v>44690</v>
      </c>
      <c r="B75">
        <f>2.7422</f>
        <v>2.7422</v>
      </c>
      <c r="C75">
        <f>3.0458</f>
        <v>3.0457999999999998</v>
      </c>
      <c r="D75">
        <f>2.4807</f>
        <v>2.4807000000000001</v>
      </c>
      <c r="E75">
        <f>3.9141</f>
        <v>3.9140999999999999</v>
      </c>
      <c r="F75">
        <f>3.4474</f>
        <v>3.4474</v>
      </c>
    </row>
    <row r="76" spans="1:6" x14ac:dyDescent="0.25">
      <c r="A76" s="2">
        <v>44687</v>
      </c>
      <c r="B76">
        <f>2.8642</f>
        <v>2.8641999999999999</v>
      </c>
      <c r="C76">
        <f>3.2269</f>
        <v>3.2269000000000001</v>
      </c>
      <c r="D76">
        <f>2.5513</f>
        <v>2.5512999999999999</v>
      </c>
      <c r="E76">
        <f>4.1513</f>
        <v>4.1513</v>
      </c>
      <c r="F76">
        <f>3.4572</f>
        <v>3.4571999999999998</v>
      </c>
    </row>
    <row r="77" spans="1:6" x14ac:dyDescent="0.25">
      <c r="A77" s="2">
        <v>44686</v>
      </c>
      <c r="B77">
        <f>2.8589</f>
        <v>2.8589000000000002</v>
      </c>
      <c r="C77">
        <f>3.2244</f>
        <v>3.2244000000000002</v>
      </c>
      <c r="D77">
        <f>2.6593</f>
        <v>2.6593</v>
      </c>
      <c r="E77">
        <f>4.0763</f>
        <v>4.0762999999999998</v>
      </c>
      <c r="F77">
        <f>3.5783</f>
        <v>3.5783</v>
      </c>
    </row>
    <row r="78" spans="1:6" x14ac:dyDescent="0.25">
      <c r="A78" s="2">
        <v>44685</v>
      </c>
      <c r="B78">
        <f>2.8774</f>
        <v>2.8774000000000002</v>
      </c>
      <c r="C78">
        <f>3.2449</f>
        <v>3.2448999999999999</v>
      </c>
      <c r="D78">
        <f>2.9156</f>
        <v>2.9156</v>
      </c>
      <c r="E78">
        <f>4.1379</f>
        <v>4.1379000000000001</v>
      </c>
      <c r="F78">
        <f>3.6456</f>
        <v>3.6456</v>
      </c>
    </row>
    <row r="79" spans="1:6" x14ac:dyDescent="0.25">
      <c r="A79" s="2">
        <v>44684</v>
      </c>
      <c r="B79">
        <f>2.8286</f>
        <v>2.8285999999999998</v>
      </c>
      <c r="C79">
        <f>3.204</f>
        <v>3.2040000000000002</v>
      </c>
      <c r="D79">
        <f>2.9246</f>
        <v>2.9245999999999999</v>
      </c>
      <c r="E79">
        <f>4.1568</f>
        <v>4.1567999999999996</v>
      </c>
      <c r="F79">
        <f>3.678</f>
        <v>3.6779999999999999</v>
      </c>
    </row>
    <row r="80" spans="1:6" x14ac:dyDescent="0.25">
      <c r="A80" s="2">
        <v>44683</v>
      </c>
      <c r="B80">
        <f>2.83</f>
        <v>2.83</v>
      </c>
      <c r="C80">
        <f>3.2178</f>
        <v>3.2178</v>
      </c>
      <c r="D80">
        <f>2.9812</f>
        <v>2.9811999999999999</v>
      </c>
      <c r="E80">
        <f>4.1827</f>
        <v>4.1826999999999996</v>
      </c>
      <c r="F80" t="e">
        <f>NA()</f>
        <v>#N/A</v>
      </c>
    </row>
    <row r="81" spans="1:6" x14ac:dyDescent="0.25">
      <c r="A81" s="2">
        <v>44680</v>
      </c>
      <c r="B81">
        <f>2.9388</f>
        <v>2.9388000000000001</v>
      </c>
      <c r="C81">
        <f>3.3481</f>
        <v>3.3481000000000001</v>
      </c>
      <c r="D81">
        <f>2.9771</f>
        <v>2.9771000000000001</v>
      </c>
      <c r="E81">
        <f>4.3591</f>
        <v>4.3590999999999998</v>
      </c>
      <c r="F81">
        <f>3.7114</f>
        <v>3.7113999999999998</v>
      </c>
    </row>
    <row r="82" spans="1:6" x14ac:dyDescent="0.25">
      <c r="A82" s="2">
        <v>44679</v>
      </c>
      <c r="B82">
        <f>2.9749</f>
        <v>2.9748999999999999</v>
      </c>
      <c r="C82">
        <f>3.399</f>
        <v>3.399</v>
      </c>
      <c r="D82">
        <f>2.9122</f>
        <v>2.9121999999999999</v>
      </c>
      <c r="E82">
        <f>4.4328</f>
        <v>4.4328000000000003</v>
      </c>
      <c r="F82">
        <f>3.6318</f>
        <v>3.6318000000000001</v>
      </c>
    </row>
    <row r="83" spans="1:6" x14ac:dyDescent="0.25">
      <c r="A83" s="2">
        <v>44678</v>
      </c>
      <c r="B83">
        <f>2.9023</f>
        <v>2.9022999999999999</v>
      </c>
      <c r="C83">
        <f>3.3111</f>
        <v>3.3111000000000002</v>
      </c>
      <c r="D83">
        <f>2.812</f>
        <v>2.8119999999999998</v>
      </c>
      <c r="E83">
        <f>4.3317</f>
        <v>4.3316999999999997</v>
      </c>
      <c r="F83">
        <f>3.6524</f>
        <v>3.6524000000000001</v>
      </c>
    </row>
    <row r="84" spans="1:6" x14ac:dyDescent="0.25">
      <c r="A84" s="2">
        <v>44677</v>
      </c>
      <c r="B84">
        <f>2.8771</f>
        <v>2.8771</v>
      </c>
      <c r="C84">
        <f>3.268</f>
        <v>3.2679999999999998</v>
      </c>
      <c r="D84">
        <f>2.7742</f>
        <v>2.7742</v>
      </c>
      <c r="E84">
        <f>4.3064</f>
        <v>4.3064</v>
      </c>
      <c r="F84">
        <f>3.7254</f>
        <v>3.7254</v>
      </c>
    </row>
    <row r="85" spans="1:6" x14ac:dyDescent="0.25">
      <c r="A85" s="2">
        <v>44676</v>
      </c>
      <c r="B85">
        <f>2.9041</f>
        <v>2.9041000000000001</v>
      </c>
      <c r="C85">
        <f>3.2751</f>
        <v>3.2751000000000001</v>
      </c>
      <c r="D85">
        <f>2.8202</f>
        <v>2.8201999999999998</v>
      </c>
      <c r="E85">
        <f>4.3565</f>
        <v>4.3564999999999996</v>
      </c>
      <c r="F85">
        <f>3.6824</f>
        <v>3.6823999999999999</v>
      </c>
    </row>
    <row r="86" spans="1:6" x14ac:dyDescent="0.25">
      <c r="A86" s="2">
        <v>44673</v>
      </c>
      <c r="B86">
        <f>2.9846</f>
        <v>2.9845999999999999</v>
      </c>
      <c r="C86">
        <f>3.3631</f>
        <v>3.3631000000000002</v>
      </c>
      <c r="D86">
        <f>2.9096</f>
        <v>2.9096000000000002</v>
      </c>
      <c r="E86">
        <f>4.4368</f>
        <v>4.4367999999999999</v>
      </c>
      <c r="F86">
        <f>3.7111</f>
        <v>3.7111000000000001</v>
      </c>
    </row>
    <row r="87" spans="1:6" x14ac:dyDescent="0.25">
      <c r="A87" s="2">
        <v>44672</v>
      </c>
      <c r="B87">
        <f>3.0367</f>
        <v>3.0367000000000002</v>
      </c>
      <c r="C87">
        <f>3.6382</f>
        <v>3.6381999999999999</v>
      </c>
      <c r="D87">
        <f>2.9248</f>
        <v>2.9247999999999998</v>
      </c>
      <c r="E87">
        <f>4.7033</f>
        <v>4.7032999999999996</v>
      </c>
      <c r="F87">
        <f>3.6293</f>
        <v>3.6293000000000002</v>
      </c>
    </row>
    <row r="88" spans="1:6" x14ac:dyDescent="0.25">
      <c r="A88" s="2">
        <v>44671</v>
      </c>
      <c r="B88">
        <f>2.9489</f>
        <v>2.9489000000000001</v>
      </c>
      <c r="C88">
        <f>3.481</f>
        <v>3.4809999999999999</v>
      </c>
      <c r="D88">
        <f>2.9346</f>
        <v>2.9346000000000001</v>
      </c>
      <c r="E88">
        <f>4.5405</f>
        <v>4.5404999999999998</v>
      </c>
      <c r="F88">
        <f>3.6023</f>
        <v>3.6023000000000001</v>
      </c>
    </row>
    <row r="89" spans="1:6" x14ac:dyDescent="0.25">
      <c r="A89" s="2">
        <v>44670</v>
      </c>
      <c r="B89">
        <f>2.9432</f>
        <v>2.9432</v>
      </c>
      <c r="C89">
        <f>3.4559</f>
        <v>3.4559000000000002</v>
      </c>
      <c r="D89">
        <f>2.9351</f>
        <v>2.9350999999999998</v>
      </c>
      <c r="E89">
        <f>4.4965</f>
        <v>4.4965000000000002</v>
      </c>
      <c r="F89">
        <f>3.6059</f>
        <v>3.6059000000000001</v>
      </c>
    </row>
    <row r="90" spans="1:6" x14ac:dyDescent="0.25">
      <c r="A90" s="2">
        <v>44669</v>
      </c>
      <c r="B90">
        <f>2.9477</f>
        <v>2.9477000000000002</v>
      </c>
      <c r="C90">
        <f>3.4709</f>
        <v>3.4708999999999999</v>
      </c>
      <c r="D90">
        <f>2.9114</f>
        <v>2.9114</v>
      </c>
      <c r="E90">
        <f>4.44</f>
        <v>4.4400000000000004</v>
      </c>
      <c r="F90" t="e">
        <f>NA()</f>
        <v>#N/A</v>
      </c>
    </row>
    <row r="91" spans="1:6" x14ac:dyDescent="0.25">
      <c r="A91" s="2">
        <v>44666</v>
      </c>
      <c r="B91">
        <f>2.9108</f>
        <v>2.9108000000000001</v>
      </c>
      <c r="C91">
        <f>3.4459</f>
        <v>3.4459</v>
      </c>
      <c r="D91">
        <f>2.9114</f>
        <v>2.9114</v>
      </c>
      <c r="E91">
        <f>4.4079</f>
        <v>4.4078999999999997</v>
      </c>
      <c r="F91" t="e">
        <f>NA()</f>
        <v>#N/A</v>
      </c>
    </row>
    <row r="92" spans="1:6" x14ac:dyDescent="0.25">
      <c r="A92" s="2">
        <v>44665</v>
      </c>
      <c r="B92">
        <f>2.9108</f>
        <v>2.9108000000000001</v>
      </c>
      <c r="C92">
        <f>3.4459</f>
        <v>3.4459</v>
      </c>
      <c r="D92">
        <f>2.9115</f>
        <v>2.9115000000000002</v>
      </c>
      <c r="E92">
        <f>4.4079</f>
        <v>4.4078999999999997</v>
      </c>
      <c r="F92">
        <f>3.6093</f>
        <v>3.6093000000000002</v>
      </c>
    </row>
    <row r="93" spans="1:6" x14ac:dyDescent="0.25">
      <c r="A93" s="2">
        <v>44664</v>
      </c>
      <c r="B93">
        <f>2.8288</f>
        <v>2.8288000000000002</v>
      </c>
      <c r="C93">
        <f>3.3632</f>
        <v>3.3632</v>
      </c>
      <c r="D93">
        <f>2.8839</f>
        <v>2.8839000000000001</v>
      </c>
      <c r="E93">
        <f>4.3324</f>
        <v>4.3323999999999998</v>
      </c>
      <c r="F93">
        <f>3.624</f>
        <v>3.6240000000000001</v>
      </c>
    </row>
    <row r="94" spans="1:6" x14ac:dyDescent="0.25">
      <c r="A94" s="2">
        <v>44663</v>
      </c>
      <c r="B94">
        <f>2.8752</f>
        <v>2.8752</v>
      </c>
      <c r="C94">
        <f>3.4146</f>
        <v>3.4146000000000001</v>
      </c>
      <c r="D94">
        <f>2.898</f>
        <v>2.8980000000000001</v>
      </c>
      <c r="E94">
        <f>4.3484</f>
        <v>4.3483999999999998</v>
      </c>
      <c r="F94">
        <f>3.6381</f>
        <v>3.6381000000000001</v>
      </c>
    </row>
    <row r="95" spans="1:6" x14ac:dyDescent="0.25">
      <c r="A95" s="2">
        <v>44662</v>
      </c>
      <c r="B95">
        <f>2.931</f>
        <v>2.931</v>
      </c>
      <c r="C95">
        <f>3.5007</f>
        <v>3.5007000000000001</v>
      </c>
      <c r="D95">
        <f>2.8533</f>
        <v>2.8532999999999999</v>
      </c>
      <c r="E95">
        <f>4.3955</f>
        <v>4.3955000000000002</v>
      </c>
      <c r="F95">
        <f>3.6547</f>
        <v>3.6547000000000001</v>
      </c>
    </row>
    <row r="96" spans="1:6" x14ac:dyDescent="0.25">
      <c r="A96" s="2">
        <v>44659</v>
      </c>
      <c r="B96">
        <f>2.8881</f>
        <v>2.8881000000000001</v>
      </c>
      <c r="C96">
        <f>3.4372</f>
        <v>3.4371999999999998</v>
      </c>
      <c r="D96">
        <f>2.8287</f>
        <v>2.8287</v>
      </c>
      <c r="E96">
        <f>4.3724</f>
        <v>4.3723999999999998</v>
      </c>
      <c r="F96">
        <f>3.6853</f>
        <v>3.6852999999999998</v>
      </c>
    </row>
    <row r="97" spans="1:6" x14ac:dyDescent="0.25">
      <c r="A97" s="2">
        <v>44658</v>
      </c>
      <c r="B97">
        <f>2.8436</f>
        <v>2.8435999999999999</v>
      </c>
      <c r="C97">
        <f>3.3711</f>
        <v>3.3711000000000002</v>
      </c>
      <c r="D97">
        <f>2.7957</f>
        <v>2.7957000000000001</v>
      </c>
      <c r="E97">
        <f>4.2626</f>
        <v>4.2625999999999999</v>
      </c>
      <c r="F97">
        <f>3.6755</f>
        <v>3.6755</v>
      </c>
    </row>
    <row r="98" spans="1:6" x14ac:dyDescent="0.25">
      <c r="A98" s="2">
        <v>44657</v>
      </c>
      <c r="B98">
        <f>2.8378</f>
        <v>2.8378000000000001</v>
      </c>
      <c r="C98">
        <f>3.3713</f>
        <v>3.3713000000000002</v>
      </c>
      <c r="D98">
        <f>2.8146</f>
        <v>2.8146</v>
      </c>
      <c r="E98">
        <f>4.2719</f>
        <v>4.2718999999999996</v>
      </c>
      <c r="F98">
        <f>3.7342</f>
        <v>3.7342</v>
      </c>
    </row>
    <row r="99" spans="1:6" x14ac:dyDescent="0.25">
      <c r="A99" s="2">
        <v>44656</v>
      </c>
      <c r="B99">
        <f>2.8572</f>
        <v>2.8572000000000002</v>
      </c>
      <c r="C99">
        <f>3.416</f>
        <v>3.4159999999999999</v>
      </c>
      <c r="D99">
        <f>2.7831</f>
        <v>2.7831000000000001</v>
      </c>
      <c r="E99">
        <f>4.3486</f>
        <v>4.3486000000000002</v>
      </c>
      <c r="F99">
        <f>3.7307</f>
        <v>3.7307000000000001</v>
      </c>
    </row>
    <row r="100" spans="1:6" x14ac:dyDescent="0.25">
      <c r="A100" s="2">
        <v>44655</v>
      </c>
      <c r="B100">
        <f>2.8056</f>
        <v>2.8056000000000001</v>
      </c>
      <c r="C100">
        <f>3.3735</f>
        <v>3.3734999999999999</v>
      </c>
      <c r="D100">
        <f>2.7126</f>
        <v>2.7126000000000001</v>
      </c>
      <c r="E100">
        <f>4.352</f>
        <v>4.3520000000000003</v>
      </c>
      <c r="F100">
        <f>3.688</f>
        <v>3.6880000000000002</v>
      </c>
    </row>
    <row r="101" spans="1:6" x14ac:dyDescent="0.25">
      <c r="A101" s="2">
        <v>44652</v>
      </c>
      <c r="B101">
        <f>2.8202</f>
        <v>2.8201999999999998</v>
      </c>
      <c r="C101">
        <f>3.3936</f>
        <v>3.3936000000000002</v>
      </c>
      <c r="D101">
        <f>2.6566</f>
        <v>2.6566000000000001</v>
      </c>
      <c r="E101">
        <f>4.3996</f>
        <v>4.3996000000000004</v>
      </c>
      <c r="F101">
        <f>3.7296</f>
        <v>3.7296</v>
      </c>
    </row>
    <row r="102" spans="1:6" x14ac:dyDescent="0.25">
      <c r="A102" s="2">
        <v>44651</v>
      </c>
      <c r="B102">
        <f>2.8288</f>
        <v>2.8288000000000002</v>
      </c>
      <c r="C102">
        <f>3.4252</f>
        <v>3.4251999999999998</v>
      </c>
      <c r="D102">
        <f>2.6354</f>
        <v>2.6354000000000002</v>
      </c>
      <c r="E102">
        <f>4.4079</f>
        <v>4.4078999999999997</v>
      </c>
      <c r="F102">
        <f>3.7091</f>
        <v>3.7090999999999998</v>
      </c>
    </row>
    <row r="103" spans="1:6" x14ac:dyDescent="0.25">
      <c r="A103" s="2">
        <v>44650</v>
      </c>
      <c r="B103">
        <f>2.8876</f>
        <v>2.8875999999999999</v>
      </c>
      <c r="C103">
        <f>3.5185</f>
        <v>3.5185</v>
      </c>
      <c r="D103">
        <f>2.7058</f>
        <v>2.7058</v>
      </c>
      <c r="E103">
        <f>4.5853</f>
        <v>4.5853000000000002</v>
      </c>
      <c r="F103">
        <f>3.6274</f>
        <v>3.6274000000000002</v>
      </c>
    </row>
    <row r="104" spans="1:6" x14ac:dyDescent="0.25">
      <c r="A104" s="2">
        <v>44649</v>
      </c>
      <c r="B104">
        <f>2.8638</f>
        <v>2.8637999999999999</v>
      </c>
      <c r="C104">
        <f>3.504</f>
        <v>3.504</v>
      </c>
      <c r="D104">
        <f>2.6458</f>
        <v>2.6457999999999999</v>
      </c>
      <c r="E104">
        <f>4.6054</f>
        <v>4.6054000000000004</v>
      </c>
      <c r="F104">
        <f>3.5857</f>
        <v>3.5857000000000001</v>
      </c>
    </row>
    <row r="105" spans="1:6" x14ac:dyDescent="0.25">
      <c r="A105" s="2">
        <v>44648</v>
      </c>
      <c r="B105">
        <f>2.9535</f>
        <v>2.9535</v>
      </c>
      <c r="C105">
        <f>3.6397</f>
        <v>3.6396999999999999</v>
      </c>
      <c r="D105">
        <f>2.6106</f>
        <v>2.6105999999999998</v>
      </c>
      <c r="E105">
        <f>4.7778</f>
        <v>4.7778</v>
      </c>
      <c r="F105">
        <f>3.6333</f>
        <v>3.6333000000000002</v>
      </c>
    </row>
    <row r="106" spans="1:6" x14ac:dyDescent="0.25">
      <c r="A106" s="2">
        <v>44645</v>
      </c>
      <c r="B106">
        <f>2.9816</f>
        <v>2.9815999999999998</v>
      </c>
      <c r="C106">
        <f>3.7305</f>
        <v>3.7305000000000001</v>
      </c>
      <c r="D106">
        <f>2.603</f>
        <v>2.6030000000000002</v>
      </c>
      <c r="E106">
        <f>4.934</f>
        <v>4.9340000000000002</v>
      </c>
      <c r="F106">
        <f>3.676</f>
        <v>3.6760000000000002</v>
      </c>
    </row>
    <row r="107" spans="1:6" x14ac:dyDescent="0.25">
      <c r="A107" s="2">
        <v>44644</v>
      </c>
      <c r="B107">
        <f>2.9441</f>
        <v>2.9441000000000002</v>
      </c>
      <c r="C107">
        <f>3.6553</f>
        <v>3.6553</v>
      </c>
      <c r="D107">
        <f>2.6311</f>
        <v>2.6311</v>
      </c>
      <c r="E107">
        <f>4.851</f>
        <v>4.851</v>
      </c>
      <c r="F107">
        <f>3.7011</f>
        <v>3.7010999999999998</v>
      </c>
    </row>
    <row r="108" spans="1:6" x14ac:dyDescent="0.25">
      <c r="A108" s="2">
        <v>44643</v>
      </c>
      <c r="B108">
        <f>2.9726</f>
        <v>2.9725999999999999</v>
      </c>
      <c r="C108">
        <f>3.6968</f>
        <v>3.6968000000000001</v>
      </c>
      <c r="D108">
        <f>2.5557</f>
        <v>2.5556999999999999</v>
      </c>
      <c r="E108">
        <f>4.9164</f>
        <v>4.9164000000000003</v>
      </c>
      <c r="F108">
        <f>3.682</f>
        <v>3.6819999999999999</v>
      </c>
    </row>
    <row r="109" spans="1:6" x14ac:dyDescent="0.25">
      <c r="A109" s="2">
        <v>44642</v>
      </c>
      <c r="B109">
        <f>2.9294</f>
        <v>2.9293999999999998</v>
      </c>
      <c r="C109">
        <f>3.6272</f>
        <v>3.6272000000000002</v>
      </c>
      <c r="D109">
        <f>2.4745</f>
        <v>2.4744999999999999</v>
      </c>
      <c r="E109">
        <f>4.7718</f>
        <v>4.7717999999999998</v>
      </c>
      <c r="F109">
        <f>3.7005</f>
        <v>3.7004999999999999</v>
      </c>
    </row>
    <row r="110" spans="1:6" x14ac:dyDescent="0.25">
      <c r="A110" s="2">
        <v>44641</v>
      </c>
      <c r="B110">
        <f>2.9214</f>
        <v>2.9214000000000002</v>
      </c>
      <c r="C110">
        <f>3.6439</f>
        <v>3.6438999999999999</v>
      </c>
      <c r="D110">
        <f>2.4298</f>
        <v>2.4298000000000002</v>
      </c>
      <c r="E110">
        <f>4.7962</f>
        <v>4.7961999999999998</v>
      </c>
      <c r="F110">
        <f>3.7227</f>
        <v>3.7227000000000001</v>
      </c>
    </row>
    <row r="111" spans="1:6" x14ac:dyDescent="0.25">
      <c r="A111" s="2">
        <v>44638</v>
      </c>
      <c r="B111">
        <f>2.9027</f>
        <v>2.9026999999999998</v>
      </c>
      <c r="C111">
        <f>3.5916</f>
        <v>3.5916000000000001</v>
      </c>
      <c r="D111">
        <f>2.3902</f>
        <v>2.3902000000000001</v>
      </c>
      <c r="E111">
        <f>4.6903</f>
        <v>4.6902999999999997</v>
      </c>
      <c r="F111">
        <f>3.7577</f>
        <v>3.7576999999999998</v>
      </c>
    </row>
    <row r="112" spans="1:6" x14ac:dyDescent="0.25">
      <c r="A112" s="2">
        <v>44637</v>
      </c>
      <c r="B112">
        <f>2.9389</f>
        <v>2.9388999999999998</v>
      </c>
      <c r="C112">
        <f>3.6414</f>
        <v>3.6414</v>
      </c>
      <c r="D112">
        <f>2.3616</f>
        <v>2.3616000000000001</v>
      </c>
      <c r="E112">
        <f>4.7235</f>
        <v>4.7234999999999996</v>
      </c>
      <c r="F112">
        <f>3.7714</f>
        <v>3.7713999999999999</v>
      </c>
    </row>
    <row r="113" spans="1:6" x14ac:dyDescent="0.25">
      <c r="A113" s="2">
        <v>44636</v>
      </c>
      <c r="B113">
        <f>2.8033</f>
        <v>2.8033000000000001</v>
      </c>
      <c r="C113">
        <f>3.4156</f>
        <v>3.4156</v>
      </c>
      <c r="D113">
        <f>2.3278</f>
        <v>2.3277999999999999</v>
      </c>
      <c r="E113">
        <f>4.4088</f>
        <v>4.4088000000000003</v>
      </c>
      <c r="F113">
        <f>3.75</f>
        <v>3.75</v>
      </c>
    </row>
    <row r="114" spans="1:6" x14ac:dyDescent="0.25">
      <c r="A114" s="2">
        <v>44635</v>
      </c>
      <c r="B114">
        <f>2.8583</f>
        <v>2.8582999999999998</v>
      </c>
      <c r="C114">
        <f>3.5169</f>
        <v>3.5169000000000001</v>
      </c>
      <c r="D114">
        <f>2.3776</f>
        <v>2.3776000000000002</v>
      </c>
      <c r="E114">
        <f>4.5927</f>
        <v>4.5926999999999998</v>
      </c>
      <c r="F114">
        <f>3.7921</f>
        <v>3.7921</v>
      </c>
    </row>
    <row r="115" spans="1:6" x14ac:dyDescent="0.25">
      <c r="A115" s="2">
        <v>44634</v>
      </c>
      <c r="B115">
        <f>2.9502</f>
        <v>2.9502000000000002</v>
      </c>
      <c r="C115">
        <f>3.5966</f>
        <v>3.5966</v>
      </c>
      <c r="D115">
        <f>2.4642</f>
        <v>2.4641999999999999</v>
      </c>
      <c r="E115">
        <f>4.6821</f>
        <v>4.6821000000000002</v>
      </c>
      <c r="F115">
        <f>3.8524</f>
        <v>3.8523999999999998</v>
      </c>
    </row>
    <row r="116" spans="1:6" x14ac:dyDescent="0.25">
      <c r="A116" s="2">
        <v>44631</v>
      </c>
      <c r="B116">
        <f>2.9728</f>
        <v>2.9727999999999999</v>
      </c>
      <c r="C116">
        <f>3.6228</f>
        <v>3.6227999999999998</v>
      </c>
      <c r="D116">
        <f>2.4418</f>
        <v>2.4418000000000002</v>
      </c>
      <c r="E116">
        <f>4.7167</f>
        <v>4.7167000000000003</v>
      </c>
      <c r="F116">
        <f>3.8777</f>
        <v>3.8776999999999999</v>
      </c>
    </row>
    <row r="117" spans="1:6" x14ac:dyDescent="0.25">
      <c r="A117" s="2">
        <v>44630</v>
      </c>
      <c r="B117">
        <f>2.8851</f>
        <v>2.8851</v>
      </c>
      <c r="C117">
        <f>3.5088</f>
        <v>3.5087999999999999</v>
      </c>
      <c r="D117">
        <f>2.339</f>
        <v>2.339</v>
      </c>
      <c r="E117">
        <f>4.4628</f>
        <v>4.4627999999999997</v>
      </c>
      <c r="F117">
        <f>3.8929</f>
        <v>3.8929</v>
      </c>
    </row>
    <row r="118" spans="1:6" x14ac:dyDescent="0.25">
      <c r="A118" s="2">
        <v>44629</v>
      </c>
      <c r="B118">
        <f>2.8759</f>
        <v>2.8759000000000001</v>
      </c>
      <c r="C118">
        <f>3.4453</f>
        <v>3.4453</v>
      </c>
      <c r="D118">
        <f>2.4637</f>
        <v>2.4636999999999998</v>
      </c>
      <c r="E118">
        <f>4.3548</f>
        <v>4.3548</v>
      </c>
      <c r="F118">
        <f>3.8825</f>
        <v>3.8824999999999998</v>
      </c>
    </row>
    <row r="119" spans="1:6" x14ac:dyDescent="0.25">
      <c r="A119" s="2">
        <v>44628</v>
      </c>
      <c r="B119">
        <f>2.9255</f>
        <v>2.9255</v>
      </c>
      <c r="C119">
        <f>3.5221</f>
        <v>3.5221</v>
      </c>
      <c r="D119">
        <f>2.6287</f>
        <v>2.6286999999999998</v>
      </c>
      <c r="E119">
        <f>4.4869</f>
        <v>4.4869000000000003</v>
      </c>
      <c r="F119">
        <f>3.959</f>
        <v>3.9590000000000001</v>
      </c>
    </row>
    <row r="120" spans="1:6" x14ac:dyDescent="0.25">
      <c r="A120" s="2">
        <v>44627</v>
      </c>
      <c r="B120">
        <f>2.847</f>
        <v>2.847</v>
      </c>
      <c r="C120">
        <f>3.4306</f>
        <v>3.4306000000000001</v>
      </c>
      <c r="D120">
        <f>2.5697</f>
        <v>2.5697000000000001</v>
      </c>
      <c r="E120">
        <f>4.3347</f>
        <v>4.3346999999999998</v>
      </c>
      <c r="F120">
        <f>3.8418</f>
        <v>3.8418000000000001</v>
      </c>
    </row>
    <row r="121" spans="1:6" x14ac:dyDescent="0.25">
      <c r="A121" s="2">
        <v>44624</v>
      </c>
      <c r="B121">
        <f>2.6995</f>
        <v>2.6995</v>
      </c>
      <c r="C121">
        <f>3.2622</f>
        <v>3.2622</v>
      </c>
      <c r="D121">
        <f>2.3914</f>
        <v>2.3914</v>
      </c>
      <c r="E121">
        <f>4.1472</f>
        <v>4.1471999999999998</v>
      </c>
      <c r="F121">
        <f>3.7991</f>
        <v>3.7991000000000001</v>
      </c>
    </row>
    <row r="122" spans="1:6" x14ac:dyDescent="0.25">
      <c r="A122" s="2">
        <v>44623</v>
      </c>
      <c r="B122">
        <f>2.6911</f>
        <v>2.6911</v>
      </c>
      <c r="C122">
        <f>3.2351</f>
        <v>3.2351000000000001</v>
      </c>
      <c r="D122">
        <f>2.2958</f>
        <v>2.2957999999999998</v>
      </c>
      <c r="E122">
        <f>4.1011</f>
        <v>4.1010999999999997</v>
      </c>
      <c r="F122">
        <f>3.8508</f>
        <v>3.8508</v>
      </c>
    </row>
    <row r="123" spans="1:6" x14ac:dyDescent="0.25">
      <c r="A123" s="2">
        <v>44622</v>
      </c>
      <c r="B123">
        <f>2.7294</f>
        <v>2.7294</v>
      </c>
      <c r="C123">
        <f>3.3112</f>
        <v>3.3111999999999999</v>
      </c>
      <c r="D123">
        <f>2.2847</f>
        <v>2.2847</v>
      </c>
      <c r="E123">
        <f>4.2833</f>
        <v>4.2832999999999997</v>
      </c>
      <c r="F123">
        <f>3.8767</f>
        <v>3.8767</v>
      </c>
    </row>
    <row r="124" spans="1:6" x14ac:dyDescent="0.25">
      <c r="A124" s="2">
        <v>44621</v>
      </c>
      <c r="B124">
        <f>2.6966</f>
        <v>2.6966000000000001</v>
      </c>
      <c r="C124">
        <f>3.2919</f>
        <v>3.2919</v>
      </c>
      <c r="D124">
        <f>2.1945</f>
        <v>2.1945000000000001</v>
      </c>
      <c r="E124">
        <f>4.2935</f>
        <v>4.2934999999999999</v>
      </c>
      <c r="F124">
        <f>3.8768</f>
        <v>3.8767999999999998</v>
      </c>
    </row>
    <row r="125" spans="1:6" x14ac:dyDescent="0.25">
      <c r="A125" s="2">
        <v>44620</v>
      </c>
      <c r="B125">
        <f>2.6218</f>
        <v>2.6217999999999999</v>
      </c>
      <c r="C125">
        <f>3.1505</f>
        <v>3.1505000000000001</v>
      </c>
      <c r="D125">
        <f>2.094</f>
        <v>2.0939999999999999</v>
      </c>
      <c r="E125">
        <f>4.0409</f>
        <v>4.0408999999999997</v>
      </c>
      <c r="F125">
        <f>3.8032</f>
        <v>3.8031999999999999</v>
      </c>
    </row>
    <row r="126" spans="1:6" x14ac:dyDescent="0.25">
      <c r="A126" s="2">
        <v>44617</v>
      </c>
      <c r="B126">
        <f>2.5584</f>
        <v>2.5583999999999998</v>
      </c>
      <c r="C126">
        <f>3.1063</f>
        <v>3.1063000000000001</v>
      </c>
      <c r="D126">
        <f>2.0465</f>
        <v>2.0465</v>
      </c>
      <c r="E126">
        <f>3.9276</f>
        <v>3.9276</v>
      </c>
      <c r="F126">
        <f>3.7857</f>
        <v>3.7856999999999998</v>
      </c>
    </row>
    <row r="127" spans="1:6" x14ac:dyDescent="0.25">
      <c r="A127" s="2">
        <v>44616</v>
      </c>
      <c r="B127">
        <f>2.5831</f>
        <v>2.5831</v>
      </c>
      <c r="C127">
        <f>3.1571</f>
        <v>3.1570999999999998</v>
      </c>
      <c r="D127">
        <f>2.1027</f>
        <v>2.1027</v>
      </c>
      <c r="E127">
        <f>4.0383</f>
        <v>4.0382999999999996</v>
      </c>
      <c r="F127">
        <f>3.846</f>
        <v>3.8460000000000001</v>
      </c>
    </row>
    <row r="128" spans="1:6" x14ac:dyDescent="0.25">
      <c r="A128" s="2">
        <v>44615</v>
      </c>
      <c r="B128">
        <f>2.5677</f>
        <v>2.5676999999999999</v>
      </c>
      <c r="C128">
        <f>3.1431</f>
        <v>3.1431</v>
      </c>
      <c r="D128">
        <f>1.9736</f>
        <v>1.9736</v>
      </c>
      <c r="E128">
        <f>3.9575</f>
        <v>3.9575</v>
      </c>
      <c r="F128">
        <f>3.75</f>
        <v>3.75</v>
      </c>
    </row>
    <row r="129" spans="1:6" x14ac:dyDescent="0.25">
      <c r="A129" s="2">
        <v>44614</v>
      </c>
      <c r="B129">
        <f>2.4732</f>
        <v>2.4731999999999998</v>
      </c>
      <c r="C129">
        <f>2.9782</f>
        <v>2.9782000000000002</v>
      </c>
      <c r="D129">
        <f>1.9193</f>
        <v>1.9193</v>
      </c>
      <c r="E129">
        <f>3.7512</f>
        <v>3.7511999999999999</v>
      </c>
      <c r="F129">
        <f>3.8035</f>
        <v>3.8035000000000001</v>
      </c>
    </row>
    <row r="130" spans="1:6" x14ac:dyDescent="0.25">
      <c r="A130" s="2">
        <v>44613</v>
      </c>
      <c r="B130">
        <f>2.4393</f>
        <v>2.4392999999999998</v>
      </c>
      <c r="C130">
        <f>2.9339</f>
        <v>2.9339</v>
      </c>
      <c r="D130">
        <f>1.8758</f>
        <v>1.8757999999999999</v>
      </c>
      <c r="E130">
        <f>3.6651</f>
        <v>3.6650999999999998</v>
      </c>
      <c r="F130">
        <f>3.8139</f>
        <v>3.8138999999999998</v>
      </c>
    </row>
    <row r="131" spans="1:6" x14ac:dyDescent="0.25">
      <c r="A131" s="2">
        <v>44610</v>
      </c>
      <c r="B131">
        <f>2.4393</f>
        <v>2.4392999999999998</v>
      </c>
      <c r="C131">
        <f>2.9345</f>
        <v>2.9344999999999999</v>
      </c>
      <c r="D131">
        <f>1.8633</f>
        <v>1.8633</v>
      </c>
      <c r="E131">
        <f>3.6651</f>
        <v>3.6650999999999998</v>
      </c>
      <c r="F131">
        <f>3.7758</f>
        <v>3.7757999999999998</v>
      </c>
    </row>
    <row r="132" spans="1:6" x14ac:dyDescent="0.25">
      <c r="A132" s="2">
        <v>44609</v>
      </c>
      <c r="B132">
        <f>2.4528</f>
        <v>2.4527999999999999</v>
      </c>
      <c r="C132">
        <f>2.9407</f>
        <v>2.9407000000000001</v>
      </c>
      <c r="D132">
        <f>1.852</f>
        <v>1.8520000000000001</v>
      </c>
      <c r="E132">
        <f>3.6564</f>
        <v>3.6564000000000001</v>
      </c>
      <c r="F132">
        <f>3.7667</f>
        <v>3.7667000000000002</v>
      </c>
    </row>
    <row r="133" spans="1:6" x14ac:dyDescent="0.25">
      <c r="A133" s="2">
        <v>44608</v>
      </c>
      <c r="B133">
        <f>2.4681</f>
        <v>2.4681000000000002</v>
      </c>
      <c r="C133">
        <f>2.9154</f>
        <v>2.9154</v>
      </c>
      <c r="D133">
        <f>1.8597</f>
        <v>1.8596999999999999</v>
      </c>
      <c r="E133">
        <f>3.5763</f>
        <v>3.5762999999999998</v>
      </c>
      <c r="F133">
        <f>3.7287</f>
        <v>3.7286999999999999</v>
      </c>
    </row>
    <row r="134" spans="1:6" x14ac:dyDescent="0.25">
      <c r="A134" s="2">
        <v>44607</v>
      </c>
      <c r="B134">
        <f>2.484</f>
        <v>2.484</v>
      </c>
      <c r="C134">
        <f>2.9449</f>
        <v>2.9449000000000001</v>
      </c>
      <c r="D134">
        <f>1.8506</f>
        <v>1.8506</v>
      </c>
      <c r="E134">
        <f>3.5976</f>
        <v>3.5975999999999999</v>
      </c>
      <c r="F134">
        <f>3.7387</f>
        <v>3.7387000000000001</v>
      </c>
    </row>
    <row r="135" spans="1:6" x14ac:dyDescent="0.25">
      <c r="A135" s="2">
        <v>44606</v>
      </c>
      <c r="B135">
        <f>2.5095</f>
        <v>2.5095000000000001</v>
      </c>
      <c r="C135">
        <f>2.9852</f>
        <v>2.9851999999999999</v>
      </c>
      <c r="D135">
        <f>1.8534</f>
        <v>1.8533999999999999</v>
      </c>
      <c r="E135">
        <f>3.6649</f>
        <v>3.6648999999999998</v>
      </c>
      <c r="F135">
        <f>3.7823</f>
        <v>3.7823000000000002</v>
      </c>
    </row>
    <row r="136" spans="1:6" x14ac:dyDescent="0.25">
      <c r="A136" s="2">
        <v>44603</v>
      </c>
      <c r="B136">
        <f>2.4766</f>
        <v>2.4765999999999999</v>
      </c>
      <c r="C136">
        <f>2.9199</f>
        <v>2.9199000000000002</v>
      </c>
      <c r="D136">
        <f>1.838</f>
        <v>1.8380000000000001</v>
      </c>
      <c r="E136">
        <f>3.5293</f>
        <v>3.5293000000000001</v>
      </c>
      <c r="F136">
        <f>3.7805</f>
        <v>3.7805</v>
      </c>
    </row>
    <row r="137" spans="1:6" x14ac:dyDescent="0.25">
      <c r="A137" s="2">
        <v>44602</v>
      </c>
      <c r="B137">
        <f>2.4525</f>
        <v>2.4525000000000001</v>
      </c>
      <c r="C137">
        <f>2.8527</f>
        <v>2.8527</v>
      </c>
      <c r="D137">
        <f>1.8134</f>
        <v>1.8133999999999999</v>
      </c>
      <c r="E137">
        <f>3.4291</f>
        <v>3.4291</v>
      </c>
      <c r="F137">
        <f>3.8085</f>
        <v>3.8085</v>
      </c>
    </row>
    <row r="138" spans="1:6" x14ac:dyDescent="0.25">
      <c r="A138" s="2">
        <v>44601</v>
      </c>
      <c r="B138">
        <f>2.4463</f>
        <v>2.4462999999999999</v>
      </c>
      <c r="C138">
        <f>2.8206</f>
        <v>2.8206000000000002</v>
      </c>
      <c r="D138">
        <f>1.8112</f>
        <v>1.8111999999999999</v>
      </c>
      <c r="E138">
        <f>3.2057</f>
        <v>3.2057000000000002</v>
      </c>
      <c r="F138">
        <f>3.7907</f>
        <v>3.7907000000000002</v>
      </c>
    </row>
    <row r="139" spans="1:6" x14ac:dyDescent="0.25">
      <c r="A139" s="2">
        <v>44600</v>
      </c>
      <c r="B139">
        <f>2.4293</f>
        <v>2.4293</v>
      </c>
      <c r="C139">
        <f>2.8124</f>
        <v>2.8123999999999998</v>
      </c>
      <c r="D139">
        <f>1.809</f>
        <v>1.8089999999999999</v>
      </c>
      <c r="E139">
        <f>3.1687</f>
        <v>3.1686999999999999</v>
      </c>
      <c r="F139">
        <f>3.7771</f>
        <v>3.7770999999999999</v>
      </c>
    </row>
    <row r="140" spans="1:6" x14ac:dyDescent="0.25">
      <c r="A140" s="2">
        <v>44599</v>
      </c>
      <c r="B140">
        <f>2.4102</f>
        <v>2.4102000000000001</v>
      </c>
      <c r="C140">
        <f>2.7997</f>
        <v>2.7997000000000001</v>
      </c>
      <c r="D140">
        <f>1.8016</f>
        <v>1.8016000000000001</v>
      </c>
      <c r="E140">
        <f>3.1806</f>
        <v>3.1806000000000001</v>
      </c>
      <c r="F140">
        <f>3.7598</f>
        <v>3.7597999999999998</v>
      </c>
    </row>
    <row r="141" spans="1:6" x14ac:dyDescent="0.25">
      <c r="A141" s="2">
        <v>44596</v>
      </c>
      <c r="B141">
        <f>2.4119</f>
        <v>2.4119000000000002</v>
      </c>
      <c r="C141">
        <f>2.8152</f>
        <v>2.8151999999999999</v>
      </c>
      <c r="D141">
        <f>1.8047</f>
        <v>1.8047</v>
      </c>
      <c r="E141">
        <f>3.2104</f>
        <v>3.2103999999999999</v>
      </c>
      <c r="F141">
        <f>3.7642</f>
        <v>3.7642000000000002</v>
      </c>
    </row>
    <row r="142" spans="1:6" x14ac:dyDescent="0.25">
      <c r="A142" s="2">
        <v>44595</v>
      </c>
      <c r="B142">
        <f>2.4083</f>
        <v>2.4083000000000001</v>
      </c>
      <c r="C142">
        <f>2.8119</f>
        <v>2.8119000000000001</v>
      </c>
      <c r="D142">
        <f>1.8053</f>
        <v>1.8052999999999999</v>
      </c>
      <c r="E142">
        <f>3.16</f>
        <v>3.16</v>
      </c>
      <c r="F142">
        <f>3.794</f>
        <v>3.794</v>
      </c>
    </row>
    <row r="143" spans="1:6" x14ac:dyDescent="0.25">
      <c r="A143" s="2">
        <v>44594</v>
      </c>
      <c r="B143">
        <f>2.4272</f>
        <v>2.4272</v>
      </c>
      <c r="C143">
        <f>2.8331</f>
        <v>2.8331</v>
      </c>
      <c r="D143">
        <f>1.8348</f>
        <v>1.8348</v>
      </c>
      <c r="E143">
        <f>3.1847</f>
        <v>3.1846999999999999</v>
      </c>
      <c r="F143">
        <f>3.8287</f>
        <v>3.8287</v>
      </c>
    </row>
    <row r="144" spans="1:6" x14ac:dyDescent="0.25">
      <c r="A144" s="2">
        <v>44593</v>
      </c>
      <c r="B144">
        <f>2.4386</f>
        <v>2.4386000000000001</v>
      </c>
      <c r="C144">
        <f>2.8409</f>
        <v>2.8409</v>
      </c>
      <c r="D144">
        <f>1.8482</f>
        <v>1.8482000000000001</v>
      </c>
      <c r="E144">
        <f>3.1891</f>
        <v>3.1890999999999998</v>
      </c>
      <c r="F144">
        <f>3.8414</f>
        <v>3.8414000000000001</v>
      </c>
    </row>
    <row r="145" spans="1:6" x14ac:dyDescent="0.25">
      <c r="A145" s="2">
        <v>44592</v>
      </c>
      <c r="B145">
        <f>2.4864</f>
        <v>2.4864000000000002</v>
      </c>
      <c r="C145">
        <f>2.8879</f>
        <v>2.8879000000000001</v>
      </c>
      <c r="D145">
        <f>1.8429</f>
        <v>1.8429</v>
      </c>
      <c r="E145">
        <f>3.2624</f>
        <v>3.2624</v>
      </c>
      <c r="F145">
        <f>3.8233</f>
        <v>3.8233000000000001</v>
      </c>
    </row>
    <row r="146" spans="1:6" x14ac:dyDescent="0.25">
      <c r="A146" s="2">
        <v>44589</v>
      </c>
      <c r="B146">
        <f>2.4617</f>
        <v>2.4617</v>
      </c>
      <c r="C146">
        <f>2.8586</f>
        <v>2.8586</v>
      </c>
      <c r="D146">
        <f>1.7634</f>
        <v>1.7634000000000001</v>
      </c>
      <c r="E146">
        <f>3.2681</f>
        <v>3.2681</v>
      </c>
      <c r="F146">
        <f>3.8108</f>
        <v>3.8108</v>
      </c>
    </row>
    <row r="147" spans="1:6" x14ac:dyDescent="0.25">
      <c r="A147" s="2">
        <v>44588</v>
      </c>
      <c r="B147">
        <f>2.4295</f>
        <v>2.4295</v>
      </c>
      <c r="C147">
        <f>2.8282</f>
        <v>2.8281999999999998</v>
      </c>
      <c r="D147">
        <f>1.7416</f>
        <v>1.7416</v>
      </c>
      <c r="E147">
        <f>3.2449</f>
        <v>3.2448999999999999</v>
      </c>
      <c r="F147">
        <f>3.7979</f>
        <v>3.7978999999999998</v>
      </c>
    </row>
    <row r="148" spans="1:6" x14ac:dyDescent="0.25">
      <c r="A148" s="2">
        <v>44587</v>
      </c>
      <c r="B148">
        <f>2.4032</f>
        <v>2.4032</v>
      </c>
      <c r="C148">
        <f>2.8047</f>
        <v>2.8047</v>
      </c>
      <c r="D148">
        <f>1.7296</f>
        <v>1.7296</v>
      </c>
      <c r="E148">
        <f>3.2589</f>
        <v>3.2589000000000001</v>
      </c>
      <c r="F148">
        <f>3.756</f>
        <v>3.7559999999999998</v>
      </c>
    </row>
    <row r="149" spans="1:6" x14ac:dyDescent="0.25">
      <c r="A149" s="2">
        <v>44586</v>
      </c>
      <c r="B149">
        <f>2.4127</f>
        <v>2.4127000000000001</v>
      </c>
      <c r="C149">
        <f>2.8269</f>
        <v>2.8269000000000002</v>
      </c>
      <c r="D149">
        <f>1.7266</f>
        <v>1.7265999999999999</v>
      </c>
      <c r="E149">
        <f>3.2684</f>
        <v>3.2684000000000002</v>
      </c>
      <c r="F149">
        <f>3.7737</f>
        <v>3.7736999999999998</v>
      </c>
    </row>
    <row r="150" spans="1:6" x14ac:dyDescent="0.25">
      <c r="A150" s="2">
        <v>44585</v>
      </c>
      <c r="B150">
        <f>2.4184</f>
        <v>2.4184000000000001</v>
      </c>
      <c r="C150">
        <f>2.8168</f>
        <v>2.8168000000000002</v>
      </c>
      <c r="D150">
        <f>1.706</f>
        <v>1.706</v>
      </c>
      <c r="E150">
        <f>3.2443</f>
        <v>3.2443</v>
      </c>
      <c r="F150">
        <f>3.7736</f>
        <v>3.7736000000000001</v>
      </c>
    </row>
    <row r="151" spans="1:6" x14ac:dyDescent="0.25">
      <c r="A151" s="2">
        <v>44582</v>
      </c>
      <c r="B151">
        <f>2.369</f>
        <v>2.3690000000000002</v>
      </c>
      <c r="C151">
        <f>2.7697</f>
        <v>2.7696999999999998</v>
      </c>
      <c r="D151">
        <f>1.7162</f>
        <v>1.7161999999999999</v>
      </c>
      <c r="E151">
        <f>3.2327</f>
        <v>3.2326999999999999</v>
      </c>
      <c r="F151">
        <f>3.7172</f>
        <v>3.7172000000000001</v>
      </c>
    </row>
    <row r="152" spans="1:6" x14ac:dyDescent="0.25">
      <c r="A152" s="2">
        <v>44581</v>
      </c>
      <c r="B152">
        <f>2.42</f>
        <v>2.42</v>
      </c>
      <c r="C152">
        <f>2.7497</f>
        <v>2.7496999999999998</v>
      </c>
      <c r="D152">
        <f>1.7484</f>
        <v>1.7484</v>
      </c>
      <c r="E152">
        <f>3.2177</f>
        <v>3.2176999999999998</v>
      </c>
      <c r="F152">
        <f>3.7601</f>
        <v>3.7601</v>
      </c>
    </row>
    <row r="153" spans="1:6" x14ac:dyDescent="0.25">
      <c r="A153" s="2">
        <v>44580</v>
      </c>
      <c r="B153">
        <f>2.4471</f>
        <v>2.4470999999999998</v>
      </c>
      <c r="C153">
        <f>2.7876</f>
        <v>2.7875999999999999</v>
      </c>
      <c r="D153">
        <f>1.7664</f>
        <v>1.7664</v>
      </c>
      <c r="E153">
        <f>3.2284</f>
        <v>3.2284000000000002</v>
      </c>
      <c r="F153">
        <f>3.8179</f>
        <v>3.8178999999999998</v>
      </c>
    </row>
    <row r="154" spans="1:6" x14ac:dyDescent="0.25">
      <c r="A154" s="2">
        <v>44579</v>
      </c>
      <c r="B154">
        <f>2.4819</f>
        <v>2.4819</v>
      </c>
      <c r="C154">
        <f>2.8327</f>
        <v>2.8327</v>
      </c>
      <c r="D154">
        <f>1.7738</f>
        <v>1.7738</v>
      </c>
      <c r="E154">
        <f>3.226</f>
        <v>3.226</v>
      </c>
      <c r="F154">
        <f>3.8395</f>
        <v>3.8395000000000001</v>
      </c>
    </row>
    <row r="155" spans="1:6" x14ac:dyDescent="0.25">
      <c r="A155" s="2">
        <v>44578</v>
      </c>
      <c r="B155">
        <f>2.4759</f>
        <v>2.4759000000000002</v>
      </c>
      <c r="C155">
        <f>2.8377</f>
        <v>2.8376999999999999</v>
      </c>
      <c r="D155">
        <f>1.775</f>
        <v>1.7749999999999999</v>
      </c>
      <c r="E155">
        <f>3.2445</f>
        <v>3.2444999999999999</v>
      </c>
      <c r="F155">
        <f>3.8257</f>
        <v>3.8256999999999999</v>
      </c>
    </row>
    <row r="156" spans="1:6" x14ac:dyDescent="0.25">
      <c r="A156" s="2">
        <v>44575</v>
      </c>
      <c r="B156">
        <f>2.4759</f>
        <v>2.4759000000000002</v>
      </c>
      <c r="C156">
        <f>2.8385</f>
        <v>2.8384999999999998</v>
      </c>
      <c r="D156">
        <f>1.7638</f>
        <v>1.7638</v>
      </c>
      <c r="E156">
        <f>3.2445</f>
        <v>3.2444999999999999</v>
      </c>
      <c r="F156">
        <f>3.8206</f>
        <v>3.8206000000000002</v>
      </c>
    </row>
    <row r="157" spans="1:6" x14ac:dyDescent="0.25">
      <c r="A157" s="2">
        <v>44574</v>
      </c>
      <c r="B157">
        <f>2.4705</f>
        <v>2.4704999999999999</v>
      </c>
      <c r="C157">
        <f>2.8209</f>
        <v>2.8209</v>
      </c>
      <c r="D157">
        <f>1.7544</f>
        <v>1.7544</v>
      </c>
      <c r="E157">
        <f>3.2437</f>
        <v>3.2437</v>
      </c>
      <c r="F157">
        <f>3.805</f>
        <v>3.8050000000000002</v>
      </c>
    </row>
    <row r="158" spans="1:6" x14ac:dyDescent="0.25">
      <c r="A158" s="2">
        <v>44573</v>
      </c>
      <c r="B158">
        <f>2.5044</f>
        <v>2.5044</v>
      </c>
      <c r="C158">
        <f>2.8553</f>
        <v>2.8553000000000002</v>
      </c>
      <c r="D158">
        <f>1.7849</f>
        <v>1.7848999999999999</v>
      </c>
      <c r="E158">
        <f>3.2722</f>
        <v>3.2722000000000002</v>
      </c>
      <c r="F158">
        <f>3.7724</f>
        <v>3.7724000000000002</v>
      </c>
    </row>
    <row r="159" spans="1:6" x14ac:dyDescent="0.25">
      <c r="A159" s="2">
        <v>44572</v>
      </c>
      <c r="B159">
        <f>2.5792</f>
        <v>2.5792000000000002</v>
      </c>
      <c r="C159">
        <f>2.9205</f>
        <v>2.9205000000000001</v>
      </c>
      <c r="D159">
        <f>1.7804</f>
        <v>1.7804</v>
      </c>
      <c r="E159">
        <f>3.3222</f>
        <v>3.3222</v>
      </c>
      <c r="F159">
        <f>3.7444</f>
        <v>3.7444000000000002</v>
      </c>
    </row>
    <row r="160" spans="1:6" x14ac:dyDescent="0.25">
      <c r="A160" s="2">
        <v>44571</v>
      </c>
      <c r="B160">
        <f>2.5178</f>
        <v>2.5177999999999998</v>
      </c>
      <c r="C160">
        <f>2.8217</f>
        <v>2.8216999999999999</v>
      </c>
      <c r="D160">
        <f>1.7694</f>
        <v>1.7694000000000001</v>
      </c>
      <c r="E160">
        <f>3.2053</f>
        <v>3.2052999999999998</v>
      </c>
      <c r="F160">
        <f>3.7107</f>
        <v>3.7107000000000001</v>
      </c>
    </row>
    <row r="161" spans="1:6" x14ac:dyDescent="0.25">
      <c r="A161" s="2">
        <v>44568</v>
      </c>
      <c r="B161">
        <f>2.5204</f>
        <v>2.5204</v>
      </c>
      <c r="C161">
        <f>2.8216</f>
        <v>2.8216000000000001</v>
      </c>
      <c r="D161">
        <f>1.7665</f>
        <v>1.7665</v>
      </c>
      <c r="E161">
        <f>3.1707</f>
        <v>3.1707000000000001</v>
      </c>
      <c r="F161">
        <f>3.7082</f>
        <v>3.7082000000000002</v>
      </c>
    </row>
    <row r="162" spans="1:6" x14ac:dyDescent="0.25">
      <c r="A162" s="2">
        <v>44567</v>
      </c>
      <c r="B162">
        <f>2.5034</f>
        <v>2.5034000000000001</v>
      </c>
      <c r="C162">
        <f>2.8275</f>
        <v>2.8275000000000001</v>
      </c>
      <c r="D162">
        <f>1.7412</f>
        <v>1.7412000000000001</v>
      </c>
      <c r="E162">
        <f>3.2009</f>
        <v>3.2008999999999999</v>
      </c>
      <c r="F162">
        <f>3.6832</f>
        <v>3.6831999999999998</v>
      </c>
    </row>
    <row r="163" spans="1:6" x14ac:dyDescent="0.25">
      <c r="A163" s="2">
        <v>44566</v>
      </c>
      <c r="B163">
        <f>2.5425</f>
        <v>2.5425</v>
      </c>
      <c r="C163">
        <f>2.8872</f>
        <v>2.8872</v>
      </c>
      <c r="D163">
        <f>1.7958</f>
        <v>1.7958000000000001</v>
      </c>
      <c r="E163">
        <f>3.2294</f>
        <v>3.2294</v>
      </c>
      <c r="F163">
        <f>3.7052</f>
        <v>3.7052</v>
      </c>
    </row>
    <row r="164" spans="1:6" x14ac:dyDescent="0.25">
      <c r="A164" s="2">
        <v>44565</v>
      </c>
      <c r="B164">
        <f>2.5966</f>
        <v>2.5966</v>
      </c>
      <c r="C164">
        <f>2.962</f>
        <v>2.9620000000000002</v>
      </c>
      <c r="D164">
        <f>1.8296</f>
        <v>1.8295999999999999</v>
      </c>
      <c r="E164">
        <f>3.2593</f>
        <v>3.2593000000000001</v>
      </c>
      <c r="F164">
        <f>3.7074</f>
        <v>3.7073999999999998</v>
      </c>
    </row>
    <row r="165" spans="1:6" x14ac:dyDescent="0.25">
      <c r="A165" s="2">
        <v>44564</v>
      </c>
      <c r="B165">
        <f>2.6468</f>
        <v>2.6467999999999998</v>
      </c>
      <c r="C165">
        <f>2.9928</f>
        <v>2.9927999999999999</v>
      </c>
      <c r="D165">
        <f>1.7903</f>
        <v>1.7903</v>
      </c>
      <c r="E165">
        <f>3.2845</f>
        <v>3.2845</v>
      </c>
      <c r="F165" t="e">
        <f>NA()</f>
        <v>#N/A</v>
      </c>
    </row>
    <row r="166" spans="1:6" x14ac:dyDescent="0.25">
      <c r="A166" s="2">
        <v>44561</v>
      </c>
      <c r="B166">
        <f>2.5947</f>
        <v>2.5947</v>
      </c>
      <c r="C166">
        <f>2.9063</f>
        <v>2.9062999999999999</v>
      </c>
      <c r="D166">
        <f>1.8057</f>
        <v>1.8057000000000001</v>
      </c>
      <c r="E166">
        <f>3.2173</f>
        <v>3.2172999999999998</v>
      </c>
      <c r="F166">
        <f>3.6184</f>
        <v>3.6183999999999998</v>
      </c>
    </row>
    <row r="167" spans="1:6" x14ac:dyDescent="0.25">
      <c r="A167" s="2">
        <v>44560</v>
      </c>
      <c r="B167">
        <f>2.6129</f>
        <v>2.6128999999999998</v>
      </c>
      <c r="C167">
        <f>2.904</f>
        <v>2.9039999999999999</v>
      </c>
      <c r="D167">
        <f>1.805</f>
        <v>1.8049999999999999</v>
      </c>
      <c r="E167">
        <f>3.2284</f>
        <v>3.2284000000000002</v>
      </c>
      <c r="F167">
        <f>3.6082</f>
        <v>3.6082000000000001</v>
      </c>
    </row>
    <row r="168" spans="1:6" x14ac:dyDescent="0.25">
      <c r="A168" s="2">
        <v>44559</v>
      </c>
      <c r="B168">
        <f>2.5856</f>
        <v>2.5855999999999999</v>
      </c>
      <c r="C168">
        <f>2.8938</f>
        <v>2.8938000000000001</v>
      </c>
      <c r="D168">
        <f>1.7831</f>
        <v>1.7830999999999999</v>
      </c>
      <c r="E168">
        <f>3.2129</f>
        <v>3.2128999999999999</v>
      </c>
      <c r="F168">
        <f>3.6283</f>
        <v>3.6282999999999999</v>
      </c>
    </row>
    <row r="169" spans="1:6" x14ac:dyDescent="0.25">
      <c r="A169" s="2">
        <v>44558</v>
      </c>
      <c r="B169">
        <f>2.5302</f>
        <v>2.5301999999999998</v>
      </c>
      <c r="C169">
        <f>2.8053</f>
        <v>2.8052999999999999</v>
      </c>
      <c r="D169">
        <f>1.7954</f>
        <v>1.7954000000000001</v>
      </c>
      <c r="E169">
        <f>3.1566</f>
        <v>3.1566000000000001</v>
      </c>
      <c r="F169" t="e">
        <f>NA()</f>
        <v>#N/A</v>
      </c>
    </row>
    <row r="170" spans="1:6" x14ac:dyDescent="0.25">
      <c r="A170" s="2">
        <v>44557</v>
      </c>
      <c r="B170">
        <f>2.5333</f>
        <v>2.5333000000000001</v>
      </c>
      <c r="C170">
        <f>2.7957</f>
        <v>2.7957000000000001</v>
      </c>
      <c r="D170">
        <f>1.7957</f>
        <v>1.7957000000000001</v>
      </c>
      <c r="E170">
        <f>3.15</f>
        <v>3.15</v>
      </c>
      <c r="F170" t="e">
        <f>NA()</f>
        <v>#N/A</v>
      </c>
    </row>
    <row r="171" spans="1:6" x14ac:dyDescent="0.25">
      <c r="A171" s="2">
        <v>44554</v>
      </c>
      <c r="B171">
        <f>2.4952</f>
        <v>2.4952000000000001</v>
      </c>
      <c r="C171">
        <f>2.7607</f>
        <v>2.7606999999999999</v>
      </c>
      <c r="D171">
        <f>1.8162</f>
        <v>1.8162</v>
      </c>
      <c r="E171">
        <f>3.1034</f>
        <v>3.1034000000000002</v>
      </c>
      <c r="F171">
        <f>3.6186</f>
        <v>3.6185999999999998</v>
      </c>
    </row>
    <row r="172" spans="1:6" x14ac:dyDescent="0.25">
      <c r="A172" s="2">
        <v>44553</v>
      </c>
      <c r="B172">
        <f>2.4952</f>
        <v>2.4952000000000001</v>
      </c>
      <c r="C172">
        <f>2.7607</f>
        <v>2.7606999999999999</v>
      </c>
      <c r="D172">
        <f>1.8153</f>
        <v>1.8152999999999999</v>
      </c>
      <c r="E172">
        <f>3.1034</f>
        <v>3.1034000000000002</v>
      </c>
      <c r="F172">
        <f>3.6026</f>
        <v>3.6025999999999998</v>
      </c>
    </row>
    <row r="173" spans="1:6" x14ac:dyDescent="0.25">
      <c r="A173" s="2">
        <v>44552</v>
      </c>
      <c r="B173">
        <f>2.4963</f>
        <v>2.4963000000000002</v>
      </c>
      <c r="C173">
        <f>2.7754</f>
        <v>2.7753999999999999</v>
      </c>
      <c r="D173">
        <f>1.8267</f>
        <v>1.8267</v>
      </c>
      <c r="E173">
        <f>3.1267</f>
        <v>3.1267</v>
      </c>
      <c r="F173">
        <f>3.6474</f>
        <v>3.6474000000000002</v>
      </c>
    </row>
    <row r="174" spans="1:6" x14ac:dyDescent="0.25">
      <c r="A174" s="2">
        <v>44551</v>
      </c>
      <c r="B174">
        <f>2.4755</f>
        <v>2.4754999999999998</v>
      </c>
      <c r="C174">
        <f>2.7339</f>
        <v>2.7339000000000002</v>
      </c>
      <c r="D174">
        <f>1.7482</f>
        <v>1.7482</v>
      </c>
      <c r="E174">
        <f>3.0909</f>
        <v>3.0909</v>
      </c>
      <c r="F174">
        <f>3.644</f>
        <v>3.6440000000000001</v>
      </c>
    </row>
    <row r="175" spans="1:6" x14ac:dyDescent="0.25">
      <c r="A175" s="2">
        <v>44550</v>
      </c>
      <c r="B175">
        <f>2.414</f>
        <v>2.4140000000000001</v>
      </c>
      <c r="C175">
        <f>2.6873</f>
        <v>2.6873</v>
      </c>
      <c r="D175">
        <f>1.7053</f>
        <v>1.7053</v>
      </c>
      <c r="E175">
        <f>3.0534</f>
        <v>3.0533999999999999</v>
      </c>
      <c r="F175">
        <f>3.5812</f>
        <v>3.5811999999999999</v>
      </c>
    </row>
    <row r="176" spans="1:6" x14ac:dyDescent="0.25">
      <c r="A176" s="2">
        <v>44547</v>
      </c>
      <c r="B176">
        <f>2.4165</f>
        <v>2.4165000000000001</v>
      </c>
      <c r="C176">
        <f>2.7064</f>
        <v>2.7063999999999999</v>
      </c>
      <c r="D176">
        <f>1.7159</f>
        <v>1.7159</v>
      </c>
      <c r="E176">
        <f>3.1096</f>
        <v>3.1095999999999999</v>
      </c>
      <c r="F176">
        <f>3.5597</f>
        <v>3.5596999999999999</v>
      </c>
    </row>
    <row r="177" spans="1:6" x14ac:dyDescent="0.25">
      <c r="A177" s="2">
        <v>44546</v>
      </c>
      <c r="B177">
        <f>2.4485</f>
        <v>2.4485000000000001</v>
      </c>
      <c r="C177">
        <f>2.7411</f>
        <v>2.7410999999999999</v>
      </c>
      <c r="D177">
        <f>1.7267</f>
        <v>1.7266999999999999</v>
      </c>
      <c r="E177">
        <f>3.1532</f>
        <v>3.1532</v>
      </c>
      <c r="F177">
        <f>3.5397</f>
        <v>3.5396999999999998</v>
      </c>
    </row>
    <row r="178" spans="1:6" x14ac:dyDescent="0.25">
      <c r="A178" s="2">
        <v>44545</v>
      </c>
      <c r="B178">
        <f>2.4639</f>
        <v>2.4639000000000002</v>
      </c>
      <c r="C178">
        <f>2.7745</f>
        <v>2.7745000000000002</v>
      </c>
      <c r="D178">
        <f>1.7054</f>
        <v>1.7054</v>
      </c>
      <c r="E178">
        <f>3.1671</f>
        <v>3.1671</v>
      </c>
      <c r="F178">
        <f>3.5511</f>
        <v>3.5510999999999999</v>
      </c>
    </row>
    <row r="179" spans="1:6" x14ac:dyDescent="0.25">
      <c r="A179" s="2">
        <v>44544</v>
      </c>
      <c r="B179">
        <f>2.408</f>
        <v>2.4079999999999999</v>
      </c>
      <c r="C179">
        <f>2.6981</f>
        <v>2.6981000000000002</v>
      </c>
      <c r="D179">
        <f>1.7196</f>
        <v>1.7196</v>
      </c>
      <c r="E179">
        <f>3.1077</f>
        <v>3.1076999999999999</v>
      </c>
      <c r="F179">
        <f>3.6395</f>
        <v>3.6395</v>
      </c>
    </row>
    <row r="180" spans="1:6" x14ac:dyDescent="0.25">
      <c r="A180" s="2">
        <v>44543</v>
      </c>
      <c r="B180">
        <f>2.4132</f>
        <v>2.4131999999999998</v>
      </c>
      <c r="C180">
        <f>2.7279</f>
        <v>2.7279</v>
      </c>
      <c r="D180">
        <f>1.7385</f>
        <v>1.7384999999999999</v>
      </c>
      <c r="E180">
        <f>3.1777</f>
        <v>3.1777000000000002</v>
      </c>
      <c r="F180">
        <f>3.7515</f>
        <v>3.7515000000000001</v>
      </c>
    </row>
    <row r="181" spans="1:6" x14ac:dyDescent="0.25">
      <c r="A181" s="2">
        <v>44540</v>
      </c>
      <c r="B181">
        <f>2.4813</f>
        <v>2.4813000000000001</v>
      </c>
      <c r="C181">
        <f>2.8045</f>
        <v>2.8045</v>
      </c>
      <c r="D181">
        <f>1.7248</f>
        <v>1.7248000000000001</v>
      </c>
      <c r="E181">
        <f>3.2307</f>
        <v>3.2307000000000001</v>
      </c>
      <c r="F181">
        <f>3.8037</f>
        <v>3.8037000000000001</v>
      </c>
    </row>
    <row r="182" spans="1:6" x14ac:dyDescent="0.25">
      <c r="A182" s="2">
        <v>44539</v>
      </c>
      <c r="B182">
        <f>2.4938</f>
        <v>2.4937999999999998</v>
      </c>
      <c r="C182">
        <f>2.8101</f>
        <v>2.8100999999999998</v>
      </c>
      <c r="D182">
        <f>1.7255</f>
        <v>1.7255</v>
      </c>
      <c r="E182">
        <f>3.292</f>
        <v>3.2919999999999998</v>
      </c>
      <c r="F182">
        <f>3.8486</f>
        <v>3.8485999999999998</v>
      </c>
    </row>
    <row r="183" spans="1:6" x14ac:dyDescent="0.25">
      <c r="A183" s="2">
        <v>44538</v>
      </c>
      <c r="B183">
        <f>2.5585</f>
        <v>2.5585</v>
      </c>
      <c r="C183">
        <f>2.907</f>
        <v>2.907</v>
      </c>
      <c r="D183">
        <f>1.73</f>
        <v>1.73</v>
      </c>
      <c r="E183">
        <f>3.3916</f>
        <v>3.3915999999999999</v>
      </c>
      <c r="F183">
        <f>3.8411</f>
        <v>3.8411</v>
      </c>
    </row>
    <row r="184" spans="1:6" x14ac:dyDescent="0.25">
      <c r="A184" s="2">
        <v>44537</v>
      </c>
      <c r="B184">
        <f>2.5132</f>
        <v>2.5131999999999999</v>
      </c>
      <c r="C184">
        <f>2.8656</f>
        <v>2.8656000000000001</v>
      </c>
      <c r="D184">
        <f>1.7369</f>
        <v>1.7369000000000001</v>
      </c>
      <c r="E184">
        <f>3.3703</f>
        <v>3.3702999999999999</v>
      </c>
      <c r="F184">
        <f>3.8678</f>
        <v>3.8677999999999999</v>
      </c>
    </row>
    <row r="185" spans="1:6" x14ac:dyDescent="0.25">
      <c r="A185" s="2">
        <v>44536</v>
      </c>
      <c r="B185">
        <f>2.4474</f>
        <v>2.4474</v>
      </c>
      <c r="C185">
        <f>2.787</f>
        <v>2.7869999999999999</v>
      </c>
      <c r="D185">
        <f>1.6899</f>
        <v>1.6899</v>
      </c>
      <c r="E185">
        <f>3.2618</f>
        <v>3.2618</v>
      </c>
      <c r="F185">
        <f>3.86</f>
        <v>3.86</v>
      </c>
    </row>
    <row r="186" spans="1:6" x14ac:dyDescent="0.25">
      <c r="A186" s="2">
        <v>44533</v>
      </c>
      <c r="B186">
        <f>2.442</f>
        <v>2.4420000000000002</v>
      </c>
      <c r="C186">
        <f>2.7507</f>
        <v>2.7507000000000001</v>
      </c>
      <c r="D186">
        <f>1.7046</f>
        <v>1.7045999999999999</v>
      </c>
      <c r="E186">
        <f>3.2362</f>
        <v>3.2362000000000002</v>
      </c>
      <c r="F186">
        <f>3.8785</f>
        <v>3.8784999999999998</v>
      </c>
    </row>
    <row r="187" spans="1:6" x14ac:dyDescent="0.25">
      <c r="A187" s="2">
        <v>44532</v>
      </c>
      <c r="B187">
        <f>2.4729</f>
        <v>2.4729000000000001</v>
      </c>
      <c r="C187">
        <f>2.7563</f>
        <v>2.7563</v>
      </c>
      <c r="D187">
        <f>1.6821</f>
        <v>1.6820999999999999</v>
      </c>
      <c r="E187">
        <f>3.2024</f>
        <v>3.2023999999999999</v>
      </c>
      <c r="F187">
        <f>3.9046</f>
        <v>3.9045999999999998</v>
      </c>
    </row>
    <row r="188" spans="1:6" x14ac:dyDescent="0.25">
      <c r="A188" s="2">
        <v>44531</v>
      </c>
      <c r="B188">
        <f>2.4285</f>
        <v>2.4285000000000001</v>
      </c>
      <c r="C188">
        <f>2.7126</f>
        <v>2.7126000000000001</v>
      </c>
      <c r="D188">
        <f>1.7115</f>
        <v>1.7115</v>
      </c>
      <c r="E188">
        <f>3.1617</f>
        <v>3.1617000000000002</v>
      </c>
      <c r="F188">
        <f>3.923</f>
        <v>3.923</v>
      </c>
    </row>
    <row r="189" spans="1:6" x14ac:dyDescent="0.25">
      <c r="A189" s="2">
        <v>44530</v>
      </c>
      <c r="B189">
        <f>2.5131</f>
        <v>2.5131000000000001</v>
      </c>
      <c r="C189">
        <f>2.8086</f>
        <v>2.8086000000000002</v>
      </c>
      <c r="D189">
        <f>1.6985</f>
        <v>1.6984999999999999</v>
      </c>
      <c r="E189">
        <f>3.24</f>
        <v>3.24</v>
      </c>
      <c r="F189">
        <f>3.8782</f>
        <v>3.8782000000000001</v>
      </c>
    </row>
    <row r="190" spans="1:6" x14ac:dyDescent="0.25">
      <c r="A190" s="2">
        <v>44529</v>
      </c>
      <c r="B190">
        <f>2.5419</f>
        <v>2.5419</v>
      </c>
      <c r="C190">
        <f>2.9382</f>
        <v>2.9382000000000001</v>
      </c>
      <c r="D190">
        <f>1.6956</f>
        <v>1.6956</v>
      </c>
      <c r="E190">
        <f>3.3183</f>
        <v>3.3182999999999998</v>
      </c>
      <c r="F190">
        <f>3.8894</f>
        <v>3.8894000000000002</v>
      </c>
    </row>
    <row r="191" spans="1:6" x14ac:dyDescent="0.25">
      <c r="A191" s="2">
        <v>44526</v>
      </c>
      <c r="B191">
        <f>2.5548</f>
        <v>2.5548000000000002</v>
      </c>
      <c r="C191">
        <f>2.9538</f>
        <v>2.9538000000000002</v>
      </c>
      <c r="D191">
        <f>1.634</f>
        <v>1.6339999999999999</v>
      </c>
      <c r="E191">
        <f>3.315</f>
        <v>3.3149999999999999</v>
      </c>
      <c r="F191">
        <f>3.8699</f>
        <v>3.8698999999999999</v>
      </c>
    </row>
    <row r="192" spans="1:6" x14ac:dyDescent="0.25">
      <c r="A192" s="2">
        <v>44525</v>
      </c>
      <c r="B192">
        <f>2.6232</f>
        <v>2.6232000000000002</v>
      </c>
      <c r="C192">
        <f>3.0608</f>
        <v>3.0608</v>
      </c>
      <c r="D192">
        <f>1.7216</f>
        <v>1.7216</v>
      </c>
      <c r="E192">
        <f>3.4894</f>
        <v>3.4893999999999998</v>
      </c>
      <c r="F192">
        <f>3.9007</f>
        <v>3.9007000000000001</v>
      </c>
    </row>
    <row r="193" spans="1:6" x14ac:dyDescent="0.25">
      <c r="A193" s="2">
        <v>44524</v>
      </c>
      <c r="B193">
        <f>2.6232</f>
        <v>2.6232000000000002</v>
      </c>
      <c r="C193">
        <f>3.0608</f>
        <v>3.0608</v>
      </c>
      <c r="D193">
        <f>1.6802</f>
        <v>1.6801999999999999</v>
      </c>
      <c r="E193">
        <f>3.4875</f>
        <v>3.4874999999999998</v>
      </c>
      <c r="F193">
        <f>3.8922</f>
        <v>3.8921999999999999</v>
      </c>
    </row>
    <row r="194" spans="1:6" x14ac:dyDescent="0.25">
      <c r="A194" s="2">
        <v>44523</v>
      </c>
      <c r="B194">
        <f>2.6278</f>
        <v>2.6278000000000001</v>
      </c>
      <c r="C194">
        <f>3.0291</f>
        <v>3.0291000000000001</v>
      </c>
      <c r="D194">
        <f>1.6986</f>
        <v>1.6986000000000001</v>
      </c>
      <c r="E194">
        <f>3.368</f>
        <v>3.3679999999999999</v>
      </c>
      <c r="F194">
        <f>3.8779</f>
        <v>3.8778999999999999</v>
      </c>
    </row>
    <row r="195" spans="1:6" x14ac:dyDescent="0.25">
      <c r="A195" s="2">
        <v>44522</v>
      </c>
      <c r="B195">
        <f>2.6263</f>
        <v>2.6263000000000001</v>
      </c>
      <c r="C195">
        <f>3.0088</f>
        <v>3.0087999999999999</v>
      </c>
      <c r="D195">
        <f>1.7181</f>
        <v>1.7181</v>
      </c>
      <c r="E195">
        <f>3.3308</f>
        <v>3.3308</v>
      </c>
      <c r="F195">
        <f>3.8462</f>
        <v>3.8462000000000001</v>
      </c>
    </row>
    <row r="196" spans="1:6" x14ac:dyDescent="0.25">
      <c r="A196" s="2">
        <v>44519</v>
      </c>
      <c r="B196">
        <f>2.654</f>
        <v>2.6539999999999999</v>
      </c>
      <c r="C196">
        <f>3.036</f>
        <v>3.036</v>
      </c>
      <c r="D196">
        <f>1.7449</f>
        <v>1.7448999999999999</v>
      </c>
      <c r="E196">
        <f>3.3941</f>
        <v>3.3940999999999999</v>
      </c>
      <c r="F196">
        <f>3.8625</f>
        <v>3.8624999999999998</v>
      </c>
    </row>
    <row r="197" spans="1:6" x14ac:dyDescent="0.25">
      <c r="A197" s="2">
        <v>44518</v>
      </c>
      <c r="B197">
        <f>2.7172</f>
        <v>2.7172000000000001</v>
      </c>
      <c r="C197">
        <f>3.1379</f>
        <v>3.1379000000000001</v>
      </c>
      <c r="D197">
        <f>1.8193</f>
        <v>1.8192999999999999</v>
      </c>
      <c r="E197">
        <f>3.5604</f>
        <v>3.5604</v>
      </c>
      <c r="F197">
        <f>3.9297</f>
        <v>3.9297</v>
      </c>
    </row>
    <row r="198" spans="1:6" x14ac:dyDescent="0.25">
      <c r="A198" s="2">
        <v>44517</v>
      </c>
      <c r="B198">
        <f>2.7096</f>
        <v>2.7096</v>
      </c>
      <c r="C198">
        <f>3.1774</f>
        <v>3.1774</v>
      </c>
      <c r="D198">
        <f>1.8811</f>
        <v>1.8811</v>
      </c>
      <c r="E198">
        <f>3.5716</f>
        <v>3.5716000000000001</v>
      </c>
      <c r="F198">
        <f>3.8993</f>
        <v>3.8993000000000002</v>
      </c>
    </row>
    <row r="199" spans="1:6" x14ac:dyDescent="0.25">
      <c r="A199" s="2">
        <v>44516</v>
      </c>
      <c r="B199">
        <f>2.7419</f>
        <v>2.7418999999999998</v>
      </c>
      <c r="C199">
        <f>3.2071</f>
        <v>3.2071000000000001</v>
      </c>
      <c r="D199">
        <f>1.8697</f>
        <v>1.8696999999999999</v>
      </c>
      <c r="E199">
        <f>3.5051</f>
        <v>3.5051000000000001</v>
      </c>
      <c r="F199">
        <f>3.8626</f>
        <v>3.8626</v>
      </c>
    </row>
    <row r="200" spans="1:6" x14ac:dyDescent="0.25">
      <c r="A200" s="2">
        <v>44515</v>
      </c>
      <c r="B200">
        <f>2.752</f>
        <v>2.7519999999999998</v>
      </c>
      <c r="C200">
        <f>3.1921</f>
        <v>3.1920999999999999</v>
      </c>
      <c r="D200">
        <f>1.8479</f>
        <v>1.8479000000000001</v>
      </c>
      <c r="E200">
        <f>3.4702</f>
        <v>3.4702000000000002</v>
      </c>
      <c r="F200">
        <f>3.8903</f>
        <v>3.8902999999999999</v>
      </c>
    </row>
    <row r="201" spans="1:6" x14ac:dyDescent="0.25">
      <c r="A201" s="2">
        <v>44512</v>
      </c>
      <c r="B201">
        <f>2.718</f>
        <v>2.718</v>
      </c>
      <c r="C201">
        <f>3.1191</f>
        <v>3.1191</v>
      </c>
      <c r="D201">
        <f>1.8234</f>
        <v>1.8233999999999999</v>
      </c>
      <c r="E201">
        <f>3.3667</f>
        <v>3.3666999999999998</v>
      </c>
      <c r="F201">
        <f>3.878</f>
        <v>3.8780000000000001</v>
      </c>
    </row>
    <row r="202" spans="1:6" x14ac:dyDescent="0.25">
      <c r="A202" s="2">
        <v>44511</v>
      </c>
      <c r="B202">
        <f>2.7066</f>
        <v>2.7065999999999999</v>
      </c>
      <c r="C202">
        <f>3.0993</f>
        <v>3.0992999999999999</v>
      </c>
      <c r="D202">
        <f>1.8359</f>
        <v>1.8359000000000001</v>
      </c>
      <c r="E202">
        <f>3.2796</f>
        <v>3.2795999999999998</v>
      </c>
      <c r="F202">
        <f>3.8595</f>
        <v>3.8595000000000002</v>
      </c>
    </row>
    <row r="203" spans="1:6" x14ac:dyDescent="0.25">
      <c r="A203" s="2">
        <v>44510</v>
      </c>
      <c r="B203">
        <f>2.7066</f>
        <v>2.7065999999999999</v>
      </c>
      <c r="C203">
        <f>3.0993</f>
        <v>3.0992999999999999</v>
      </c>
      <c r="D203">
        <f>1.8192</f>
        <v>1.8191999999999999</v>
      </c>
      <c r="E203">
        <f>3.2796</f>
        <v>3.2795999999999998</v>
      </c>
      <c r="F203">
        <f>3.8902</f>
        <v>3.8902000000000001</v>
      </c>
    </row>
    <row r="204" spans="1:6" x14ac:dyDescent="0.25">
      <c r="A204" s="2">
        <v>44509</v>
      </c>
      <c r="B204">
        <f>2.6428</f>
        <v>2.6427999999999998</v>
      </c>
      <c r="C204">
        <f>2.9886</f>
        <v>2.9885999999999999</v>
      </c>
      <c r="D204">
        <f>1.7956</f>
        <v>1.7956000000000001</v>
      </c>
      <c r="E204">
        <f>3.144</f>
        <v>3.1440000000000001</v>
      </c>
      <c r="F204">
        <f>3.9077</f>
        <v>3.9077000000000002</v>
      </c>
    </row>
    <row r="205" spans="1:6" x14ac:dyDescent="0.25">
      <c r="A205" s="2">
        <v>44508</v>
      </c>
      <c r="B205">
        <f>2.6245</f>
        <v>2.6244999999999998</v>
      </c>
      <c r="C205">
        <f>2.9632</f>
        <v>2.9632000000000001</v>
      </c>
      <c r="D205">
        <f>1.8184</f>
        <v>1.8184</v>
      </c>
      <c r="E205">
        <f>3.1033</f>
        <v>3.1032999999999999</v>
      </c>
      <c r="F205">
        <f>3.8674</f>
        <v>3.8673999999999999</v>
      </c>
    </row>
    <row r="206" spans="1:6" x14ac:dyDescent="0.25">
      <c r="A206" s="2">
        <v>44505</v>
      </c>
      <c r="B206">
        <f>2.5539</f>
        <v>2.5539000000000001</v>
      </c>
      <c r="C206">
        <f>2.8923</f>
        <v>2.8923000000000001</v>
      </c>
      <c r="D206">
        <f>1.7481</f>
        <v>1.7481</v>
      </c>
      <c r="E206">
        <f>3.049</f>
        <v>3.0489999999999999</v>
      </c>
      <c r="F206">
        <f>3.8412</f>
        <v>3.8412000000000002</v>
      </c>
    </row>
    <row r="207" spans="1:6" x14ac:dyDescent="0.25">
      <c r="A207" s="2">
        <v>44504</v>
      </c>
      <c r="B207">
        <f>2.5717</f>
        <v>2.5716999999999999</v>
      </c>
      <c r="C207">
        <f>2.9026</f>
        <v>2.9026000000000001</v>
      </c>
      <c r="D207">
        <f>1.7036</f>
        <v>1.7036</v>
      </c>
      <c r="E207">
        <f>3.048</f>
        <v>3.048</v>
      </c>
      <c r="F207">
        <f>3.8516</f>
        <v>3.8515999999999999</v>
      </c>
    </row>
    <row r="208" spans="1:6" x14ac:dyDescent="0.25">
      <c r="A208" s="2">
        <v>44503</v>
      </c>
      <c r="B208">
        <f>2.5621</f>
        <v>2.5621</v>
      </c>
      <c r="C208">
        <f>2.9019</f>
        <v>2.9018999999999999</v>
      </c>
      <c r="D208">
        <f>1.6647</f>
        <v>1.6647000000000001</v>
      </c>
      <c r="E208">
        <f>3.0213</f>
        <v>3.0213000000000001</v>
      </c>
      <c r="F208">
        <f>3.8254</f>
        <v>3.8254000000000001</v>
      </c>
    </row>
    <row r="209" spans="1:6" x14ac:dyDescent="0.25">
      <c r="A209" s="2">
        <v>44502</v>
      </c>
      <c r="B209">
        <f>2.5238</f>
        <v>2.5238</v>
      </c>
      <c r="C209">
        <f>2.8662</f>
        <v>2.8662000000000001</v>
      </c>
      <c r="D209">
        <f>1.7106</f>
        <v>1.7105999999999999</v>
      </c>
      <c r="E209">
        <f>3.012</f>
        <v>3.012</v>
      </c>
      <c r="F209">
        <f>3.8606</f>
        <v>3.8605999999999998</v>
      </c>
    </row>
    <row r="210" spans="1:6" x14ac:dyDescent="0.25">
      <c r="A210" s="2">
        <v>44501</v>
      </c>
      <c r="B210">
        <f>2.512</f>
        <v>2.512</v>
      </c>
      <c r="C210">
        <f>2.8684</f>
        <v>2.8683999999999998</v>
      </c>
      <c r="D210">
        <f>1.7629</f>
        <v>1.7628999999999999</v>
      </c>
      <c r="E210">
        <f>3.0246</f>
        <v>3.0246</v>
      </c>
      <c r="F210">
        <f>3.8208</f>
        <v>3.8208000000000002</v>
      </c>
    </row>
    <row r="211" spans="1:6" x14ac:dyDescent="0.25">
      <c r="A211" s="2">
        <v>44498</v>
      </c>
      <c r="B211">
        <f>2.587</f>
        <v>2.5870000000000002</v>
      </c>
      <c r="C211">
        <f>2.9311</f>
        <v>2.9310999999999998</v>
      </c>
      <c r="D211">
        <f>1.743</f>
        <v>1.7430000000000001</v>
      </c>
      <c r="E211">
        <f>3.0709</f>
        <v>3.0709</v>
      </c>
      <c r="F211">
        <f>3.7522</f>
        <v>3.7522000000000002</v>
      </c>
    </row>
    <row r="212" spans="1:6" x14ac:dyDescent="0.25">
      <c r="A212" s="2">
        <v>44497</v>
      </c>
      <c r="B212">
        <f>2.5934</f>
        <v>2.5933999999999999</v>
      </c>
      <c r="C212">
        <f>2.9224</f>
        <v>2.9224000000000001</v>
      </c>
      <c r="D212">
        <f>1.8577</f>
        <v>1.8576999999999999</v>
      </c>
      <c r="E212">
        <f>3.0658</f>
        <v>3.0657999999999999</v>
      </c>
      <c r="F212">
        <f>3.8304</f>
        <v>3.8304</v>
      </c>
    </row>
    <row r="213" spans="1:6" x14ac:dyDescent="0.25">
      <c r="A213" s="2">
        <v>44496</v>
      </c>
      <c r="B213">
        <f>2.6771</f>
        <v>2.6770999999999998</v>
      </c>
      <c r="C213">
        <f>2.9823</f>
        <v>2.9823</v>
      </c>
      <c r="D213">
        <f>1.9256</f>
        <v>1.9256</v>
      </c>
      <c r="E213">
        <f>3.173</f>
        <v>3.173</v>
      </c>
      <c r="F213">
        <f>3.8383</f>
        <v>3.8382999999999998</v>
      </c>
    </row>
    <row r="214" spans="1:6" x14ac:dyDescent="0.25">
      <c r="A214" s="2">
        <v>44495</v>
      </c>
      <c r="B214">
        <f>2.6916</f>
        <v>2.6916000000000002</v>
      </c>
      <c r="C214">
        <f>2.9835</f>
        <v>2.9834999999999998</v>
      </c>
      <c r="D214">
        <f>1.955</f>
        <v>1.9550000000000001</v>
      </c>
      <c r="E214">
        <f>3.1602</f>
        <v>3.1602000000000001</v>
      </c>
      <c r="F214">
        <f>3.8996</f>
        <v>3.8996</v>
      </c>
    </row>
    <row r="215" spans="1:6" x14ac:dyDescent="0.25">
      <c r="A215" s="2">
        <v>44494</v>
      </c>
      <c r="B215">
        <f>2.6661</f>
        <v>2.6661000000000001</v>
      </c>
      <c r="C215">
        <f>2.9474</f>
        <v>2.9474</v>
      </c>
      <c r="D215">
        <f>1.9255</f>
        <v>1.9255</v>
      </c>
      <c r="E215">
        <f>3.116</f>
        <v>3.1160000000000001</v>
      </c>
      <c r="F215">
        <f>3.9526</f>
        <v>3.9525999999999999</v>
      </c>
    </row>
    <row r="216" spans="1:6" x14ac:dyDescent="0.25">
      <c r="A216" s="2">
        <v>44491</v>
      </c>
      <c r="B216">
        <f>2.6394</f>
        <v>2.6394000000000002</v>
      </c>
      <c r="C216">
        <f>2.9026</f>
        <v>2.9026000000000001</v>
      </c>
      <c r="D216">
        <f>1.9061</f>
        <v>1.9060999999999999</v>
      </c>
      <c r="E216">
        <f>3.0665</f>
        <v>3.0665</v>
      </c>
      <c r="F216">
        <f>3.961</f>
        <v>3.9609999999999999</v>
      </c>
    </row>
    <row r="217" spans="1:6" x14ac:dyDescent="0.25">
      <c r="A217" s="2">
        <v>44490</v>
      </c>
      <c r="B217">
        <f>2.6468</f>
        <v>2.6467999999999998</v>
      </c>
      <c r="C217">
        <f>2.9128</f>
        <v>2.9127999999999998</v>
      </c>
      <c r="D217">
        <f>1.87</f>
        <v>1.87</v>
      </c>
      <c r="E217">
        <f>3.1336</f>
        <v>3.1335999999999999</v>
      </c>
      <c r="F217">
        <f>3.9253</f>
        <v>3.9253</v>
      </c>
    </row>
    <row r="218" spans="1:6" x14ac:dyDescent="0.25">
      <c r="A218" s="2">
        <v>44489</v>
      </c>
      <c r="B218">
        <f>2.5998</f>
        <v>2.5998000000000001</v>
      </c>
      <c r="C218">
        <f>2.8127</f>
        <v>2.8127</v>
      </c>
      <c r="D218">
        <f>1.8161</f>
        <v>1.8161</v>
      </c>
      <c r="E218">
        <f>3.028</f>
        <v>3.028</v>
      </c>
      <c r="F218">
        <f>3.8363</f>
        <v>3.8363</v>
      </c>
    </row>
    <row r="219" spans="1:6" x14ac:dyDescent="0.25">
      <c r="A219" s="2">
        <v>44488</v>
      </c>
      <c r="B219">
        <f>2.5541</f>
        <v>2.5541</v>
      </c>
      <c r="C219">
        <f>2.7458</f>
        <v>2.7458</v>
      </c>
      <c r="D219">
        <f>1.8289</f>
        <v>1.8289</v>
      </c>
      <c r="E219">
        <f>2.9304</f>
        <v>2.9304000000000001</v>
      </c>
      <c r="F219">
        <f>3.7889</f>
        <v>3.7888999999999999</v>
      </c>
    </row>
    <row r="220" spans="1:6" x14ac:dyDescent="0.25">
      <c r="A220" s="2">
        <v>44487</v>
      </c>
      <c r="B220">
        <f>2.5493</f>
        <v>2.5493000000000001</v>
      </c>
      <c r="C220">
        <f>2.7366</f>
        <v>2.7366000000000001</v>
      </c>
      <c r="D220">
        <f>1.8467</f>
        <v>1.8467</v>
      </c>
      <c r="E220">
        <f>2.9161</f>
        <v>2.9161000000000001</v>
      </c>
      <c r="F220">
        <f>3.7607</f>
        <v>3.7606999999999999</v>
      </c>
    </row>
    <row r="221" spans="1:6" x14ac:dyDescent="0.25">
      <c r="A221" s="2">
        <v>44484</v>
      </c>
      <c r="B221">
        <f>2.5646</f>
        <v>2.5646</v>
      </c>
      <c r="C221">
        <f>2.7537</f>
        <v>2.7536999999999998</v>
      </c>
      <c r="D221">
        <f>1.8109</f>
        <v>1.8109</v>
      </c>
      <c r="E221">
        <f>2.9409</f>
        <v>2.9409000000000001</v>
      </c>
      <c r="F221">
        <f>3.8091</f>
        <v>3.8090999999999999</v>
      </c>
    </row>
    <row r="222" spans="1:6" x14ac:dyDescent="0.25">
      <c r="A222" s="2">
        <v>44483</v>
      </c>
      <c r="B222">
        <f>2.5357</f>
        <v>2.5356999999999998</v>
      </c>
      <c r="C222">
        <f>2.7187</f>
        <v>2.7187000000000001</v>
      </c>
      <c r="D222">
        <f>1.7597</f>
        <v>1.7597</v>
      </c>
      <c r="E222">
        <f>2.9158</f>
        <v>2.9157999999999999</v>
      </c>
      <c r="F222">
        <f>3.7901</f>
        <v>3.7900999999999998</v>
      </c>
    </row>
    <row r="223" spans="1:6" x14ac:dyDescent="0.25">
      <c r="A223" s="2">
        <v>44482</v>
      </c>
      <c r="B223">
        <f>2.5254</f>
        <v>2.5253999999999999</v>
      </c>
      <c r="C223">
        <f>2.7092</f>
        <v>2.7092000000000001</v>
      </c>
      <c r="D223">
        <f>1.7529</f>
        <v>1.7528999999999999</v>
      </c>
      <c r="E223">
        <f>2.847</f>
        <v>2.847</v>
      </c>
      <c r="F223">
        <f>3.7323</f>
        <v>3.7323</v>
      </c>
    </row>
    <row r="224" spans="1:6" x14ac:dyDescent="0.25">
      <c r="A224" s="2">
        <v>44481</v>
      </c>
      <c r="B224">
        <f>2.4924</f>
        <v>2.4923999999999999</v>
      </c>
      <c r="C224">
        <f>2.6654</f>
        <v>2.6654</v>
      </c>
      <c r="D224">
        <f>1.774</f>
        <v>1.774</v>
      </c>
      <c r="E224">
        <f>2.7532</f>
        <v>2.7532000000000001</v>
      </c>
      <c r="F224">
        <f>3.755</f>
        <v>3.7549999999999999</v>
      </c>
    </row>
    <row r="225" spans="1:6" x14ac:dyDescent="0.25">
      <c r="A225" s="2">
        <v>44480</v>
      </c>
      <c r="B225">
        <f>2.5115</f>
        <v>2.5114999999999998</v>
      </c>
      <c r="C225">
        <f>2.6732</f>
        <v>2.6732</v>
      </c>
      <c r="D225">
        <f>1.7552</f>
        <v>1.7552000000000001</v>
      </c>
      <c r="E225">
        <f>2.7519</f>
        <v>2.7519</v>
      </c>
      <c r="F225">
        <f>3.7245</f>
        <v>3.7244999999999999</v>
      </c>
    </row>
    <row r="226" spans="1:6" x14ac:dyDescent="0.25">
      <c r="A226" s="2">
        <v>44477</v>
      </c>
      <c r="B226">
        <f>2.5108</f>
        <v>2.5108000000000001</v>
      </c>
      <c r="C226">
        <f>2.6732</f>
        <v>2.6732</v>
      </c>
      <c r="D226">
        <f>1.7383</f>
        <v>1.7383</v>
      </c>
      <c r="E226">
        <f>2.7519</f>
        <v>2.7519</v>
      </c>
      <c r="F226">
        <f>3.7438</f>
        <v>3.7437999999999998</v>
      </c>
    </row>
    <row r="227" spans="1:6" x14ac:dyDescent="0.25">
      <c r="A227" s="2">
        <v>44476</v>
      </c>
      <c r="B227">
        <f>2.4757</f>
        <v>2.4756999999999998</v>
      </c>
      <c r="C227">
        <f>2.651</f>
        <v>2.6509999999999998</v>
      </c>
      <c r="D227">
        <f>1.7346</f>
        <v>1.7345999999999999</v>
      </c>
      <c r="E227">
        <f>2.7426</f>
        <v>2.7425999999999999</v>
      </c>
      <c r="F227">
        <f>3.741</f>
        <v>3.7410000000000001</v>
      </c>
    </row>
    <row r="228" spans="1:6" x14ac:dyDescent="0.25">
      <c r="A228" s="2">
        <v>44475</v>
      </c>
      <c r="B228">
        <f>2.4455</f>
        <v>2.4455</v>
      </c>
      <c r="C228">
        <f>2.6118</f>
        <v>2.6118000000000001</v>
      </c>
      <c r="D228">
        <f>1.75</f>
        <v>1.75</v>
      </c>
      <c r="E228">
        <f>2.678</f>
        <v>2.6779999999999999</v>
      </c>
      <c r="F228">
        <f>3.7442</f>
        <v>3.7442000000000002</v>
      </c>
    </row>
    <row r="229" spans="1:6" x14ac:dyDescent="0.25">
      <c r="A229" s="2">
        <v>44474</v>
      </c>
      <c r="B229">
        <f>2.4595</f>
        <v>2.4594999999999998</v>
      </c>
      <c r="C229">
        <f>2.6309</f>
        <v>2.6309</v>
      </c>
      <c r="D229">
        <f>1.7957</f>
        <v>1.7957000000000001</v>
      </c>
      <c r="E229">
        <f>2.7378</f>
        <v>2.7378</v>
      </c>
      <c r="F229">
        <f>3.7695</f>
        <v>3.7694999999999999</v>
      </c>
    </row>
    <row r="230" spans="1:6" x14ac:dyDescent="0.25">
      <c r="A230" s="2">
        <v>44473</v>
      </c>
      <c r="B230">
        <f>2.3917</f>
        <v>2.3917000000000002</v>
      </c>
      <c r="C230">
        <f>2.5567</f>
        <v>2.5567000000000002</v>
      </c>
      <c r="D230">
        <f>1.7201</f>
        <v>1.7201</v>
      </c>
      <c r="E230">
        <f>2.6485</f>
        <v>2.6484999999999999</v>
      </c>
      <c r="F230">
        <f>3.6794</f>
        <v>3.6793999999999998</v>
      </c>
    </row>
    <row r="231" spans="1:6" x14ac:dyDescent="0.25">
      <c r="A231" s="2">
        <v>44470</v>
      </c>
      <c r="B231">
        <f>2.3792</f>
        <v>2.3792</v>
      </c>
      <c r="C231">
        <f>2.5376</f>
        <v>2.5375999999999999</v>
      </c>
      <c r="D231">
        <f>1.6996</f>
        <v>1.6996</v>
      </c>
      <c r="E231">
        <f>2.5566</f>
        <v>2.5566</v>
      </c>
      <c r="F231">
        <f>3.6218</f>
        <v>3.6217999999999999</v>
      </c>
    </row>
    <row r="232" spans="1:6" x14ac:dyDescent="0.25">
      <c r="A232" s="2">
        <v>44469</v>
      </c>
      <c r="B232">
        <f>2.3762</f>
        <v>2.3761999999999999</v>
      </c>
      <c r="C232">
        <f>2.5329</f>
        <v>2.5329000000000002</v>
      </c>
      <c r="D232">
        <f>1.679</f>
        <v>1.679</v>
      </c>
      <c r="E232">
        <f>2.5287</f>
        <v>2.5287000000000002</v>
      </c>
      <c r="F232">
        <f>3.5993</f>
        <v>3.5992999999999999</v>
      </c>
    </row>
    <row r="233" spans="1:6" x14ac:dyDescent="0.25">
      <c r="A233" s="2">
        <v>44468</v>
      </c>
      <c r="B233">
        <f>2.3753</f>
        <v>2.3753000000000002</v>
      </c>
      <c r="C233">
        <f>2.5525</f>
        <v>2.5525000000000002</v>
      </c>
      <c r="D233">
        <f>1.6725</f>
        <v>1.6725000000000001</v>
      </c>
      <c r="E233">
        <f>2.5458</f>
        <v>2.5457999999999998</v>
      </c>
      <c r="F233">
        <f>3.5716</f>
        <v>3.5716000000000001</v>
      </c>
    </row>
    <row r="234" spans="1:6" x14ac:dyDescent="0.25">
      <c r="A234" s="2">
        <v>44467</v>
      </c>
      <c r="B234">
        <f>2.3947</f>
        <v>2.3946999999999998</v>
      </c>
      <c r="C234">
        <f>2.5713</f>
        <v>2.5712999999999999</v>
      </c>
      <c r="D234">
        <f>1.69</f>
        <v>1.69</v>
      </c>
      <c r="E234">
        <f>2.534</f>
        <v>2.5339999999999998</v>
      </c>
      <c r="F234">
        <f>3.6536</f>
        <v>3.6536</v>
      </c>
    </row>
    <row r="235" spans="1:6" x14ac:dyDescent="0.25">
      <c r="A235" s="2">
        <v>44466</v>
      </c>
      <c r="B235">
        <f>2.3719</f>
        <v>2.3719000000000001</v>
      </c>
      <c r="C235">
        <f>2.5541</f>
        <v>2.5541</v>
      </c>
      <c r="D235">
        <f>1.653</f>
        <v>1.653</v>
      </c>
      <c r="E235">
        <f>2.5184</f>
        <v>2.5184000000000002</v>
      </c>
      <c r="F235">
        <f>3.7322</f>
        <v>3.7322000000000002</v>
      </c>
    </row>
    <row r="236" spans="1:6" x14ac:dyDescent="0.25">
      <c r="A236" s="2">
        <v>44463</v>
      </c>
      <c r="B236">
        <f>2.3345</f>
        <v>2.3344999999999998</v>
      </c>
      <c r="C236">
        <f>2.5037</f>
        <v>2.5036999999999998</v>
      </c>
      <c r="D236">
        <f>1.6065</f>
        <v>1.6065</v>
      </c>
      <c r="E236">
        <f>2.4758</f>
        <v>2.4758</v>
      </c>
      <c r="F236">
        <f>3.6449</f>
        <v>3.6448999999999998</v>
      </c>
    </row>
    <row r="237" spans="1:6" x14ac:dyDescent="0.25">
      <c r="A237" s="2">
        <v>44462</v>
      </c>
      <c r="B237">
        <f>2.3265</f>
        <v>2.3264999999999998</v>
      </c>
      <c r="C237">
        <f>2.4972</f>
        <v>2.4971999999999999</v>
      </c>
      <c r="D237">
        <f>1.6198</f>
        <v>1.6197999999999999</v>
      </c>
      <c r="E237">
        <f>2.4606</f>
        <v>2.4605999999999999</v>
      </c>
      <c r="F237">
        <f>3.6428</f>
        <v>3.6427999999999998</v>
      </c>
    </row>
    <row r="238" spans="1:6" x14ac:dyDescent="0.25">
      <c r="A238" s="2">
        <v>44461</v>
      </c>
      <c r="B238">
        <f>2.2773</f>
        <v>2.2772999999999999</v>
      </c>
      <c r="C238">
        <f>2.4368</f>
        <v>2.4367999999999999</v>
      </c>
      <c r="D238">
        <f>1.5921</f>
        <v>1.5921000000000001</v>
      </c>
      <c r="E238">
        <f>2.4452</f>
        <v>2.4451999999999998</v>
      </c>
      <c r="F238">
        <f>3.6725</f>
        <v>3.6724999999999999</v>
      </c>
    </row>
    <row r="239" spans="1:6" x14ac:dyDescent="0.25">
      <c r="A239" s="2">
        <v>44460</v>
      </c>
      <c r="B239">
        <f>2.3</f>
        <v>2.2999999999999998</v>
      </c>
      <c r="C239">
        <f>2.472</f>
        <v>2.472</v>
      </c>
      <c r="D239">
        <f>1.5889</f>
        <v>1.5889</v>
      </c>
      <c r="E239">
        <f>2.4903</f>
        <v>2.4903</v>
      </c>
      <c r="F239">
        <f>3.6596</f>
        <v>3.6596000000000002</v>
      </c>
    </row>
    <row r="240" spans="1:6" x14ac:dyDescent="0.25">
      <c r="A240" s="2">
        <v>44459</v>
      </c>
      <c r="B240">
        <f>2.3064</f>
        <v>2.3064</v>
      </c>
      <c r="C240">
        <f>2.4924</f>
        <v>2.4923999999999999</v>
      </c>
      <c r="D240">
        <f>1.5859</f>
        <v>1.5859000000000001</v>
      </c>
      <c r="E240">
        <f>2.5113</f>
        <v>2.5112999999999999</v>
      </c>
      <c r="F240">
        <f>3.6612</f>
        <v>3.6612</v>
      </c>
    </row>
    <row r="241" spans="1:6" x14ac:dyDescent="0.25">
      <c r="A241" s="2">
        <v>44456</v>
      </c>
      <c r="B241">
        <f>2.3475</f>
        <v>2.3475000000000001</v>
      </c>
      <c r="C241">
        <f>2.5424</f>
        <v>2.5424000000000002</v>
      </c>
      <c r="D241">
        <f>1.6199</f>
        <v>1.6198999999999999</v>
      </c>
      <c r="E241">
        <f>2.5715</f>
        <v>2.5714999999999999</v>
      </c>
      <c r="F241">
        <f>3.6736</f>
        <v>3.6736</v>
      </c>
    </row>
    <row r="242" spans="1:6" x14ac:dyDescent="0.25">
      <c r="A242" s="2">
        <v>44455</v>
      </c>
      <c r="B242">
        <f>2.3607</f>
        <v>2.3607</v>
      </c>
      <c r="C242">
        <f>2.5689</f>
        <v>2.5689000000000002</v>
      </c>
      <c r="D242">
        <f>1.6116</f>
        <v>1.6115999999999999</v>
      </c>
      <c r="E242">
        <f>2.6217</f>
        <v>2.6217000000000001</v>
      </c>
      <c r="F242">
        <f>3.6833</f>
        <v>3.6833</v>
      </c>
    </row>
    <row r="243" spans="1:6" x14ac:dyDescent="0.25">
      <c r="A243" s="2">
        <v>44454</v>
      </c>
      <c r="B243">
        <f>2.3501</f>
        <v>2.3500999999999999</v>
      </c>
      <c r="C243">
        <f>2.555</f>
        <v>2.5550000000000002</v>
      </c>
      <c r="D243">
        <f>1.6118</f>
        <v>1.6117999999999999</v>
      </c>
      <c r="E243">
        <f>2.6255</f>
        <v>2.6255000000000002</v>
      </c>
      <c r="F243">
        <f>3.7363</f>
        <v>3.7363</v>
      </c>
    </row>
    <row r="244" spans="1:6" x14ac:dyDescent="0.25">
      <c r="A244" s="2">
        <v>44453</v>
      </c>
      <c r="B244">
        <f>2.335</f>
        <v>2.335</v>
      </c>
      <c r="C244">
        <f>2.5225</f>
        <v>2.5225</v>
      </c>
      <c r="D244">
        <f>1.5961</f>
        <v>1.5961000000000001</v>
      </c>
      <c r="E244">
        <f>2.5805</f>
        <v>2.5804999999999998</v>
      </c>
      <c r="F244">
        <f>3.6716</f>
        <v>3.6716000000000002</v>
      </c>
    </row>
    <row r="245" spans="1:6" x14ac:dyDescent="0.25">
      <c r="A245" s="2">
        <v>44452</v>
      </c>
      <c r="B245">
        <f>2.3712</f>
        <v>2.3712</v>
      </c>
      <c r="C245">
        <f>2.566</f>
        <v>2.5659999999999998</v>
      </c>
      <c r="D245">
        <f>1.642</f>
        <v>1.6419999999999999</v>
      </c>
      <c r="E245">
        <f>2.6492</f>
        <v>2.6492</v>
      </c>
      <c r="F245">
        <f>3.6843</f>
        <v>3.6842999999999999</v>
      </c>
    </row>
    <row r="246" spans="1:6" x14ac:dyDescent="0.25">
      <c r="A246" s="2">
        <v>44449</v>
      </c>
      <c r="B246">
        <f>2.3951</f>
        <v>2.3950999999999998</v>
      </c>
      <c r="C246">
        <f>2.5858</f>
        <v>2.5857999999999999</v>
      </c>
      <c r="D246">
        <f>1.6229</f>
        <v>1.6229</v>
      </c>
      <c r="E246">
        <f>2.6509</f>
        <v>2.6509</v>
      </c>
      <c r="F246">
        <f>3.6466</f>
        <v>3.6465999999999998</v>
      </c>
    </row>
    <row r="247" spans="1:6" x14ac:dyDescent="0.25">
      <c r="A247" s="2">
        <v>44448</v>
      </c>
      <c r="B247">
        <f>2.3895</f>
        <v>2.3895</v>
      </c>
      <c r="C247">
        <f>2.5906</f>
        <v>2.5905999999999998</v>
      </c>
      <c r="D247">
        <f>1.5895</f>
        <v>1.5894999999999999</v>
      </c>
      <c r="E247">
        <f>2.6631</f>
        <v>2.6631</v>
      </c>
      <c r="F247">
        <f>3.638</f>
        <v>3.6379999999999999</v>
      </c>
    </row>
    <row r="248" spans="1:6" x14ac:dyDescent="0.25">
      <c r="A248" s="2">
        <v>44447</v>
      </c>
      <c r="B248">
        <f>2.3803</f>
        <v>2.3803000000000001</v>
      </c>
      <c r="C248">
        <f>2.5707</f>
        <v>2.5707</v>
      </c>
      <c r="D248">
        <f>1.5854</f>
        <v>1.5853999999999999</v>
      </c>
      <c r="E248">
        <f>2.6432</f>
        <v>2.6432000000000002</v>
      </c>
      <c r="F248">
        <f>3.6586</f>
        <v>3.6585999999999999</v>
      </c>
    </row>
    <row r="249" spans="1:6" x14ac:dyDescent="0.25">
      <c r="A249" s="2">
        <v>44446</v>
      </c>
      <c r="B249">
        <f>2.3668</f>
        <v>2.3668</v>
      </c>
      <c r="C249">
        <f>2.5475</f>
        <v>2.5474999999999999</v>
      </c>
      <c r="D249">
        <f>1.5735</f>
        <v>1.5734999999999999</v>
      </c>
      <c r="E249">
        <f>2.6095</f>
        <v>2.6095000000000002</v>
      </c>
      <c r="F249">
        <f>3.6498</f>
        <v>3.6497999999999999</v>
      </c>
    </row>
    <row r="250" spans="1:6" x14ac:dyDescent="0.25">
      <c r="A250" s="2">
        <v>44445</v>
      </c>
      <c r="B250">
        <f>2.3428</f>
        <v>2.3428</v>
      </c>
      <c r="C250">
        <f>2.5228</f>
        <v>2.5228000000000002</v>
      </c>
      <c r="D250">
        <f>1.5666</f>
        <v>1.5666</v>
      </c>
      <c r="E250">
        <f>2.6109</f>
        <v>2.6109</v>
      </c>
      <c r="F250">
        <f>3.6159</f>
        <v>3.6158999999999999</v>
      </c>
    </row>
    <row r="251" spans="1:6" x14ac:dyDescent="0.25">
      <c r="A251" s="2">
        <v>44442</v>
      </c>
      <c r="B251">
        <f>2.3424</f>
        <v>2.3424</v>
      </c>
      <c r="C251">
        <f>2.5228</f>
        <v>2.5228000000000002</v>
      </c>
      <c r="D251">
        <f>1.5155</f>
        <v>1.5155000000000001</v>
      </c>
      <c r="E251">
        <f>2.6109</f>
        <v>2.6109</v>
      </c>
      <c r="F251">
        <f>3.6155</f>
        <v>3.6154999999999999</v>
      </c>
    </row>
    <row r="252" spans="1:6" x14ac:dyDescent="0.25">
      <c r="A252" s="2">
        <v>44441</v>
      </c>
      <c r="B252">
        <f>2.3334</f>
        <v>2.3334000000000001</v>
      </c>
      <c r="C252">
        <f>2.5152</f>
        <v>2.5152000000000001</v>
      </c>
      <c r="D252">
        <f>1.4825</f>
        <v>1.4824999999999999</v>
      </c>
      <c r="E252">
        <f>2.6171</f>
        <v>2.6171000000000002</v>
      </c>
      <c r="F252">
        <f>3.6104</f>
        <v>3.6103999999999998</v>
      </c>
    </row>
    <row r="253" spans="1:6" x14ac:dyDescent="0.25">
      <c r="A253" s="2">
        <v>44440</v>
      </c>
      <c r="B253">
        <f>2.3411</f>
        <v>2.3411</v>
      </c>
      <c r="C253">
        <f>2.5164</f>
        <v>2.5164</v>
      </c>
      <c r="D253">
        <f>1.458</f>
        <v>1.458</v>
      </c>
      <c r="E253">
        <f>2.5724</f>
        <v>2.5724</v>
      </c>
      <c r="F253">
        <f>3.6007</f>
        <v>3.6006999999999998</v>
      </c>
    </row>
    <row r="254" spans="1:6" x14ac:dyDescent="0.25">
      <c r="A254" s="2">
        <v>44439</v>
      </c>
      <c r="B254">
        <f>2.3383</f>
        <v>2.3382999999999998</v>
      </c>
      <c r="C254">
        <f>2.507</f>
        <v>2.5070000000000001</v>
      </c>
      <c r="D254">
        <f>1.464</f>
        <v>1.464</v>
      </c>
      <c r="E254">
        <f>2.5379</f>
        <v>2.5379</v>
      </c>
      <c r="F254">
        <f>3.5956</f>
        <v>3.5956000000000001</v>
      </c>
    </row>
    <row r="255" spans="1:6" x14ac:dyDescent="0.25">
      <c r="A255" s="2">
        <v>44438</v>
      </c>
      <c r="B255">
        <f>2.3684</f>
        <v>2.3683999999999998</v>
      </c>
      <c r="C255">
        <f>2.5503</f>
        <v>2.5503</v>
      </c>
      <c r="D255">
        <f>1.4585</f>
        <v>1.4584999999999999</v>
      </c>
      <c r="E255">
        <f>2.6072</f>
        <v>2.6072000000000002</v>
      </c>
      <c r="F255" t="e">
        <f>NA()</f>
        <v>#N/A</v>
      </c>
    </row>
    <row r="256" spans="1:6" x14ac:dyDescent="0.25">
      <c r="A256" s="2">
        <v>44435</v>
      </c>
      <c r="B256">
        <f>2.3888</f>
        <v>2.3887999999999998</v>
      </c>
      <c r="C256">
        <f>2.5707</f>
        <v>2.5707</v>
      </c>
      <c r="D256">
        <f>1.4509</f>
        <v>1.4509000000000001</v>
      </c>
      <c r="E256">
        <f>2.612</f>
        <v>2.6120000000000001</v>
      </c>
      <c r="F256">
        <f>3.614</f>
        <v>3.6139999999999999</v>
      </c>
    </row>
    <row r="257" spans="1:6" x14ac:dyDescent="0.25">
      <c r="A257" s="2">
        <v>44434</v>
      </c>
      <c r="B257">
        <f>2.3478</f>
        <v>2.3477999999999999</v>
      </c>
      <c r="C257">
        <f>2.5305</f>
        <v>2.5305</v>
      </c>
      <c r="D257">
        <f>1.4442</f>
        <v>1.4441999999999999</v>
      </c>
      <c r="E257">
        <f>2.5317</f>
        <v>2.5316999999999998</v>
      </c>
      <c r="F257">
        <f>3.621</f>
        <v>3.621</v>
      </c>
    </row>
    <row r="258" spans="1:6" x14ac:dyDescent="0.25">
      <c r="A258" s="2">
        <v>44433</v>
      </c>
      <c r="B258">
        <f>2.3551</f>
        <v>2.3551000000000002</v>
      </c>
      <c r="C258">
        <f>2.5399</f>
        <v>2.5398999999999998</v>
      </c>
      <c r="D258">
        <f>1.4584</f>
        <v>1.4583999999999999</v>
      </c>
      <c r="E258">
        <f>2.5393</f>
        <v>2.5392999999999999</v>
      </c>
      <c r="F258">
        <f>3.6054</f>
        <v>3.6053999999999999</v>
      </c>
    </row>
    <row r="259" spans="1:6" x14ac:dyDescent="0.25">
      <c r="A259" s="2">
        <v>44432</v>
      </c>
      <c r="B259">
        <f>2.3161</f>
        <v>2.3161</v>
      </c>
      <c r="C259">
        <f>2.5</f>
        <v>2.5</v>
      </c>
      <c r="D259">
        <f>1.4399</f>
        <v>1.4399</v>
      </c>
      <c r="E259">
        <f>2.4875</f>
        <v>2.4874999999999998</v>
      </c>
      <c r="F259">
        <f>3.5807</f>
        <v>3.5807000000000002</v>
      </c>
    </row>
    <row r="260" spans="1:6" x14ac:dyDescent="0.25">
      <c r="A260" s="2">
        <v>44431</v>
      </c>
      <c r="B260">
        <f>2.2801</f>
        <v>2.2801</v>
      </c>
      <c r="C260">
        <f>2.4602</f>
        <v>2.4601999999999999</v>
      </c>
      <c r="D260">
        <f>1.4252</f>
        <v>1.4252</v>
      </c>
      <c r="E260">
        <f>2.447</f>
        <v>2.4470000000000001</v>
      </c>
      <c r="F260">
        <f>3.5501</f>
        <v>3.5501</v>
      </c>
    </row>
    <row r="261" spans="1:6" x14ac:dyDescent="0.25">
      <c r="A261" s="2">
        <v>44428</v>
      </c>
      <c r="B261">
        <f>2.2643</f>
        <v>2.2643</v>
      </c>
      <c r="C261">
        <f>2.4321</f>
        <v>2.4321000000000002</v>
      </c>
      <c r="D261">
        <f>1.4065</f>
        <v>1.4065000000000001</v>
      </c>
      <c r="E261">
        <f>2.3726</f>
        <v>2.3725999999999998</v>
      </c>
      <c r="F261">
        <f>3.5435</f>
        <v>3.5434999999999999</v>
      </c>
    </row>
    <row r="262" spans="1:6" x14ac:dyDescent="0.25">
      <c r="A262" s="2">
        <v>44427</v>
      </c>
      <c r="B262">
        <f>2.2953</f>
        <v>2.2953000000000001</v>
      </c>
      <c r="C262">
        <f>2.4843</f>
        <v>2.4843000000000002</v>
      </c>
      <c r="D262">
        <f>1.4163</f>
        <v>1.4162999999999999</v>
      </c>
      <c r="E262">
        <f>2.4642</f>
        <v>2.4641999999999999</v>
      </c>
      <c r="F262">
        <f>3.5439</f>
        <v>3.5438999999999998</v>
      </c>
    </row>
    <row r="263" spans="1:6" x14ac:dyDescent="0.25">
      <c r="A263" s="2">
        <v>44426</v>
      </c>
      <c r="B263">
        <f>2.32</f>
        <v>2.3199999999999998</v>
      </c>
      <c r="C263">
        <f>2.5069</f>
        <v>2.5068999999999999</v>
      </c>
      <c r="D263">
        <f>1.4402</f>
        <v>1.4401999999999999</v>
      </c>
      <c r="E263">
        <f>2.4978</f>
        <v>2.4977999999999998</v>
      </c>
      <c r="F263">
        <f>3.5565</f>
        <v>3.5565000000000002</v>
      </c>
    </row>
    <row r="264" spans="1:6" x14ac:dyDescent="0.25">
      <c r="A264" s="2">
        <v>44425</v>
      </c>
      <c r="B264">
        <f>2.3283</f>
        <v>2.3283</v>
      </c>
      <c r="C264">
        <f>2.5316</f>
        <v>2.5316000000000001</v>
      </c>
      <c r="D264">
        <f>1.4469</f>
        <v>1.4469000000000001</v>
      </c>
      <c r="E264">
        <f>2.5309</f>
        <v>2.5308999999999999</v>
      </c>
      <c r="F264">
        <f>3.5611</f>
        <v>3.5611000000000002</v>
      </c>
    </row>
    <row r="265" spans="1:6" x14ac:dyDescent="0.25">
      <c r="A265" s="2">
        <v>44424</v>
      </c>
      <c r="B265">
        <f>2.3729</f>
        <v>2.3729</v>
      </c>
      <c r="C265">
        <f>2.5656</f>
        <v>2.5655999999999999</v>
      </c>
      <c r="D265">
        <f>1.4425</f>
        <v>1.4424999999999999</v>
      </c>
      <c r="E265">
        <f>2.5471</f>
        <v>2.5470999999999999</v>
      </c>
      <c r="F265">
        <f>3.5557</f>
        <v>3.5556999999999999</v>
      </c>
    </row>
    <row r="266" spans="1:6" x14ac:dyDescent="0.25">
      <c r="A266" s="2">
        <v>44421</v>
      </c>
      <c r="B266">
        <f>2.3822</f>
        <v>2.3822000000000001</v>
      </c>
      <c r="C266">
        <f>2.5793</f>
        <v>2.5792999999999999</v>
      </c>
      <c r="D266">
        <f>1.4646</f>
        <v>1.4645999999999999</v>
      </c>
      <c r="E266">
        <f>2.5565</f>
        <v>2.5565000000000002</v>
      </c>
      <c r="F266">
        <f>3.5707</f>
        <v>3.5707</v>
      </c>
    </row>
    <row r="267" spans="1:6" x14ac:dyDescent="0.25">
      <c r="A267" s="2">
        <v>44420</v>
      </c>
      <c r="B267">
        <f>2.4193</f>
        <v>2.4192999999999998</v>
      </c>
      <c r="C267">
        <f>2.6152</f>
        <v>2.6152000000000002</v>
      </c>
      <c r="D267">
        <f>1.4603</f>
        <v>1.4602999999999999</v>
      </c>
      <c r="E267">
        <f>2.6114</f>
        <v>2.6114000000000002</v>
      </c>
      <c r="F267">
        <f>3.5733</f>
        <v>3.5733000000000001</v>
      </c>
    </row>
    <row r="268" spans="1:6" x14ac:dyDescent="0.25">
      <c r="A268" s="2">
        <v>44419</v>
      </c>
      <c r="B268">
        <f>2.4045</f>
        <v>2.4045000000000001</v>
      </c>
      <c r="C268">
        <f>2.6077</f>
        <v>2.6076999999999999</v>
      </c>
      <c r="D268">
        <f>1.438</f>
        <v>1.4379999999999999</v>
      </c>
      <c r="E268">
        <f>2.6107</f>
        <v>2.6107</v>
      </c>
      <c r="F268">
        <f>3.5826</f>
        <v>3.5825999999999998</v>
      </c>
    </row>
    <row r="269" spans="1:6" x14ac:dyDescent="0.25">
      <c r="A269" s="2">
        <v>44418</v>
      </c>
      <c r="B269">
        <f>2.3906</f>
        <v>2.3906000000000001</v>
      </c>
      <c r="C269">
        <f>2.5896</f>
        <v>2.5895999999999999</v>
      </c>
      <c r="D269">
        <f>1.4195</f>
        <v>1.4195</v>
      </c>
      <c r="E269">
        <f>2.5905</f>
        <v>2.5905</v>
      </c>
      <c r="F269">
        <f>3.5949</f>
        <v>3.5949</v>
      </c>
    </row>
    <row r="270" spans="1:6" x14ac:dyDescent="0.25">
      <c r="A270" s="2">
        <v>44417</v>
      </c>
      <c r="B270">
        <f>2.3642</f>
        <v>2.3641999999999999</v>
      </c>
      <c r="C270">
        <f>2.5593</f>
        <v>2.5592999999999999</v>
      </c>
      <c r="D270">
        <f>1.3955</f>
        <v>1.3955</v>
      </c>
      <c r="E270">
        <f>2.5401</f>
        <v>2.5400999999999998</v>
      </c>
      <c r="F270">
        <f>3.5972</f>
        <v>3.5972</v>
      </c>
    </row>
    <row r="271" spans="1:6" x14ac:dyDescent="0.25">
      <c r="A271" s="2">
        <v>44414</v>
      </c>
      <c r="B271">
        <f>2.363</f>
        <v>2.363</v>
      </c>
      <c r="C271">
        <f>2.5607</f>
        <v>2.5607000000000002</v>
      </c>
      <c r="D271">
        <f>1.3993</f>
        <v>1.3993</v>
      </c>
      <c r="E271">
        <f>2.5929</f>
        <v>2.5929000000000002</v>
      </c>
      <c r="F271">
        <f>3.6086</f>
        <v>3.6086</v>
      </c>
    </row>
    <row r="272" spans="1:6" x14ac:dyDescent="0.25">
      <c r="A272" s="2">
        <v>44413</v>
      </c>
      <c r="B272">
        <f>2.3307</f>
        <v>2.3307000000000002</v>
      </c>
      <c r="C272">
        <f>2.5394</f>
        <v>2.5394000000000001</v>
      </c>
      <c r="D272">
        <f>1.3876</f>
        <v>1.3875999999999999</v>
      </c>
      <c r="E272">
        <f>2.6139</f>
        <v>2.6139000000000001</v>
      </c>
      <c r="F272">
        <f>3.5837</f>
        <v>3.5836999999999999</v>
      </c>
    </row>
    <row r="273" spans="1:6" x14ac:dyDescent="0.25">
      <c r="A273" s="2">
        <v>44412</v>
      </c>
      <c r="B273">
        <f>2.3466</f>
        <v>2.3466</v>
      </c>
      <c r="C273">
        <f>2.555</f>
        <v>2.5550000000000002</v>
      </c>
      <c r="D273">
        <f>1.3992</f>
        <v>1.3992</v>
      </c>
      <c r="E273">
        <f>2.6441</f>
        <v>2.6440999999999999</v>
      </c>
      <c r="F273">
        <f>3.5899</f>
        <v>3.5899000000000001</v>
      </c>
    </row>
    <row r="274" spans="1:6" x14ac:dyDescent="0.25">
      <c r="A274" s="2">
        <v>44411</v>
      </c>
      <c r="B274">
        <f>2.3704</f>
        <v>2.3704000000000001</v>
      </c>
      <c r="C274">
        <f>2.589</f>
        <v>2.589</v>
      </c>
      <c r="D274">
        <f>1.4008</f>
        <v>1.4008</v>
      </c>
      <c r="E274">
        <f>2.7034</f>
        <v>2.7033999999999998</v>
      </c>
      <c r="F274">
        <f>3.5632</f>
        <v>3.5632000000000001</v>
      </c>
    </row>
    <row r="275" spans="1:6" x14ac:dyDescent="0.25">
      <c r="A275" s="2">
        <v>44410</v>
      </c>
      <c r="B275">
        <f>2.3596</f>
        <v>2.3595999999999999</v>
      </c>
      <c r="C275">
        <f>2.5788</f>
        <v>2.5788000000000002</v>
      </c>
      <c r="D275">
        <f>1.4083</f>
        <v>1.4083000000000001</v>
      </c>
      <c r="E275">
        <f>2.7265</f>
        <v>2.7265000000000001</v>
      </c>
      <c r="F275">
        <f>3.5534</f>
        <v>3.5533999999999999</v>
      </c>
    </row>
    <row r="276" spans="1:6" x14ac:dyDescent="0.25">
      <c r="A276" s="2">
        <v>44407</v>
      </c>
      <c r="B276">
        <f>2.4003</f>
        <v>2.4003000000000001</v>
      </c>
      <c r="C276">
        <f>2.6219</f>
        <v>2.6219000000000001</v>
      </c>
      <c r="D276">
        <f>1.4253</f>
        <v>1.4253</v>
      </c>
      <c r="E276">
        <f>2.8277</f>
        <v>2.8277000000000001</v>
      </c>
      <c r="F276">
        <f>3.5672</f>
        <v>3.5672000000000001</v>
      </c>
    </row>
    <row r="277" spans="1:6" x14ac:dyDescent="0.25">
      <c r="A277" s="2">
        <v>44406</v>
      </c>
      <c r="B277">
        <f>2.4185</f>
        <v>2.4184999999999999</v>
      </c>
      <c r="C277">
        <f>2.6506</f>
        <v>2.6505999999999998</v>
      </c>
      <c r="D277">
        <f>1.4108</f>
        <v>1.4108000000000001</v>
      </c>
      <c r="E277">
        <f>2.8656</f>
        <v>2.8656000000000001</v>
      </c>
      <c r="F277">
        <f>3.5745</f>
        <v>3.5745</v>
      </c>
    </row>
    <row r="278" spans="1:6" x14ac:dyDescent="0.25">
      <c r="A278" s="2">
        <v>44405</v>
      </c>
      <c r="B278">
        <f>2.4107</f>
        <v>2.4106999999999998</v>
      </c>
      <c r="C278">
        <f>2.644</f>
        <v>2.6440000000000001</v>
      </c>
      <c r="D278">
        <f>1.3567</f>
        <v>1.3567</v>
      </c>
      <c r="E278">
        <f>2.8838</f>
        <v>2.8837999999999999</v>
      </c>
      <c r="F278">
        <f>3.5645</f>
        <v>3.5644999999999998</v>
      </c>
    </row>
    <row r="279" spans="1:6" x14ac:dyDescent="0.25">
      <c r="A279" s="2">
        <v>44404</v>
      </c>
      <c r="B279">
        <f>2.3718</f>
        <v>2.3717999999999999</v>
      </c>
      <c r="C279">
        <f>2.6038</f>
        <v>2.6038000000000001</v>
      </c>
      <c r="D279">
        <f>1.3442</f>
        <v>1.3442000000000001</v>
      </c>
      <c r="E279">
        <f>2.8364</f>
        <v>2.8363999999999998</v>
      </c>
      <c r="F279">
        <f>3.5552</f>
        <v>3.5552000000000001</v>
      </c>
    </row>
    <row r="280" spans="1:6" x14ac:dyDescent="0.25">
      <c r="A280" s="2">
        <v>44403</v>
      </c>
      <c r="B280">
        <f>2.3939</f>
        <v>2.3938999999999999</v>
      </c>
      <c r="C280">
        <f>2.6276</f>
        <v>2.6276000000000002</v>
      </c>
      <c r="D280">
        <f>1.3246</f>
        <v>1.3246</v>
      </c>
      <c r="E280">
        <f>2.8305</f>
        <v>2.8304999999999998</v>
      </c>
      <c r="F280">
        <f>3.5906</f>
        <v>3.5905999999999998</v>
      </c>
    </row>
    <row r="281" spans="1:6" x14ac:dyDescent="0.25">
      <c r="A281" s="2">
        <v>44400</v>
      </c>
      <c r="B281">
        <f>2.3452</f>
        <v>2.3452000000000002</v>
      </c>
      <c r="C281">
        <f>2.5754</f>
        <v>2.5754000000000001</v>
      </c>
      <c r="D281">
        <f>1.3063</f>
        <v>1.3063</v>
      </c>
      <c r="E281">
        <f>2.7684</f>
        <v>2.7684000000000002</v>
      </c>
      <c r="F281">
        <f>3.5593</f>
        <v>3.5592999999999999</v>
      </c>
    </row>
    <row r="282" spans="1:6" x14ac:dyDescent="0.25">
      <c r="A282" s="2">
        <v>44399</v>
      </c>
      <c r="B282">
        <f>2.302</f>
        <v>2.302</v>
      </c>
      <c r="C282">
        <f>2.5094</f>
        <v>2.5093999999999999</v>
      </c>
      <c r="D282">
        <f>1.2902</f>
        <v>1.2902</v>
      </c>
      <c r="E282">
        <f>2.7092</f>
        <v>2.7092000000000001</v>
      </c>
      <c r="F282">
        <f>3.5206</f>
        <v>3.5206</v>
      </c>
    </row>
    <row r="283" spans="1:6" x14ac:dyDescent="0.25">
      <c r="A283" s="2">
        <v>44398</v>
      </c>
      <c r="B283">
        <f>2.2958</f>
        <v>2.2957999999999998</v>
      </c>
      <c r="C283">
        <f>2.4948</f>
        <v>2.4948000000000001</v>
      </c>
      <c r="D283">
        <f>1.2982</f>
        <v>1.2982</v>
      </c>
      <c r="E283">
        <f>2.6816</f>
        <v>2.6816</v>
      </c>
      <c r="F283">
        <f>3.5006</f>
        <v>3.5005999999999999</v>
      </c>
    </row>
    <row r="284" spans="1:6" x14ac:dyDescent="0.25">
      <c r="A284" s="2">
        <v>44397</v>
      </c>
      <c r="B284">
        <f>2.265</f>
        <v>2.2650000000000001</v>
      </c>
      <c r="C284">
        <f>2.4445</f>
        <v>2.4445000000000001</v>
      </c>
      <c r="D284">
        <f>1.2694</f>
        <v>1.2694000000000001</v>
      </c>
      <c r="E284">
        <f>2.6267</f>
        <v>2.6267</v>
      </c>
      <c r="F284">
        <f>3.4876</f>
        <v>3.4876</v>
      </c>
    </row>
    <row r="285" spans="1:6" x14ac:dyDescent="0.25">
      <c r="A285" s="2">
        <v>44396</v>
      </c>
      <c r="B285">
        <f>2.2592</f>
        <v>2.2591999999999999</v>
      </c>
      <c r="C285">
        <f>2.4529</f>
        <v>2.4529000000000001</v>
      </c>
      <c r="D285">
        <f>1.2689</f>
        <v>1.2688999999999999</v>
      </c>
      <c r="E285">
        <f>2.6483</f>
        <v>2.6482999999999999</v>
      </c>
      <c r="F285">
        <f>3.4796</f>
        <v>3.4796</v>
      </c>
    </row>
    <row r="286" spans="1:6" x14ac:dyDescent="0.25">
      <c r="A286" s="2">
        <v>44393</v>
      </c>
      <c r="B286">
        <f>2.3331</f>
        <v>2.3331</v>
      </c>
      <c r="C286">
        <f>2.5545</f>
        <v>2.5545</v>
      </c>
      <c r="D286">
        <f>1.3201</f>
        <v>1.3201000000000001</v>
      </c>
      <c r="E286">
        <f>2.784</f>
        <v>2.7839999999999998</v>
      </c>
      <c r="F286">
        <f>3.4951</f>
        <v>3.4950999999999999</v>
      </c>
    </row>
    <row r="287" spans="1:6" x14ac:dyDescent="0.25">
      <c r="A287" s="2">
        <v>44392</v>
      </c>
      <c r="B287">
        <f>2.3386</f>
        <v>2.3386</v>
      </c>
      <c r="C287">
        <f>2.5668</f>
        <v>2.5668000000000002</v>
      </c>
      <c r="D287">
        <f>1.3152</f>
        <v>1.3151999999999999</v>
      </c>
      <c r="E287">
        <f>2.8207</f>
        <v>2.8207</v>
      </c>
      <c r="F287">
        <f>3.4815</f>
        <v>3.4815</v>
      </c>
    </row>
    <row r="288" spans="1:6" x14ac:dyDescent="0.25">
      <c r="A288" s="2">
        <v>44391</v>
      </c>
      <c r="B288">
        <f>2.3524</f>
        <v>2.3523999999999998</v>
      </c>
      <c r="C288">
        <f>2.5811</f>
        <v>2.5811000000000002</v>
      </c>
      <c r="D288">
        <f>1.3147</f>
        <v>1.3147</v>
      </c>
      <c r="E288">
        <f>2.8105</f>
        <v>2.8105000000000002</v>
      </c>
      <c r="F288">
        <f>3.5023</f>
        <v>3.5023</v>
      </c>
    </row>
    <row r="289" spans="1:6" x14ac:dyDescent="0.25">
      <c r="A289" s="2">
        <v>44390</v>
      </c>
      <c r="B289">
        <f>2.3764</f>
        <v>2.3763999999999998</v>
      </c>
      <c r="C289">
        <f>2.6033</f>
        <v>2.6032999999999999</v>
      </c>
      <c r="D289">
        <f>1.3127</f>
        <v>1.3127</v>
      </c>
      <c r="E289">
        <f>2.8295</f>
        <v>2.8294999999999999</v>
      </c>
      <c r="F289">
        <f>3.4627</f>
        <v>3.4626999999999999</v>
      </c>
    </row>
    <row r="290" spans="1:6" x14ac:dyDescent="0.25">
      <c r="A290" s="2">
        <v>44389</v>
      </c>
      <c r="B290">
        <f>2.3344</f>
        <v>2.3344</v>
      </c>
      <c r="C290">
        <f>2.5155</f>
        <v>2.5154999999999998</v>
      </c>
      <c r="D290">
        <f>1.3092</f>
        <v>1.3091999999999999</v>
      </c>
      <c r="E290">
        <f>2.6625</f>
        <v>2.6625000000000001</v>
      </c>
      <c r="F290">
        <f>3.4372</f>
        <v>3.4371999999999998</v>
      </c>
    </row>
    <row r="291" spans="1:6" x14ac:dyDescent="0.25">
      <c r="A291" s="2">
        <v>44386</v>
      </c>
      <c r="B291">
        <f>2.2946</f>
        <v>2.2946</v>
      </c>
      <c r="C291">
        <f>2.4822</f>
        <v>2.4822000000000002</v>
      </c>
      <c r="D291">
        <f>1.3296</f>
        <v>1.3295999999999999</v>
      </c>
      <c r="E291">
        <f>2.6248</f>
        <v>2.6248</v>
      </c>
      <c r="F291">
        <f>3.4382</f>
        <v>3.4382000000000001</v>
      </c>
    </row>
    <row r="292" spans="1:6" x14ac:dyDescent="0.25">
      <c r="A292" s="2">
        <v>44385</v>
      </c>
      <c r="B292">
        <f>2.2345</f>
        <v>2.2345000000000002</v>
      </c>
      <c r="C292">
        <f>2.4122</f>
        <v>2.4121999999999999</v>
      </c>
      <c r="D292">
        <f>1.3009</f>
        <v>1.3008999999999999</v>
      </c>
      <c r="E292">
        <f>2.5881</f>
        <v>2.5880999999999998</v>
      </c>
      <c r="F292">
        <f>3.437</f>
        <v>3.4369999999999998</v>
      </c>
    </row>
    <row r="293" spans="1:6" x14ac:dyDescent="0.25">
      <c r="A293" s="2">
        <v>44384</v>
      </c>
      <c r="B293">
        <f>2.2751</f>
        <v>2.2751000000000001</v>
      </c>
      <c r="C293">
        <f>2.4507</f>
        <v>2.4506999999999999</v>
      </c>
      <c r="D293">
        <f>1.336</f>
        <v>1.3360000000000001</v>
      </c>
      <c r="E293">
        <f>2.6127</f>
        <v>2.6126999999999998</v>
      </c>
      <c r="F293">
        <f>3.4559</f>
        <v>3.4559000000000002</v>
      </c>
    </row>
    <row r="294" spans="1:6" x14ac:dyDescent="0.25">
      <c r="A294" s="2">
        <v>44383</v>
      </c>
      <c r="B294">
        <f>2.3281</f>
        <v>2.3281000000000001</v>
      </c>
      <c r="C294">
        <f>2.498</f>
        <v>2.4980000000000002</v>
      </c>
      <c r="D294">
        <f>1.3713</f>
        <v>1.3713</v>
      </c>
      <c r="E294">
        <f>2.6568</f>
        <v>2.6568000000000001</v>
      </c>
      <c r="F294">
        <f>3.4801</f>
        <v>3.4801000000000002</v>
      </c>
    </row>
    <row r="295" spans="1:6" x14ac:dyDescent="0.25">
      <c r="A295" s="2">
        <v>44382</v>
      </c>
      <c r="B295">
        <f>2.3415</f>
        <v>2.3414999999999999</v>
      </c>
      <c r="C295">
        <f>2.515</f>
        <v>2.5150000000000001</v>
      </c>
      <c r="D295">
        <f>1.3607</f>
        <v>1.3607</v>
      </c>
      <c r="E295">
        <f>2.6853</f>
        <v>2.6852999999999998</v>
      </c>
      <c r="F295">
        <f>3.4891</f>
        <v>3.4891000000000001</v>
      </c>
    </row>
    <row r="296" spans="1:6" x14ac:dyDescent="0.25">
      <c r="A296" s="2">
        <v>44379</v>
      </c>
      <c r="B296">
        <f>2.3415</f>
        <v>2.3414999999999999</v>
      </c>
      <c r="C296">
        <f>2.515</f>
        <v>2.5150000000000001</v>
      </c>
      <c r="D296">
        <f>1.3424</f>
        <v>1.3424</v>
      </c>
      <c r="E296">
        <f>2.6853</f>
        <v>2.6852999999999998</v>
      </c>
      <c r="F296">
        <f>3.4857</f>
        <v>3.4857</v>
      </c>
    </row>
    <row r="297" spans="1:6" x14ac:dyDescent="0.25">
      <c r="A297" s="2">
        <v>44378</v>
      </c>
      <c r="B297">
        <f>2.3467</f>
        <v>2.3466999999999998</v>
      </c>
      <c r="C297">
        <f>2.5158</f>
        <v>2.5158</v>
      </c>
      <c r="D297">
        <f>1.3321</f>
        <v>1.3321000000000001</v>
      </c>
      <c r="E297">
        <f>2.7285</f>
        <v>2.7284999999999999</v>
      </c>
      <c r="F297">
        <f>3.4832</f>
        <v>3.4832000000000001</v>
      </c>
    </row>
    <row r="298" spans="1:6" x14ac:dyDescent="0.25">
      <c r="A298" s="2">
        <v>44377</v>
      </c>
      <c r="B298">
        <f>2.3365</f>
        <v>2.3365</v>
      </c>
      <c r="C298">
        <f>2.498</f>
        <v>2.4980000000000002</v>
      </c>
      <c r="D298">
        <f>1.332</f>
        <v>1.3320000000000001</v>
      </c>
      <c r="E298">
        <f>2.7166</f>
        <v>2.7166000000000001</v>
      </c>
      <c r="F298">
        <f>3.4786</f>
        <v>3.4786000000000001</v>
      </c>
    </row>
    <row r="299" spans="1:6" x14ac:dyDescent="0.25">
      <c r="A299" s="2">
        <v>44376</v>
      </c>
      <c r="B299">
        <f>2.3325</f>
        <v>2.3325</v>
      </c>
      <c r="C299">
        <f>2.4827</f>
        <v>2.4826999999999999</v>
      </c>
      <c r="D299">
        <f>1.3386</f>
        <v>1.3386</v>
      </c>
      <c r="E299">
        <f>2.7212</f>
        <v>2.7212000000000001</v>
      </c>
      <c r="F299">
        <f>3.4771</f>
        <v>3.4771000000000001</v>
      </c>
    </row>
    <row r="300" spans="1:6" x14ac:dyDescent="0.25">
      <c r="A300" s="2">
        <v>44375</v>
      </c>
      <c r="B300">
        <f>2.3392</f>
        <v>2.3391999999999999</v>
      </c>
      <c r="C300">
        <f>2.4726</f>
        <v>2.4725999999999999</v>
      </c>
      <c r="D300">
        <f>1.3176</f>
        <v>1.3176000000000001</v>
      </c>
      <c r="E300">
        <f>2.7157</f>
        <v>2.7157</v>
      </c>
      <c r="F300">
        <f>3.4789</f>
        <v>3.4788999999999999</v>
      </c>
    </row>
    <row r="301" spans="1:6" x14ac:dyDescent="0.25">
      <c r="A301" s="2">
        <v>44372</v>
      </c>
      <c r="B301">
        <f>2.3624</f>
        <v>2.3624000000000001</v>
      </c>
      <c r="C301">
        <f>2.4979</f>
        <v>2.4979</v>
      </c>
      <c r="D301">
        <f>1.3348</f>
        <v>1.3348</v>
      </c>
      <c r="E301">
        <f>2.7292</f>
        <v>2.7292000000000001</v>
      </c>
      <c r="F301">
        <f>3.4729</f>
        <v>3.4729000000000001</v>
      </c>
    </row>
    <row r="302" spans="1:6" x14ac:dyDescent="0.25">
      <c r="A302" s="2">
        <v>44371</v>
      </c>
      <c r="B302">
        <f>2.3205</f>
        <v>2.3205</v>
      </c>
      <c r="C302">
        <f>2.4676</f>
        <v>2.4676</v>
      </c>
      <c r="D302">
        <f>1.3134</f>
        <v>1.3133999999999999</v>
      </c>
      <c r="E302">
        <f>2.7184</f>
        <v>2.7183999999999999</v>
      </c>
      <c r="F302">
        <f>3.4493</f>
        <v>3.4493</v>
      </c>
    </row>
    <row r="303" spans="1:6" x14ac:dyDescent="0.25">
      <c r="A303" s="2">
        <v>44370</v>
      </c>
      <c r="B303">
        <f>2.3532</f>
        <v>2.3532000000000002</v>
      </c>
      <c r="C303">
        <f>2.502</f>
        <v>2.5019999999999998</v>
      </c>
      <c r="D303">
        <f>1.3213</f>
        <v>1.3212999999999999</v>
      </c>
      <c r="E303">
        <f>2.753</f>
        <v>2.7530000000000001</v>
      </c>
      <c r="F303">
        <f>3.4561</f>
        <v>3.4561000000000002</v>
      </c>
    </row>
    <row r="304" spans="1:6" x14ac:dyDescent="0.25">
      <c r="A304" s="2">
        <v>44369</v>
      </c>
      <c r="B304">
        <f>2.3226</f>
        <v>2.3226</v>
      </c>
      <c r="C304">
        <f>2.4666</f>
        <v>2.4666000000000001</v>
      </c>
      <c r="D304">
        <f>1.3086</f>
        <v>1.3086</v>
      </c>
      <c r="E304">
        <f>2.7219</f>
        <v>2.7219000000000002</v>
      </c>
      <c r="F304">
        <f>3.4025</f>
        <v>3.4024999999999999</v>
      </c>
    </row>
    <row r="305" spans="1:6" x14ac:dyDescent="0.25">
      <c r="A305" s="2">
        <v>44368</v>
      </c>
      <c r="B305">
        <f>2.2811</f>
        <v>2.2810999999999999</v>
      </c>
      <c r="C305">
        <f>2.424</f>
        <v>2.4239999999999999</v>
      </c>
      <c r="D305">
        <f>1.2716</f>
        <v>1.2716000000000001</v>
      </c>
      <c r="E305">
        <f>2.6907</f>
        <v>2.6907000000000001</v>
      </c>
      <c r="F305">
        <f>3.3836</f>
        <v>3.3835999999999999</v>
      </c>
    </row>
    <row r="306" spans="1:6" x14ac:dyDescent="0.25">
      <c r="A306" s="2">
        <v>44365</v>
      </c>
      <c r="B306">
        <f>2.2411</f>
        <v>2.2410999999999999</v>
      </c>
      <c r="C306">
        <f>2.3764</f>
        <v>2.3763999999999998</v>
      </c>
      <c r="D306">
        <f>1.2697</f>
        <v>1.2697000000000001</v>
      </c>
      <c r="E306">
        <f>2.6589</f>
        <v>2.6589</v>
      </c>
      <c r="F306">
        <f>3.3587</f>
        <v>3.3586999999999998</v>
      </c>
    </row>
    <row r="307" spans="1:6" x14ac:dyDescent="0.25">
      <c r="A307" s="2">
        <v>44364</v>
      </c>
      <c r="B307">
        <f>2.2931</f>
        <v>2.2930999999999999</v>
      </c>
      <c r="C307">
        <f>2.4124</f>
        <v>2.4123999999999999</v>
      </c>
      <c r="D307">
        <f>1.3172</f>
        <v>1.3171999999999999</v>
      </c>
      <c r="E307">
        <f>2.7029</f>
        <v>2.7029000000000001</v>
      </c>
      <c r="F307">
        <f>3.3884</f>
        <v>3.3883999999999999</v>
      </c>
    </row>
    <row r="308" spans="1:6" x14ac:dyDescent="0.25">
      <c r="A308" s="2">
        <v>44363</v>
      </c>
      <c r="B308">
        <f>2.321</f>
        <v>2.3210000000000002</v>
      </c>
      <c r="C308">
        <f>2.4075</f>
        <v>2.4075000000000002</v>
      </c>
      <c r="D308">
        <f>1.3798</f>
        <v>1.3797999999999999</v>
      </c>
      <c r="E308">
        <f>2.6523</f>
        <v>2.6522999999999999</v>
      </c>
      <c r="F308">
        <f>3.424</f>
        <v>3.4239999999999999</v>
      </c>
    </row>
    <row r="309" spans="1:6" x14ac:dyDescent="0.25">
      <c r="A309" s="2">
        <v>44362</v>
      </c>
      <c r="B309">
        <f>2.3856</f>
        <v>2.3856000000000002</v>
      </c>
      <c r="C309">
        <f>2.4867</f>
        <v>2.4866999999999999</v>
      </c>
      <c r="D309">
        <f>1.3954</f>
        <v>1.3954</v>
      </c>
      <c r="E309">
        <f>2.7527</f>
        <v>2.7526999999999999</v>
      </c>
      <c r="F309">
        <f>3.4516</f>
        <v>3.4516</v>
      </c>
    </row>
    <row r="310" spans="1:6" x14ac:dyDescent="0.25">
      <c r="A310" s="2">
        <v>44361</v>
      </c>
      <c r="B310">
        <f>2.3714</f>
        <v>2.3714</v>
      </c>
      <c r="C310">
        <f>2.4653</f>
        <v>2.4653</v>
      </c>
      <c r="D310">
        <f>1.395</f>
        <v>1.395</v>
      </c>
      <c r="E310">
        <f>2.7161</f>
        <v>2.7161</v>
      </c>
      <c r="F310">
        <f>3.4292</f>
        <v>3.4291999999999998</v>
      </c>
    </row>
    <row r="311" spans="1:6" x14ac:dyDescent="0.25">
      <c r="A311" s="2">
        <v>44358</v>
      </c>
      <c r="B311">
        <f>2.3423</f>
        <v>2.3422999999999998</v>
      </c>
      <c r="C311">
        <f>2.4461</f>
        <v>2.4460999999999999</v>
      </c>
      <c r="D311">
        <f>1.3954</f>
        <v>1.3954</v>
      </c>
      <c r="E311">
        <f>2.7149</f>
        <v>2.7149000000000001</v>
      </c>
      <c r="F311">
        <f>3.4004</f>
        <v>3.4003999999999999</v>
      </c>
    </row>
    <row r="312" spans="1:6" x14ac:dyDescent="0.25">
      <c r="A312" s="2">
        <v>44357</v>
      </c>
      <c r="B312">
        <f>2.3581</f>
        <v>2.3580999999999999</v>
      </c>
      <c r="C312">
        <f>2.4899</f>
        <v>2.4899</v>
      </c>
      <c r="D312">
        <f>1.3888</f>
        <v>1.3888</v>
      </c>
      <c r="E312">
        <f>2.7911</f>
        <v>2.7911000000000001</v>
      </c>
      <c r="F312">
        <f>3.4168</f>
        <v>3.4167999999999998</v>
      </c>
    </row>
    <row r="313" spans="1:6" x14ac:dyDescent="0.25">
      <c r="A313" s="2">
        <v>44356</v>
      </c>
      <c r="B313">
        <f>2.3257</f>
        <v>2.3256999999999999</v>
      </c>
      <c r="C313">
        <f>2.434</f>
        <v>2.4340000000000002</v>
      </c>
      <c r="D313">
        <f>1.3871</f>
        <v>1.3871</v>
      </c>
      <c r="E313">
        <f>2.6824</f>
        <v>2.6823999999999999</v>
      </c>
      <c r="F313">
        <f>3.4424</f>
        <v>3.4424000000000001</v>
      </c>
    </row>
    <row r="314" spans="1:6" x14ac:dyDescent="0.25">
      <c r="A314" s="2">
        <v>44355</v>
      </c>
      <c r="B314">
        <f>2.3698</f>
        <v>2.3698000000000001</v>
      </c>
      <c r="C314">
        <f>2.4882</f>
        <v>2.4882</v>
      </c>
      <c r="D314">
        <f>1.3873</f>
        <v>1.3873</v>
      </c>
      <c r="E314">
        <f>2.7844</f>
        <v>2.7844000000000002</v>
      </c>
      <c r="F314">
        <f>3.471</f>
        <v>3.4710000000000001</v>
      </c>
    </row>
    <row r="315" spans="1:6" x14ac:dyDescent="0.25">
      <c r="A315" s="2">
        <v>44354</v>
      </c>
      <c r="B315">
        <f>2.3993</f>
        <v>2.3993000000000002</v>
      </c>
      <c r="C315">
        <f>2.5354</f>
        <v>2.5354000000000001</v>
      </c>
      <c r="D315">
        <f>1.4195</f>
        <v>1.4195</v>
      </c>
      <c r="E315">
        <f>2.8515</f>
        <v>2.8515000000000001</v>
      </c>
      <c r="F315">
        <f>3.5003</f>
        <v>3.5003000000000002</v>
      </c>
    </row>
    <row r="316" spans="1:6" x14ac:dyDescent="0.25">
      <c r="A316" s="2">
        <v>44351</v>
      </c>
      <c r="B316">
        <f>2.4213</f>
        <v>2.4213</v>
      </c>
      <c r="C316">
        <f>2.5618</f>
        <v>2.5617999999999999</v>
      </c>
      <c r="D316">
        <f>1.4099</f>
        <v>1.4098999999999999</v>
      </c>
      <c r="E316">
        <f>2.8855</f>
        <v>2.8855</v>
      </c>
      <c r="F316">
        <f>3.4898</f>
        <v>3.4897999999999998</v>
      </c>
    </row>
    <row r="317" spans="1:6" x14ac:dyDescent="0.25">
      <c r="A317" s="2">
        <v>44350</v>
      </c>
      <c r="B317">
        <f>2.4307</f>
        <v>2.4306999999999999</v>
      </c>
      <c r="C317">
        <f>2.5651</f>
        <v>2.5651000000000002</v>
      </c>
      <c r="D317">
        <f>1.4089</f>
        <v>1.4089</v>
      </c>
      <c r="E317">
        <f>2.8486</f>
        <v>2.8485999999999998</v>
      </c>
      <c r="F317">
        <f>3.5318</f>
        <v>3.5318000000000001</v>
      </c>
    </row>
    <row r="318" spans="1:6" x14ac:dyDescent="0.25">
      <c r="A318" s="2">
        <v>44349</v>
      </c>
      <c r="B318">
        <f>2.4546</f>
        <v>2.4546000000000001</v>
      </c>
      <c r="C318">
        <f>2.6033</f>
        <v>2.6032999999999999</v>
      </c>
      <c r="D318">
        <f>1.3747</f>
        <v>1.3747</v>
      </c>
      <c r="E318">
        <f>2.8625</f>
        <v>2.8624999999999998</v>
      </c>
      <c r="F318">
        <f>3.5423</f>
        <v>3.5423</v>
      </c>
    </row>
    <row r="319" spans="1:6" x14ac:dyDescent="0.25">
      <c r="A319" s="2">
        <v>44348</v>
      </c>
      <c r="B319">
        <f>2.4728</f>
        <v>2.4727999999999999</v>
      </c>
      <c r="C319">
        <f>2.6209</f>
        <v>2.6208999999999998</v>
      </c>
      <c r="D319">
        <f>1.4013</f>
        <v>1.4013</v>
      </c>
      <c r="E319">
        <f>2.8725</f>
        <v>2.8725000000000001</v>
      </c>
      <c r="F319">
        <f>3.5072</f>
        <v>3.5072000000000001</v>
      </c>
    </row>
    <row r="320" spans="1:6" x14ac:dyDescent="0.25">
      <c r="A320" s="2">
        <v>44347</v>
      </c>
      <c r="B320">
        <f>2.4482</f>
        <v>2.4481999999999999</v>
      </c>
      <c r="C320">
        <f>2.5954</f>
        <v>2.5954000000000002</v>
      </c>
      <c r="D320">
        <f>1.3912</f>
        <v>1.3912</v>
      </c>
      <c r="E320">
        <f>2.8317</f>
        <v>2.8317000000000001</v>
      </c>
      <c r="F320" t="e">
        <f>NA()</f>
        <v>#N/A</v>
      </c>
    </row>
    <row r="321" spans="1:6" x14ac:dyDescent="0.25">
      <c r="A321" s="2">
        <v>44344</v>
      </c>
      <c r="B321">
        <f>2.4482</f>
        <v>2.4481999999999999</v>
      </c>
      <c r="C321">
        <f>2.5954</f>
        <v>2.5954000000000002</v>
      </c>
      <c r="D321">
        <f>1.3896</f>
        <v>1.3895999999999999</v>
      </c>
      <c r="E321">
        <f>2.8317</f>
        <v>2.8317000000000001</v>
      </c>
      <c r="F321">
        <f>3.4888</f>
        <v>3.4887999999999999</v>
      </c>
    </row>
    <row r="322" spans="1:6" x14ac:dyDescent="0.25">
      <c r="A322" s="2">
        <v>44343</v>
      </c>
      <c r="B322">
        <f>2.4396</f>
        <v>2.4396</v>
      </c>
      <c r="C322">
        <f>2.6187</f>
        <v>2.6187</v>
      </c>
      <c r="D322">
        <f>1.3494</f>
        <v>1.3493999999999999</v>
      </c>
      <c r="E322">
        <f>2.8578</f>
        <v>2.8578000000000001</v>
      </c>
      <c r="F322">
        <f>3.4726</f>
        <v>3.4725999999999999</v>
      </c>
    </row>
    <row r="323" spans="1:6" x14ac:dyDescent="0.25">
      <c r="A323" s="2">
        <v>44342</v>
      </c>
      <c r="B323">
        <f>2.4273</f>
        <v>2.4272999999999998</v>
      </c>
      <c r="C323">
        <f>2.6111</f>
        <v>2.6111</v>
      </c>
      <c r="D323">
        <f>1.3613</f>
        <v>1.3613</v>
      </c>
      <c r="E323">
        <f>2.8592</f>
        <v>2.8592</v>
      </c>
      <c r="F323">
        <f>3.4758</f>
        <v>3.4758</v>
      </c>
    </row>
    <row r="324" spans="1:6" x14ac:dyDescent="0.25">
      <c r="A324" s="2">
        <v>44341</v>
      </c>
      <c r="B324">
        <f>2.4468</f>
        <v>2.4468000000000001</v>
      </c>
      <c r="C324">
        <f>2.6413</f>
        <v>2.6413000000000002</v>
      </c>
      <c r="D324">
        <f>1.3993</f>
        <v>1.3993</v>
      </c>
      <c r="E324">
        <f>2.8969</f>
        <v>2.8969</v>
      </c>
      <c r="F324">
        <f>3.4948</f>
        <v>3.4948000000000001</v>
      </c>
    </row>
    <row r="325" spans="1:6" x14ac:dyDescent="0.25">
      <c r="A325" s="2">
        <v>44340</v>
      </c>
      <c r="B325">
        <f>2.4598</f>
        <v>2.4598</v>
      </c>
      <c r="C325">
        <f>2.6624</f>
        <v>2.6623999999999999</v>
      </c>
      <c r="D325">
        <f>1.3981</f>
        <v>1.3980999999999999</v>
      </c>
      <c r="E325">
        <f>2.9063</f>
        <v>2.9062999999999999</v>
      </c>
      <c r="F325">
        <f>3.5143</f>
        <v>3.5143</v>
      </c>
    </row>
    <row r="326" spans="1:6" x14ac:dyDescent="0.25">
      <c r="A326" s="2">
        <v>44337</v>
      </c>
      <c r="B326">
        <f>2.4473</f>
        <v>2.4472999999999998</v>
      </c>
      <c r="C326">
        <f>2.6387</f>
        <v>2.6387</v>
      </c>
      <c r="D326">
        <f>1.3882</f>
        <v>1.3882000000000001</v>
      </c>
      <c r="E326">
        <f>2.8299</f>
        <v>2.8298999999999999</v>
      </c>
      <c r="F326">
        <f>3.5432</f>
        <v>3.5432000000000001</v>
      </c>
    </row>
    <row r="327" spans="1:6" x14ac:dyDescent="0.25">
      <c r="A327" s="2">
        <v>44336</v>
      </c>
      <c r="B327">
        <f>2.4529</f>
        <v>2.4529000000000001</v>
      </c>
      <c r="C327">
        <f>2.615</f>
        <v>2.6150000000000002</v>
      </c>
      <c r="D327">
        <f>1.393</f>
        <v>1.393</v>
      </c>
      <c r="E327">
        <f>2.7803</f>
        <v>2.7803</v>
      </c>
      <c r="F327">
        <f>3.5011</f>
        <v>3.5011000000000001</v>
      </c>
    </row>
    <row r="328" spans="1:6" x14ac:dyDescent="0.25">
      <c r="A328" s="2">
        <v>44335</v>
      </c>
      <c r="B328">
        <f>2.4954</f>
        <v>2.4954000000000001</v>
      </c>
      <c r="C328">
        <f>2.6657</f>
        <v>2.6657000000000002</v>
      </c>
      <c r="D328">
        <f>1.4312</f>
        <v>1.4312</v>
      </c>
      <c r="E328">
        <f>2.8359</f>
        <v>2.8359000000000001</v>
      </c>
      <c r="F328">
        <f>3.5149</f>
        <v>3.5148999999999999</v>
      </c>
    </row>
    <row r="329" spans="1:6" x14ac:dyDescent="0.25">
      <c r="A329" s="2">
        <v>44334</v>
      </c>
      <c r="B329">
        <f>2.5499</f>
        <v>2.5499000000000001</v>
      </c>
      <c r="C329">
        <f>2.7482</f>
        <v>2.7482000000000002</v>
      </c>
      <c r="D329">
        <f>1.4716</f>
        <v>1.4716</v>
      </c>
      <c r="E329">
        <f>2.9573</f>
        <v>2.9573</v>
      </c>
      <c r="F329">
        <f>3.5181</f>
        <v>3.5181</v>
      </c>
    </row>
    <row r="330" spans="1:6" x14ac:dyDescent="0.25">
      <c r="A330" s="2">
        <v>44333</v>
      </c>
      <c r="B330">
        <f>2.5649</f>
        <v>2.5649000000000002</v>
      </c>
      <c r="C330">
        <f>2.7684</f>
        <v>2.7684000000000002</v>
      </c>
      <c r="D330">
        <f>1.4577</f>
        <v>1.4577</v>
      </c>
      <c r="E330">
        <f>2.9567</f>
        <v>2.9567000000000001</v>
      </c>
      <c r="F330">
        <f>3.5188</f>
        <v>3.5188000000000001</v>
      </c>
    </row>
    <row r="331" spans="1:6" x14ac:dyDescent="0.25">
      <c r="A331" s="2">
        <v>44330</v>
      </c>
      <c r="B331">
        <f>2.5387</f>
        <v>2.5387</v>
      </c>
      <c r="C331">
        <f>2.7118</f>
        <v>2.7118000000000002</v>
      </c>
      <c r="D331">
        <f>1.4366</f>
        <v>1.4366000000000001</v>
      </c>
      <c r="E331">
        <f>2.8805</f>
        <v>2.8805000000000001</v>
      </c>
      <c r="F331">
        <f>3.5053</f>
        <v>3.5053000000000001</v>
      </c>
    </row>
    <row r="332" spans="1:6" x14ac:dyDescent="0.25">
      <c r="A332" s="2">
        <v>44329</v>
      </c>
      <c r="B332">
        <f>2.537</f>
        <v>2.5369999999999999</v>
      </c>
      <c r="C332">
        <f>2.6892</f>
        <v>2.6892</v>
      </c>
      <c r="D332">
        <f>1.4717</f>
        <v>1.4717</v>
      </c>
      <c r="E332">
        <f>2.8201</f>
        <v>2.8201000000000001</v>
      </c>
      <c r="F332">
        <f>3.4961</f>
        <v>3.4961000000000002</v>
      </c>
    </row>
    <row r="333" spans="1:6" x14ac:dyDescent="0.25">
      <c r="A333" s="2">
        <v>44328</v>
      </c>
      <c r="B333">
        <f>2.5625</f>
        <v>2.5625</v>
      </c>
      <c r="C333">
        <f>2.7481</f>
        <v>2.7481</v>
      </c>
      <c r="D333">
        <f>1.4847</f>
        <v>1.4846999999999999</v>
      </c>
      <c r="E333">
        <f>2.8711</f>
        <v>2.8711000000000002</v>
      </c>
      <c r="F333">
        <f>3.5132</f>
        <v>3.5131999999999999</v>
      </c>
    </row>
    <row r="334" spans="1:6" x14ac:dyDescent="0.25">
      <c r="A334" s="2">
        <v>44327</v>
      </c>
      <c r="B334">
        <f>2.5401</f>
        <v>2.5400999999999998</v>
      </c>
      <c r="C334">
        <f>2.7131</f>
        <v>2.7130999999999998</v>
      </c>
      <c r="D334">
        <f>1.4384</f>
        <v>1.4383999999999999</v>
      </c>
      <c r="E334">
        <f>2.7588</f>
        <v>2.7587999999999999</v>
      </c>
      <c r="F334">
        <f>3.5038</f>
        <v>3.5038</v>
      </c>
    </row>
    <row r="335" spans="1:6" x14ac:dyDescent="0.25">
      <c r="A335" s="2">
        <v>44326</v>
      </c>
      <c r="B335">
        <f>2.531</f>
        <v>2.5310000000000001</v>
      </c>
      <c r="C335">
        <f>2.73</f>
        <v>2.73</v>
      </c>
      <c r="D335">
        <f>1.4188</f>
        <v>1.4188000000000001</v>
      </c>
      <c r="E335">
        <f>2.7963</f>
        <v>2.7963</v>
      </c>
      <c r="F335">
        <f>3.5363</f>
        <v>3.5363000000000002</v>
      </c>
    </row>
    <row r="336" spans="1:6" x14ac:dyDescent="0.25">
      <c r="A336" s="2">
        <v>44323</v>
      </c>
      <c r="B336">
        <f>2.5055</f>
        <v>2.5055000000000001</v>
      </c>
      <c r="C336">
        <f>2.6986</f>
        <v>2.6985999999999999</v>
      </c>
      <c r="D336">
        <f>1.3775</f>
        <v>1.3774999999999999</v>
      </c>
      <c r="E336">
        <f>2.7789</f>
        <v>2.7789000000000001</v>
      </c>
      <c r="F336">
        <f>3.5363</f>
        <v>3.5363000000000002</v>
      </c>
    </row>
    <row r="337" spans="1:6" x14ac:dyDescent="0.25">
      <c r="A337" s="2">
        <v>44322</v>
      </c>
      <c r="B337">
        <f>2.4567</f>
        <v>2.4567000000000001</v>
      </c>
      <c r="C337">
        <f>2.6759</f>
        <v>2.6758999999999999</v>
      </c>
      <c r="D337">
        <f>1.3437</f>
        <v>1.3436999999999999</v>
      </c>
      <c r="E337">
        <f>2.7948</f>
        <v>2.7948</v>
      </c>
      <c r="F337">
        <f>3.5516</f>
        <v>3.5516000000000001</v>
      </c>
    </row>
    <row r="338" spans="1:6" x14ac:dyDescent="0.25">
      <c r="A338" s="2">
        <v>44321</v>
      </c>
      <c r="B338">
        <f>2.4728</f>
        <v>2.4727999999999999</v>
      </c>
      <c r="C338">
        <f>2.7118</f>
        <v>2.7118000000000002</v>
      </c>
      <c r="D338">
        <f>1.351</f>
        <v>1.351</v>
      </c>
      <c r="E338">
        <f>2.8452</f>
        <v>2.8452000000000002</v>
      </c>
      <c r="F338">
        <f>3.5406</f>
        <v>3.5406</v>
      </c>
    </row>
    <row r="339" spans="1:6" x14ac:dyDescent="0.25">
      <c r="A339" s="2">
        <v>44320</v>
      </c>
      <c r="B339">
        <f>2.4296</f>
        <v>2.4296000000000002</v>
      </c>
      <c r="C339">
        <f>2.673</f>
        <v>2.673</v>
      </c>
      <c r="D339">
        <f>1.3286</f>
        <v>1.3286</v>
      </c>
      <c r="E339">
        <f>2.818</f>
        <v>2.8180000000000001</v>
      </c>
      <c r="F339">
        <f>3.5217</f>
        <v>3.5217000000000001</v>
      </c>
    </row>
    <row r="340" spans="1:6" x14ac:dyDescent="0.25">
      <c r="A340" s="2">
        <v>44319</v>
      </c>
      <c r="B340">
        <f>2.4258</f>
        <v>2.4258000000000002</v>
      </c>
      <c r="C340">
        <f>2.6242</f>
        <v>2.6242000000000001</v>
      </c>
      <c r="D340">
        <f>1.3412</f>
        <v>1.3411999999999999</v>
      </c>
      <c r="E340">
        <f>2.7569</f>
        <v>2.7568999999999999</v>
      </c>
      <c r="F340" t="e">
        <f>NA()</f>
        <v>#N/A</v>
      </c>
    </row>
    <row r="341" spans="1:6" x14ac:dyDescent="0.25">
      <c r="A341" s="2">
        <v>44316</v>
      </c>
      <c r="B341">
        <f>2.4063</f>
        <v>2.4062999999999999</v>
      </c>
      <c r="C341">
        <f>2.5871</f>
        <v>2.5871</v>
      </c>
      <c r="D341">
        <f>1.3579</f>
        <v>1.3579000000000001</v>
      </c>
      <c r="E341">
        <f>2.6817</f>
        <v>2.6817000000000002</v>
      </c>
      <c r="F341">
        <f>3.5219</f>
        <v>3.5219</v>
      </c>
    </row>
    <row r="342" spans="1:6" x14ac:dyDescent="0.25">
      <c r="A342" s="2">
        <v>44315</v>
      </c>
      <c r="B342">
        <f>2.4258</f>
        <v>2.4258000000000002</v>
      </c>
      <c r="C342">
        <f>2.5879</f>
        <v>2.5878999999999999</v>
      </c>
      <c r="D342">
        <f>1.3645</f>
        <v>1.3645</v>
      </c>
      <c r="E342">
        <f>2.7695</f>
        <v>2.7694999999999999</v>
      </c>
      <c r="F342">
        <f>3.496</f>
        <v>3.496</v>
      </c>
    </row>
    <row r="343" spans="1:6" x14ac:dyDescent="0.25">
      <c r="A343" s="2">
        <v>44314</v>
      </c>
      <c r="B343">
        <f>2.4247</f>
        <v>2.4247000000000001</v>
      </c>
      <c r="C343">
        <f>2.5729</f>
        <v>2.5729000000000002</v>
      </c>
      <c r="D343">
        <f>1.3379</f>
        <v>1.3379000000000001</v>
      </c>
      <c r="E343">
        <f>2.7777</f>
        <v>2.7776999999999998</v>
      </c>
      <c r="F343">
        <f>3.486</f>
        <v>3.4860000000000002</v>
      </c>
    </row>
    <row r="344" spans="1:6" x14ac:dyDescent="0.25">
      <c r="A344" s="2">
        <v>44313</v>
      </c>
      <c r="B344">
        <f>2.4085</f>
        <v>2.4085000000000001</v>
      </c>
      <c r="C344">
        <f>2.5405</f>
        <v>2.5405000000000002</v>
      </c>
      <c r="D344">
        <f>1.3137</f>
        <v>1.3137000000000001</v>
      </c>
      <c r="E344">
        <f>2.6529</f>
        <v>2.6528999999999998</v>
      </c>
      <c r="F344">
        <f>3.4823</f>
        <v>3.4823</v>
      </c>
    </row>
    <row r="345" spans="1:6" x14ac:dyDescent="0.25">
      <c r="A345" s="2">
        <v>44312</v>
      </c>
      <c r="B345">
        <f>2.3627</f>
        <v>2.3626999999999998</v>
      </c>
      <c r="C345">
        <f>2.47</f>
        <v>2.4700000000000002</v>
      </c>
      <c r="D345">
        <f>1.3013</f>
        <v>1.3012999999999999</v>
      </c>
      <c r="E345">
        <f>2.6123</f>
        <v>2.6122999999999998</v>
      </c>
      <c r="F345">
        <f>3.476</f>
        <v>3.476</v>
      </c>
    </row>
    <row r="346" spans="1:6" x14ac:dyDescent="0.25">
      <c r="A346" s="2">
        <v>44309</v>
      </c>
      <c r="B346">
        <f>2.3389</f>
        <v>2.3389000000000002</v>
      </c>
      <c r="C346">
        <f>2.4405</f>
        <v>2.4405000000000001</v>
      </c>
      <c r="D346">
        <f>1.3111</f>
        <v>1.3110999999999999</v>
      </c>
      <c r="E346">
        <f>2.5712</f>
        <v>2.5712000000000002</v>
      </c>
      <c r="F346">
        <f>3.4678</f>
        <v>3.4678</v>
      </c>
    </row>
    <row r="347" spans="1:6" x14ac:dyDescent="0.25">
      <c r="A347" s="2">
        <v>44308</v>
      </c>
      <c r="B347">
        <f>2.3321</f>
        <v>2.3321000000000001</v>
      </c>
      <c r="C347">
        <f>2.572</f>
        <v>2.5720000000000001</v>
      </c>
      <c r="D347">
        <f>1.3105</f>
        <v>1.3105</v>
      </c>
      <c r="E347">
        <f>2.6352</f>
        <v>2.6352000000000002</v>
      </c>
      <c r="F347">
        <f>3.457</f>
        <v>3.4569999999999999</v>
      </c>
    </row>
    <row r="348" spans="1:6" x14ac:dyDescent="0.25">
      <c r="A348" s="2">
        <v>44307</v>
      </c>
      <c r="B348">
        <f>2.3341</f>
        <v>2.3340999999999998</v>
      </c>
      <c r="C348">
        <f>2.5726</f>
        <v>2.5726</v>
      </c>
      <c r="D348">
        <f>1.3271</f>
        <v>1.3270999999999999</v>
      </c>
      <c r="E348">
        <f>2.6235</f>
        <v>2.6234999999999999</v>
      </c>
      <c r="F348">
        <f>3.4551</f>
        <v>3.4550999999999998</v>
      </c>
    </row>
    <row r="349" spans="1:6" x14ac:dyDescent="0.25">
      <c r="A349" s="2">
        <v>44306</v>
      </c>
      <c r="B349">
        <f>2.3308</f>
        <v>2.3308</v>
      </c>
      <c r="C349">
        <f>2.581</f>
        <v>2.581</v>
      </c>
      <c r="D349">
        <f>1.3321</f>
        <v>1.3321000000000001</v>
      </c>
      <c r="E349">
        <f>2.646</f>
        <v>2.6459999999999999</v>
      </c>
      <c r="F349">
        <f>3.4527</f>
        <v>3.4527000000000001</v>
      </c>
    </row>
    <row r="350" spans="1:6" x14ac:dyDescent="0.25">
      <c r="A350" s="2">
        <v>44305</v>
      </c>
      <c r="B350">
        <f>2.3545</f>
        <v>2.3544999999999998</v>
      </c>
      <c r="C350">
        <f>2.6056</f>
        <v>2.6055999999999999</v>
      </c>
      <c r="D350">
        <f>1.3216</f>
        <v>1.3216000000000001</v>
      </c>
      <c r="E350">
        <f>2.6707</f>
        <v>2.6707000000000001</v>
      </c>
      <c r="F350">
        <f>3.4816</f>
        <v>3.4815999999999998</v>
      </c>
    </row>
    <row r="351" spans="1:6" x14ac:dyDescent="0.25">
      <c r="A351" s="2">
        <v>44302</v>
      </c>
      <c r="B351">
        <f>2.3703</f>
        <v>2.3702999999999999</v>
      </c>
      <c r="C351">
        <f>2.6249</f>
        <v>2.6248999999999998</v>
      </c>
      <c r="D351">
        <f>1.3005</f>
        <v>1.3005</v>
      </c>
      <c r="E351">
        <f>2.6983</f>
        <v>2.6983000000000001</v>
      </c>
      <c r="F351">
        <f>3.4899</f>
        <v>3.4899</v>
      </c>
    </row>
    <row r="352" spans="1:6" x14ac:dyDescent="0.25">
      <c r="A352" s="2">
        <v>44301</v>
      </c>
      <c r="B352">
        <f>2.3428</f>
        <v>2.3428</v>
      </c>
      <c r="C352">
        <f>2.6097</f>
        <v>2.6097000000000001</v>
      </c>
      <c r="D352">
        <f>1.3181</f>
        <v>1.3181</v>
      </c>
      <c r="E352">
        <f>2.7138</f>
        <v>2.7138</v>
      </c>
      <c r="F352">
        <f>3.4824</f>
        <v>3.4824000000000002</v>
      </c>
    </row>
    <row r="353" spans="1:6" x14ac:dyDescent="0.25">
      <c r="A353" s="2">
        <v>44300</v>
      </c>
      <c r="B353">
        <f>2.3483</f>
        <v>2.3483000000000001</v>
      </c>
      <c r="C353">
        <f>2.6171</f>
        <v>2.6171000000000002</v>
      </c>
      <c r="D353">
        <f>1.3422</f>
        <v>1.3422000000000001</v>
      </c>
      <c r="E353">
        <f>2.7231</f>
        <v>2.7231000000000001</v>
      </c>
      <c r="F353">
        <f>3.5168</f>
        <v>3.5167999999999999</v>
      </c>
    </row>
    <row r="354" spans="1:6" x14ac:dyDescent="0.25">
      <c r="A354" s="2">
        <v>44299</v>
      </c>
      <c r="B354">
        <f>2.3263</f>
        <v>2.3262999999999998</v>
      </c>
      <c r="C354">
        <f>2.5891</f>
        <v>2.5891000000000002</v>
      </c>
      <c r="D354">
        <f>1.356</f>
        <v>1.3560000000000001</v>
      </c>
      <c r="E354">
        <f>2.7157</f>
        <v>2.7157</v>
      </c>
      <c r="F354">
        <f>3.5327</f>
        <v>3.5327000000000002</v>
      </c>
    </row>
    <row r="355" spans="1:6" x14ac:dyDescent="0.25">
      <c r="A355" s="2">
        <v>44298</v>
      </c>
      <c r="B355">
        <f>2.3362</f>
        <v>2.3361999999999998</v>
      </c>
      <c r="C355">
        <f>2.5973</f>
        <v>2.5973000000000002</v>
      </c>
      <c r="D355">
        <f>1.3541</f>
        <v>1.3541000000000001</v>
      </c>
      <c r="E355">
        <f>2.6782</f>
        <v>2.6781999999999999</v>
      </c>
      <c r="F355">
        <f>3.5267</f>
        <v>3.5266999999999999</v>
      </c>
    </row>
    <row r="356" spans="1:6" x14ac:dyDescent="0.25">
      <c r="A356" s="2">
        <v>44295</v>
      </c>
      <c r="B356">
        <f>2.325</f>
        <v>2.3250000000000002</v>
      </c>
      <c r="C356">
        <f>2.5773</f>
        <v>2.5773000000000001</v>
      </c>
      <c r="D356">
        <f>1.3546</f>
        <v>1.3546</v>
      </c>
      <c r="E356">
        <f>2.6661</f>
        <v>2.6661000000000001</v>
      </c>
      <c r="F356">
        <f>3.5126</f>
        <v>3.5125999999999999</v>
      </c>
    </row>
    <row r="357" spans="1:6" x14ac:dyDescent="0.25">
      <c r="A357" s="2">
        <v>44294</v>
      </c>
      <c r="B357">
        <f>2.3157</f>
        <v>2.3157000000000001</v>
      </c>
      <c r="C357">
        <f>2.5705</f>
        <v>2.5705</v>
      </c>
      <c r="D357">
        <f>1.3506</f>
        <v>1.3506</v>
      </c>
      <c r="E357">
        <f>2.6637</f>
        <v>2.6637</v>
      </c>
      <c r="F357">
        <f>3.5475</f>
        <v>3.5474999999999999</v>
      </c>
    </row>
    <row r="358" spans="1:6" x14ac:dyDescent="0.25">
      <c r="A358" s="2">
        <v>44293</v>
      </c>
      <c r="B358">
        <f>2.3432</f>
        <v>2.3431999999999999</v>
      </c>
      <c r="C358">
        <f>2.5925</f>
        <v>2.5924999999999998</v>
      </c>
      <c r="D358">
        <f>1.3491</f>
        <v>1.3491</v>
      </c>
      <c r="E358">
        <f>2.6441</f>
        <v>2.6440999999999999</v>
      </c>
      <c r="F358">
        <f>3.561</f>
        <v>3.5609999999999999</v>
      </c>
    </row>
    <row r="359" spans="1:6" x14ac:dyDescent="0.25">
      <c r="A359" s="2">
        <v>44292</v>
      </c>
      <c r="B359">
        <f>2.3166</f>
        <v>2.3166000000000002</v>
      </c>
      <c r="C359">
        <f>2.5655</f>
        <v>2.5655000000000001</v>
      </c>
      <c r="D359">
        <f>1.3485</f>
        <v>1.3485</v>
      </c>
      <c r="E359">
        <f>2.6256</f>
        <v>2.6255999999999999</v>
      </c>
      <c r="F359">
        <f>3.5823</f>
        <v>3.5823</v>
      </c>
    </row>
    <row r="360" spans="1:6" x14ac:dyDescent="0.25">
      <c r="A360" s="2">
        <v>44291</v>
      </c>
      <c r="B360">
        <f>2.3543</f>
        <v>2.3542999999999998</v>
      </c>
      <c r="C360">
        <f>2.6007</f>
        <v>2.6006999999999998</v>
      </c>
      <c r="D360">
        <f>1.3391</f>
        <v>1.3391</v>
      </c>
      <c r="E360">
        <f>2.6426</f>
        <v>2.6425999999999998</v>
      </c>
      <c r="F360" t="e">
        <f>NA()</f>
        <v>#N/A</v>
      </c>
    </row>
    <row r="361" spans="1:6" x14ac:dyDescent="0.25">
      <c r="A361" s="2">
        <v>44288</v>
      </c>
      <c r="B361">
        <f>2.371</f>
        <v>2.371</v>
      </c>
      <c r="C361">
        <f>2.6345</f>
        <v>2.6345000000000001</v>
      </c>
      <c r="D361">
        <f>1.3391</f>
        <v>1.3391</v>
      </c>
      <c r="E361">
        <f>2.682</f>
        <v>2.6819999999999999</v>
      </c>
      <c r="F361" t="e">
        <f>NA()</f>
        <v>#N/A</v>
      </c>
    </row>
    <row r="362" spans="1:6" x14ac:dyDescent="0.25">
      <c r="A362" s="2">
        <v>44287</v>
      </c>
      <c r="B362">
        <f>2.3534</f>
        <v>2.3534000000000002</v>
      </c>
      <c r="C362">
        <f>2.6122</f>
        <v>2.6122000000000001</v>
      </c>
      <c r="D362">
        <f>1.3392</f>
        <v>1.3391999999999999</v>
      </c>
      <c r="E362">
        <f>2.6985</f>
        <v>2.6985000000000001</v>
      </c>
      <c r="F362">
        <f>3.5993</f>
        <v>3.5992999999999999</v>
      </c>
    </row>
    <row r="363" spans="1:6" x14ac:dyDescent="0.25">
      <c r="A363" s="2">
        <v>44286</v>
      </c>
      <c r="B363">
        <f>2.3741</f>
        <v>2.3740999999999999</v>
      </c>
      <c r="C363">
        <f>2.6016</f>
        <v>2.6015999999999999</v>
      </c>
      <c r="D363">
        <f>1.3219</f>
        <v>1.3219000000000001</v>
      </c>
      <c r="E363">
        <f>2.6642</f>
        <v>2.6642000000000001</v>
      </c>
      <c r="F363">
        <f>3.5596</f>
        <v>3.5596000000000001</v>
      </c>
    </row>
    <row r="364" spans="1:6" x14ac:dyDescent="0.25">
      <c r="A364" s="2">
        <v>44285</v>
      </c>
      <c r="B364">
        <f>2.3472</f>
        <v>2.3472</v>
      </c>
      <c r="C364">
        <f>2.5733</f>
        <v>2.5733000000000001</v>
      </c>
      <c r="D364">
        <f>1.3076</f>
        <v>1.3076000000000001</v>
      </c>
      <c r="E364">
        <f>2.6687</f>
        <v>2.6686999999999999</v>
      </c>
      <c r="F364">
        <f>3.538</f>
        <v>3.5379999999999998</v>
      </c>
    </row>
    <row r="365" spans="1:6" x14ac:dyDescent="0.25">
      <c r="A365" s="2">
        <v>44284</v>
      </c>
      <c r="B365">
        <f>2.3654</f>
        <v>2.3654000000000002</v>
      </c>
      <c r="C365">
        <f>2.6131</f>
        <v>2.6131000000000002</v>
      </c>
      <c r="D365">
        <f>1.2946</f>
        <v>1.2946</v>
      </c>
      <c r="E365">
        <f>2.689</f>
        <v>2.6890000000000001</v>
      </c>
      <c r="F365">
        <f>3.5432</f>
        <v>3.5432000000000001</v>
      </c>
    </row>
    <row r="366" spans="1:6" x14ac:dyDescent="0.25">
      <c r="A366" s="2">
        <v>44281</v>
      </c>
      <c r="B366">
        <f>2.359</f>
        <v>2.359</v>
      </c>
      <c r="C366">
        <f>2.6295</f>
        <v>2.6295000000000002</v>
      </c>
      <c r="D366">
        <f>1.2933</f>
        <v>1.2932999999999999</v>
      </c>
      <c r="E366">
        <f>2.7214</f>
        <v>2.7214</v>
      </c>
      <c r="F366">
        <f>3.5366</f>
        <v>3.5366</v>
      </c>
    </row>
    <row r="367" spans="1:6" x14ac:dyDescent="0.25">
      <c r="A367" s="2">
        <v>44280</v>
      </c>
      <c r="B367">
        <f>2.3208</f>
        <v>2.3208000000000002</v>
      </c>
      <c r="C367">
        <f>2.5855</f>
        <v>2.5855000000000001</v>
      </c>
      <c r="D367">
        <f>1.2655</f>
        <v>1.2655000000000001</v>
      </c>
      <c r="E367">
        <f>2.661</f>
        <v>2.661</v>
      </c>
      <c r="F367">
        <f>3.5073</f>
        <v>3.5072999999999999</v>
      </c>
    </row>
    <row r="368" spans="1:6" x14ac:dyDescent="0.25">
      <c r="A368" s="2">
        <v>44279</v>
      </c>
      <c r="B368">
        <f>2.3126</f>
        <v>2.3126000000000002</v>
      </c>
      <c r="C368">
        <f>2.5725</f>
        <v>2.5724999999999998</v>
      </c>
      <c r="D368">
        <f>1.2811</f>
        <v>1.2810999999999999</v>
      </c>
      <c r="E368">
        <f>2.6705</f>
        <v>2.6705000000000001</v>
      </c>
      <c r="F368">
        <f>3.4744</f>
        <v>3.4744000000000002</v>
      </c>
    </row>
    <row r="369" spans="1:6" x14ac:dyDescent="0.25">
      <c r="A369" s="2">
        <v>44278</v>
      </c>
      <c r="B369">
        <f>2.2991</f>
        <v>2.2991000000000001</v>
      </c>
      <c r="C369">
        <f>2.5259</f>
        <v>2.5259</v>
      </c>
      <c r="D369">
        <f>1.2365</f>
        <v>1.2364999999999999</v>
      </c>
      <c r="E369">
        <f>2.5891</f>
        <v>2.5891000000000002</v>
      </c>
      <c r="F369">
        <f>3.4553</f>
        <v>3.4552999999999998</v>
      </c>
    </row>
    <row r="370" spans="1:6" x14ac:dyDescent="0.25">
      <c r="A370" s="2">
        <v>44277</v>
      </c>
      <c r="B370">
        <f>2.3221</f>
        <v>2.3220999999999998</v>
      </c>
      <c r="C370">
        <f>2.5584</f>
        <v>2.5583999999999998</v>
      </c>
      <c r="D370">
        <f>1.242</f>
        <v>1.242</v>
      </c>
      <c r="E370">
        <f>2.6189</f>
        <v>2.6189</v>
      </c>
      <c r="F370">
        <f>3.4557</f>
        <v>3.4557000000000002</v>
      </c>
    </row>
    <row r="371" spans="1:6" x14ac:dyDescent="0.25">
      <c r="A371" s="2">
        <v>44274</v>
      </c>
      <c r="B371">
        <f>2.3076</f>
        <v>2.3075999999999999</v>
      </c>
      <c r="C371">
        <f>2.5535</f>
        <v>2.5535000000000001</v>
      </c>
      <c r="D371">
        <f>1.222</f>
        <v>1.222</v>
      </c>
      <c r="E371">
        <f>2.6111</f>
        <v>2.6111</v>
      </c>
      <c r="F371">
        <f>3.462</f>
        <v>3.4620000000000002</v>
      </c>
    </row>
    <row r="372" spans="1:6" x14ac:dyDescent="0.25">
      <c r="A372" s="2">
        <v>44273</v>
      </c>
      <c r="B372">
        <f>2.2957</f>
        <v>2.2957000000000001</v>
      </c>
      <c r="C372">
        <f>2.5669</f>
        <v>2.5669</v>
      </c>
      <c r="D372">
        <f>1.2429</f>
        <v>1.2428999999999999</v>
      </c>
      <c r="E372">
        <f>2.6206</f>
        <v>2.6206</v>
      </c>
      <c r="F372">
        <f>3.46</f>
        <v>3.46</v>
      </c>
    </row>
    <row r="373" spans="1:6" x14ac:dyDescent="0.25">
      <c r="A373" s="2">
        <v>44272</v>
      </c>
      <c r="B373">
        <f>2.3089</f>
        <v>2.3089</v>
      </c>
      <c r="C373">
        <f>2.6355</f>
        <v>2.6355</v>
      </c>
      <c r="D373">
        <f>1.2503</f>
        <v>1.2503</v>
      </c>
      <c r="E373">
        <f>2.7303</f>
        <v>2.7303000000000002</v>
      </c>
      <c r="F373">
        <f>3.4729</f>
        <v>3.4729000000000001</v>
      </c>
    </row>
    <row r="374" spans="1:6" x14ac:dyDescent="0.25">
      <c r="A374" s="2">
        <v>44271</v>
      </c>
      <c r="B374">
        <f>2.3037</f>
        <v>2.3037000000000001</v>
      </c>
      <c r="C374">
        <f>2.6524</f>
        <v>2.6524000000000001</v>
      </c>
      <c r="D374">
        <f>1.2654</f>
        <v>1.2654000000000001</v>
      </c>
      <c r="E374">
        <f>2.744</f>
        <v>2.7440000000000002</v>
      </c>
      <c r="F374">
        <f>3.4527</f>
        <v>3.4527000000000001</v>
      </c>
    </row>
    <row r="375" spans="1:6" x14ac:dyDescent="0.25">
      <c r="A375" s="2">
        <v>44270</v>
      </c>
      <c r="B375">
        <f>2.2744</f>
        <v>2.2744</v>
      </c>
      <c r="C375">
        <f>2.5999</f>
        <v>2.5998999999999999</v>
      </c>
      <c r="D375">
        <f>1.2374</f>
        <v>1.2374000000000001</v>
      </c>
      <c r="E375">
        <f>2.7009</f>
        <v>2.7008999999999999</v>
      </c>
      <c r="F375">
        <f>3.4513</f>
        <v>3.4512999999999998</v>
      </c>
    </row>
    <row r="376" spans="1:6" x14ac:dyDescent="0.25">
      <c r="A376" s="2">
        <v>44267</v>
      </c>
      <c r="B376">
        <f>2.2765</f>
        <v>2.2765</v>
      </c>
      <c r="C376">
        <f>2.5829</f>
        <v>2.5829</v>
      </c>
      <c r="D376">
        <f>1.2341</f>
        <v>1.2341</v>
      </c>
      <c r="E376">
        <f>2.6806</f>
        <v>2.6806000000000001</v>
      </c>
      <c r="F376">
        <f>3.4161</f>
        <v>3.4161000000000001</v>
      </c>
    </row>
    <row r="377" spans="1:6" x14ac:dyDescent="0.25">
      <c r="A377" s="2">
        <v>44266</v>
      </c>
      <c r="B377">
        <f>2.2883</f>
        <v>2.2883</v>
      </c>
      <c r="C377">
        <f>2.5773</f>
        <v>2.5773000000000001</v>
      </c>
      <c r="D377">
        <f>1.1999</f>
        <v>1.1999</v>
      </c>
      <c r="E377">
        <f>2.7101</f>
        <v>2.7101000000000002</v>
      </c>
      <c r="F377">
        <f>3.4144</f>
        <v>3.4144000000000001</v>
      </c>
    </row>
    <row r="378" spans="1:6" x14ac:dyDescent="0.25">
      <c r="A378" s="2">
        <v>44265</v>
      </c>
      <c r="B378">
        <f>2.2719</f>
        <v>2.2719</v>
      </c>
      <c r="C378">
        <f>2.52</f>
        <v>2.52</v>
      </c>
      <c r="D378">
        <f>1.1835</f>
        <v>1.1835</v>
      </c>
      <c r="E378">
        <f>2.6321</f>
        <v>2.6320999999999999</v>
      </c>
      <c r="F378">
        <f>3.4132</f>
        <v>3.4131999999999998</v>
      </c>
    </row>
    <row r="379" spans="1:6" x14ac:dyDescent="0.25">
      <c r="A379" s="2">
        <v>44264</v>
      </c>
      <c r="B379">
        <f>2.2215</f>
        <v>2.2214999999999998</v>
      </c>
      <c r="C379">
        <f>2.4616</f>
        <v>2.4615999999999998</v>
      </c>
      <c r="D379">
        <f>1.18</f>
        <v>1.18</v>
      </c>
      <c r="E379">
        <f>2.5836</f>
        <v>2.5836000000000001</v>
      </c>
      <c r="F379">
        <f>3.4054</f>
        <v>3.4054000000000002</v>
      </c>
    </row>
    <row r="380" spans="1:6" x14ac:dyDescent="0.25">
      <c r="A380" s="2">
        <v>44263</v>
      </c>
      <c r="B380">
        <f>2.2132</f>
        <v>2.2132000000000001</v>
      </c>
      <c r="C380">
        <f>2.4511</f>
        <v>2.4510999999999998</v>
      </c>
      <c r="D380">
        <f>1.1761</f>
        <v>1.1760999999999999</v>
      </c>
      <c r="E380">
        <f>2.5501</f>
        <v>2.5501</v>
      </c>
      <c r="F380">
        <f>3.3777</f>
        <v>3.3776999999999999</v>
      </c>
    </row>
    <row r="381" spans="1:6" x14ac:dyDescent="0.25">
      <c r="A381" s="2">
        <v>44260</v>
      </c>
      <c r="B381">
        <f>2.235</f>
        <v>2.2349999999999999</v>
      </c>
      <c r="C381">
        <f>2.4873</f>
        <v>2.4872999999999998</v>
      </c>
      <c r="D381">
        <f>1.1916</f>
        <v>1.1916</v>
      </c>
      <c r="E381">
        <f>2.6007</f>
        <v>2.6006999999999998</v>
      </c>
      <c r="F381">
        <f>3.3926</f>
        <v>3.3925999999999998</v>
      </c>
    </row>
    <row r="382" spans="1:6" x14ac:dyDescent="0.25">
      <c r="A382" s="2">
        <v>44259</v>
      </c>
      <c r="B382">
        <f>2.2085</f>
        <v>2.2084999999999999</v>
      </c>
      <c r="C382">
        <f>2.4676</f>
        <v>2.4676</v>
      </c>
      <c r="D382">
        <f>1.1349</f>
        <v>1.1349</v>
      </c>
      <c r="E382">
        <f>2.5539</f>
        <v>2.5539000000000001</v>
      </c>
      <c r="F382">
        <f>3.3905</f>
        <v>3.3904999999999998</v>
      </c>
    </row>
    <row r="383" spans="1:6" x14ac:dyDescent="0.25">
      <c r="A383" s="2">
        <v>44258</v>
      </c>
      <c r="B383">
        <f>2.2218</f>
        <v>2.2218</v>
      </c>
      <c r="C383">
        <f>2.4869</f>
        <v>2.4868999999999999</v>
      </c>
      <c r="D383">
        <f>1.1291</f>
        <v>1.1291</v>
      </c>
      <c r="E383">
        <f>2.5746</f>
        <v>2.5746000000000002</v>
      </c>
      <c r="F383">
        <f>3.3773</f>
        <v>3.3773</v>
      </c>
    </row>
    <row r="384" spans="1:6" x14ac:dyDescent="0.25">
      <c r="A384" s="2">
        <v>44257</v>
      </c>
      <c r="B384">
        <f>2.197</f>
        <v>2.1970000000000001</v>
      </c>
      <c r="C384">
        <f>2.4662</f>
        <v>2.4662000000000002</v>
      </c>
      <c r="D384">
        <f>1.1075</f>
        <v>1.1074999999999999</v>
      </c>
      <c r="E384">
        <f>2.5688</f>
        <v>2.5688</v>
      </c>
      <c r="F384">
        <f>3.3517</f>
        <v>3.3517000000000001</v>
      </c>
    </row>
    <row r="385" spans="1:6" x14ac:dyDescent="0.25">
      <c r="A385" s="2">
        <v>44256</v>
      </c>
      <c r="B385">
        <f>2.16</f>
        <v>2.16</v>
      </c>
      <c r="C385">
        <f>2.434</f>
        <v>2.4340000000000002</v>
      </c>
      <c r="D385">
        <f>1.0928</f>
        <v>1.0928</v>
      </c>
      <c r="E385">
        <f>2.5128</f>
        <v>2.5127999999999999</v>
      </c>
      <c r="F385">
        <f>3.3763</f>
        <v>3.3763000000000001</v>
      </c>
    </row>
    <row r="386" spans="1:6" x14ac:dyDescent="0.25">
      <c r="A386" s="2">
        <v>44253</v>
      </c>
      <c r="B386">
        <f>2.1489</f>
        <v>2.1488999999999998</v>
      </c>
      <c r="C386">
        <f>2.4231</f>
        <v>2.4230999999999998</v>
      </c>
      <c r="D386">
        <f>1.0679</f>
        <v>1.0679000000000001</v>
      </c>
      <c r="E386">
        <f>2.4535</f>
        <v>2.4535</v>
      </c>
      <c r="F386">
        <f>3.3906</f>
        <v>3.3906000000000001</v>
      </c>
    </row>
    <row r="387" spans="1:6" x14ac:dyDescent="0.25">
      <c r="A387" s="2">
        <v>44252</v>
      </c>
      <c r="B387">
        <f>2.1326</f>
        <v>2.1326000000000001</v>
      </c>
      <c r="C387">
        <f>2.3593</f>
        <v>2.3593000000000002</v>
      </c>
      <c r="D387">
        <f>1.0744</f>
        <v>1.0744</v>
      </c>
      <c r="E387">
        <f>2.3333</f>
        <v>2.3332999999999999</v>
      </c>
      <c r="F387">
        <f>3.3931</f>
        <v>3.3931</v>
      </c>
    </row>
    <row r="388" spans="1:6" x14ac:dyDescent="0.25">
      <c r="A388" s="2">
        <v>44251</v>
      </c>
      <c r="B388">
        <f>2.1656</f>
        <v>2.1656</v>
      </c>
      <c r="C388">
        <f>2.3984</f>
        <v>2.3984000000000001</v>
      </c>
      <c r="D388">
        <f>1.0455</f>
        <v>1.0455000000000001</v>
      </c>
      <c r="E388">
        <f>2.4336</f>
        <v>2.4336000000000002</v>
      </c>
      <c r="F388">
        <f>3.306</f>
        <v>3.306</v>
      </c>
    </row>
    <row r="389" spans="1:6" x14ac:dyDescent="0.25">
      <c r="A389" s="2">
        <v>44250</v>
      </c>
      <c r="B389">
        <f>2.1732</f>
        <v>2.1732</v>
      </c>
      <c r="C389">
        <f>2.3905</f>
        <v>2.3904999999999998</v>
      </c>
      <c r="D389">
        <f>1.0366</f>
        <v>1.0366</v>
      </c>
      <c r="E389">
        <f>2.4033</f>
        <v>2.4033000000000002</v>
      </c>
      <c r="F389">
        <f>3.2794</f>
        <v>3.2793999999999999</v>
      </c>
    </row>
    <row r="390" spans="1:6" x14ac:dyDescent="0.25">
      <c r="A390" s="2">
        <v>44249</v>
      </c>
      <c r="B390">
        <f>2.1596</f>
        <v>2.1596000000000002</v>
      </c>
      <c r="C390">
        <f>2.3687</f>
        <v>2.3687</v>
      </c>
      <c r="D390">
        <f>1.0136</f>
        <v>1.0136000000000001</v>
      </c>
      <c r="E390">
        <f>2.3442</f>
        <v>2.3441999999999998</v>
      </c>
      <c r="F390">
        <f>3.2524</f>
        <v>3.2524000000000002</v>
      </c>
    </row>
    <row r="391" spans="1:6" x14ac:dyDescent="0.25">
      <c r="A391" s="2">
        <v>44246</v>
      </c>
      <c r="B391">
        <f>2.1558</f>
        <v>2.1558000000000002</v>
      </c>
      <c r="C391">
        <f>2.3148</f>
        <v>2.3148</v>
      </c>
      <c r="D391">
        <f>0.9915</f>
        <v>0.99150000000000005</v>
      </c>
      <c r="E391">
        <f>2.281</f>
        <v>2.2810000000000001</v>
      </c>
      <c r="F391">
        <f>3.2707</f>
        <v>3.2707000000000002</v>
      </c>
    </row>
    <row r="392" spans="1:6" x14ac:dyDescent="0.25">
      <c r="A392" s="2">
        <v>44245</v>
      </c>
      <c r="B392">
        <f>2.1745</f>
        <v>2.1745000000000001</v>
      </c>
      <c r="C392">
        <f>2.3205</f>
        <v>2.3205</v>
      </c>
      <c r="D392">
        <f>1.042</f>
        <v>1.042</v>
      </c>
      <c r="E392">
        <f>2.6389</f>
        <v>2.6389</v>
      </c>
      <c r="F392">
        <f>3.2441</f>
        <v>3.2441</v>
      </c>
    </row>
    <row r="393" spans="1:6" x14ac:dyDescent="0.25">
      <c r="A393" s="2">
        <v>44244</v>
      </c>
      <c r="B393">
        <f>2.2192</f>
        <v>2.2191999999999998</v>
      </c>
      <c r="C393">
        <f>2.3678</f>
        <v>2.3677999999999999</v>
      </c>
      <c r="D393">
        <f>1.0714</f>
        <v>1.0713999999999999</v>
      </c>
      <c r="E393">
        <f>2.6672</f>
        <v>2.6671999999999998</v>
      </c>
      <c r="F393">
        <f>3.2551</f>
        <v>3.2551000000000001</v>
      </c>
    </row>
    <row r="394" spans="1:6" x14ac:dyDescent="0.25">
      <c r="A394" s="2">
        <v>44243</v>
      </c>
      <c r="B394">
        <f>2.2457</f>
        <v>2.2456999999999998</v>
      </c>
      <c r="C394">
        <f>2.3949</f>
        <v>2.3948999999999998</v>
      </c>
      <c r="D394">
        <f>1.0921</f>
        <v>1.0921000000000001</v>
      </c>
      <c r="E394">
        <f>2.6378</f>
        <v>2.6377999999999999</v>
      </c>
      <c r="F394">
        <f>3.2741</f>
        <v>3.2740999999999998</v>
      </c>
    </row>
    <row r="395" spans="1:6" x14ac:dyDescent="0.25">
      <c r="A395" s="2">
        <v>44242</v>
      </c>
      <c r="B395">
        <f>2.2263</f>
        <v>2.2263000000000002</v>
      </c>
      <c r="C395">
        <f>2.3783</f>
        <v>2.3782999999999999</v>
      </c>
      <c r="D395">
        <f>1.0668</f>
        <v>1.0668</v>
      </c>
      <c r="E395">
        <f>2.6143</f>
        <v>2.6143000000000001</v>
      </c>
      <c r="F395">
        <f>3.2803</f>
        <v>3.2803</v>
      </c>
    </row>
    <row r="396" spans="1:6" x14ac:dyDescent="0.25">
      <c r="A396" s="2">
        <v>44239</v>
      </c>
      <c r="B396">
        <f>2.2263</f>
        <v>2.2263000000000002</v>
      </c>
      <c r="C396">
        <f>2.3783</f>
        <v>2.3782999999999999</v>
      </c>
      <c r="D396">
        <f>1.0742</f>
        <v>1.0742</v>
      </c>
      <c r="E396">
        <f>2.6143</f>
        <v>2.6143000000000001</v>
      </c>
      <c r="F396">
        <f>3.2552</f>
        <v>3.2551999999999999</v>
      </c>
    </row>
    <row r="397" spans="1:6" x14ac:dyDescent="0.25">
      <c r="A397" s="2">
        <v>44238</v>
      </c>
      <c r="B397">
        <f>2.2036</f>
        <v>2.2035999999999998</v>
      </c>
      <c r="C397">
        <f>2.3567</f>
        <v>2.3567</v>
      </c>
      <c r="D397">
        <f>1.0524</f>
        <v>1.0524</v>
      </c>
      <c r="E397">
        <f>2.5592</f>
        <v>2.5592000000000001</v>
      </c>
      <c r="F397">
        <f>3.2419</f>
        <v>3.2418999999999998</v>
      </c>
    </row>
    <row r="398" spans="1:6" x14ac:dyDescent="0.25">
      <c r="A398" s="2">
        <v>44237</v>
      </c>
      <c r="B398">
        <f>2.1903</f>
        <v>2.1903000000000001</v>
      </c>
      <c r="C398">
        <f>2.3306</f>
        <v>2.3306</v>
      </c>
      <c r="D398">
        <f>1.0617</f>
        <v>1.0617000000000001</v>
      </c>
      <c r="E398">
        <f>2.5338</f>
        <v>2.5337999999999998</v>
      </c>
      <c r="F398">
        <f>3.2456</f>
        <v>3.2456</v>
      </c>
    </row>
    <row r="399" spans="1:6" x14ac:dyDescent="0.25">
      <c r="A399" s="2">
        <v>44236</v>
      </c>
      <c r="B399">
        <f>2.2066</f>
        <v>2.2065999999999999</v>
      </c>
      <c r="C399">
        <f>2.3357</f>
        <v>2.3357000000000001</v>
      </c>
      <c r="D399">
        <f>1.065</f>
        <v>1.0649999999999999</v>
      </c>
      <c r="E399">
        <f>2.5346</f>
        <v>2.5346000000000002</v>
      </c>
      <c r="F399">
        <f>3.2429</f>
        <v>3.2429000000000001</v>
      </c>
    </row>
    <row r="400" spans="1:6" x14ac:dyDescent="0.25">
      <c r="A400" s="2">
        <v>44235</v>
      </c>
      <c r="B400">
        <f>2.2062</f>
        <v>2.2061999999999999</v>
      </c>
      <c r="C400">
        <f>2.3341</f>
        <v>2.3340999999999998</v>
      </c>
      <c r="D400">
        <f>1.0794</f>
        <v>1.0793999999999999</v>
      </c>
      <c r="E400">
        <f>2.5286</f>
        <v>2.5286</v>
      </c>
      <c r="F400">
        <f>3.2655</f>
        <v>3.2654999999999998</v>
      </c>
    </row>
    <row r="401" spans="1:6" x14ac:dyDescent="0.25">
      <c r="A401" s="2">
        <v>44232</v>
      </c>
      <c r="B401">
        <f>2.1987</f>
        <v>2.1987000000000001</v>
      </c>
      <c r="C401">
        <f>2.3131</f>
        <v>2.3130999999999999</v>
      </c>
      <c r="D401">
        <f>1.0874</f>
        <v>1.0873999999999999</v>
      </c>
      <c r="E401">
        <f>2.4874</f>
        <v>2.4874000000000001</v>
      </c>
      <c r="F401">
        <f>3.2671</f>
        <v>3.2671000000000001</v>
      </c>
    </row>
    <row r="402" spans="1:6" x14ac:dyDescent="0.25">
      <c r="A402" s="2">
        <v>44231</v>
      </c>
      <c r="B402">
        <f>2.1706</f>
        <v>2.1705999999999999</v>
      </c>
      <c r="C402">
        <f>2.2835</f>
        <v>2.2835000000000001</v>
      </c>
      <c r="D402">
        <f>1.1018</f>
        <v>1.1017999999999999</v>
      </c>
      <c r="E402">
        <f>2.4683</f>
        <v>2.4683000000000002</v>
      </c>
      <c r="F402">
        <f>3.2632</f>
        <v>3.2631999999999999</v>
      </c>
    </row>
    <row r="403" spans="1:6" x14ac:dyDescent="0.25">
      <c r="A403" s="2">
        <v>44230</v>
      </c>
      <c r="B403">
        <f>2.1731</f>
        <v>2.1730999999999998</v>
      </c>
      <c r="C403">
        <f>2.3009</f>
        <v>2.3008999999999999</v>
      </c>
      <c r="D403">
        <f>1.1337</f>
        <v>1.1336999999999999</v>
      </c>
      <c r="E403">
        <f>2.4809</f>
        <v>2.4809000000000001</v>
      </c>
      <c r="F403">
        <f>3.2698</f>
        <v>3.2698</v>
      </c>
    </row>
    <row r="404" spans="1:6" x14ac:dyDescent="0.25">
      <c r="A404" s="2">
        <v>44229</v>
      </c>
      <c r="B404">
        <f>2.1379</f>
        <v>2.1379000000000001</v>
      </c>
      <c r="C404">
        <f>2.2612</f>
        <v>2.2612000000000001</v>
      </c>
      <c r="D404">
        <f>1.111</f>
        <v>1.111</v>
      </c>
      <c r="E404">
        <f>2.4585</f>
        <v>2.4584999999999999</v>
      </c>
      <c r="F404">
        <f>3.2573</f>
        <v>3.2572999999999999</v>
      </c>
    </row>
    <row r="405" spans="1:6" x14ac:dyDescent="0.25">
      <c r="A405" s="2">
        <v>44228</v>
      </c>
      <c r="B405">
        <f>2.0907</f>
        <v>2.0907</v>
      </c>
      <c r="C405">
        <f>2.2124</f>
        <v>2.2124000000000001</v>
      </c>
      <c r="D405">
        <f>1.0785</f>
        <v>1.0785</v>
      </c>
      <c r="E405">
        <f>2.4131</f>
        <v>2.4131</v>
      </c>
      <c r="F405">
        <f>3.2467</f>
        <v>3.2467000000000001</v>
      </c>
    </row>
    <row r="406" spans="1:6" x14ac:dyDescent="0.25">
      <c r="A406" s="2">
        <v>44225</v>
      </c>
      <c r="B406">
        <f>2.1019</f>
        <v>2.1019000000000001</v>
      </c>
      <c r="C406">
        <f>2.2191</f>
        <v>2.2191000000000001</v>
      </c>
      <c r="D406">
        <f>1.0499</f>
        <v>1.0499000000000001</v>
      </c>
      <c r="E406">
        <f>2.4049</f>
        <v>2.4049</v>
      </c>
      <c r="F406">
        <f>3.2338</f>
        <v>3.2338</v>
      </c>
    </row>
    <row r="407" spans="1:6" x14ac:dyDescent="0.25">
      <c r="A407" s="2">
        <v>44224</v>
      </c>
      <c r="B407">
        <f>2.1088</f>
        <v>2.1088</v>
      </c>
      <c r="C407">
        <f>2.2179</f>
        <v>2.2179000000000002</v>
      </c>
      <c r="D407">
        <f>1.0307</f>
        <v>1.0306999999999999</v>
      </c>
      <c r="E407">
        <f>2.4273</f>
        <v>2.4272999999999998</v>
      </c>
      <c r="F407">
        <f>3.229</f>
        <v>3.2290000000000001</v>
      </c>
    </row>
    <row r="408" spans="1:6" x14ac:dyDescent="0.25">
      <c r="A408" s="2">
        <v>44223</v>
      </c>
      <c r="B408">
        <f>2.0517</f>
        <v>2.0516999999999999</v>
      </c>
      <c r="C408">
        <f>2.1647</f>
        <v>2.1646999999999998</v>
      </c>
      <c r="D408">
        <f>1.0087</f>
        <v>1.0086999999999999</v>
      </c>
      <c r="E408">
        <f>2.451</f>
        <v>2.4510000000000001</v>
      </c>
      <c r="F408">
        <f>3.2066</f>
        <v>3.2065999999999999</v>
      </c>
    </row>
    <row r="409" spans="1:6" x14ac:dyDescent="0.25">
      <c r="A409" s="2">
        <v>44222</v>
      </c>
      <c r="B409">
        <f>2.0672</f>
        <v>2.0672000000000001</v>
      </c>
      <c r="C409">
        <f>2.1803</f>
        <v>2.1802999999999999</v>
      </c>
      <c r="D409">
        <f>1.0086</f>
        <v>1.0085999999999999</v>
      </c>
      <c r="E409">
        <f>2.4849</f>
        <v>2.4849000000000001</v>
      </c>
      <c r="F409">
        <f>3.2</f>
        <v>3.2</v>
      </c>
    </row>
    <row r="410" spans="1:6" x14ac:dyDescent="0.25">
      <c r="A410" s="2">
        <v>44221</v>
      </c>
      <c r="B410">
        <f>2.0713</f>
        <v>2.0712999999999999</v>
      </c>
      <c r="C410">
        <f>2.1779</f>
        <v>2.1779000000000002</v>
      </c>
      <c r="D410">
        <f>1.0079</f>
        <v>1.0079</v>
      </c>
      <c r="E410">
        <f>2.4819</f>
        <v>2.4819</v>
      </c>
      <c r="F410">
        <f>3.1901</f>
        <v>3.1901000000000002</v>
      </c>
    </row>
    <row r="411" spans="1:6" x14ac:dyDescent="0.25">
      <c r="A411" s="2">
        <v>44218</v>
      </c>
      <c r="B411">
        <f>2.08</f>
        <v>2.08</v>
      </c>
      <c r="C411">
        <f>2.1877</f>
        <v>2.1877</v>
      </c>
      <c r="D411">
        <f>1.0189</f>
        <v>1.0188999999999999</v>
      </c>
      <c r="E411">
        <f>2.4854</f>
        <v>2.4853999999999998</v>
      </c>
      <c r="F411">
        <f>3.178</f>
        <v>3.1779999999999999</v>
      </c>
    </row>
    <row r="412" spans="1:6" x14ac:dyDescent="0.25">
      <c r="A412" s="2">
        <v>44217</v>
      </c>
      <c r="B412">
        <f>2.1754</f>
        <v>2.1753999999999998</v>
      </c>
      <c r="C412">
        <f>2.2238</f>
        <v>2.2238000000000002</v>
      </c>
      <c r="D412">
        <f>1.0406</f>
        <v>1.0406</v>
      </c>
      <c r="E412">
        <f>2.518</f>
        <v>2.5179999999999998</v>
      </c>
      <c r="F412">
        <f>3.1817</f>
        <v>3.1817000000000002</v>
      </c>
    </row>
    <row r="413" spans="1:6" x14ac:dyDescent="0.25">
      <c r="A413" s="2">
        <v>44216</v>
      </c>
      <c r="B413">
        <f>2.119</f>
        <v>2.1190000000000002</v>
      </c>
      <c r="C413">
        <f>2.1817</f>
        <v>2.1817000000000002</v>
      </c>
      <c r="D413">
        <f>1.0415</f>
        <v>1.0415000000000001</v>
      </c>
      <c r="E413">
        <f>2.4648</f>
        <v>2.4647999999999999</v>
      </c>
      <c r="F413">
        <f>3.1861</f>
        <v>3.1861000000000002</v>
      </c>
    </row>
    <row r="414" spans="1:6" x14ac:dyDescent="0.25">
      <c r="A414" s="2">
        <v>44215</v>
      </c>
      <c r="B414">
        <f>2.1125</f>
        <v>2.1124999999999998</v>
      </c>
      <c r="C414">
        <f>2.1577</f>
        <v>2.1577000000000002</v>
      </c>
      <c r="D414">
        <f>1.0287</f>
        <v>1.0286999999999999</v>
      </c>
      <c r="E414">
        <f>2.4219</f>
        <v>2.4218999999999999</v>
      </c>
      <c r="F414">
        <f>3.215</f>
        <v>3.2149999999999999</v>
      </c>
    </row>
    <row r="415" spans="1:6" x14ac:dyDescent="0.25">
      <c r="A415" s="2">
        <v>44214</v>
      </c>
      <c r="B415">
        <f>2.0885</f>
        <v>2.0884999999999998</v>
      </c>
      <c r="C415">
        <f>2.1187</f>
        <v>2.1187</v>
      </c>
      <c r="D415">
        <f>1.0268</f>
        <v>1.0267999999999999</v>
      </c>
      <c r="E415">
        <f>2.3842</f>
        <v>2.3841999999999999</v>
      </c>
      <c r="F415">
        <f>3.2136</f>
        <v>3.2136</v>
      </c>
    </row>
    <row r="416" spans="1:6" x14ac:dyDescent="0.25">
      <c r="A416" s="2">
        <v>44211</v>
      </c>
      <c r="B416">
        <f>2.0885</f>
        <v>2.0884999999999998</v>
      </c>
      <c r="C416">
        <f>2.1187</f>
        <v>2.1187</v>
      </c>
      <c r="D416">
        <f>1.0195</f>
        <v>1.0195000000000001</v>
      </c>
      <c r="E416">
        <f>2.3842</f>
        <v>2.3841999999999999</v>
      </c>
      <c r="F416">
        <f>3.2032</f>
        <v>3.2031999999999998</v>
      </c>
    </row>
    <row r="417" spans="1:6" x14ac:dyDescent="0.25">
      <c r="A417" s="2">
        <v>44210</v>
      </c>
      <c r="B417">
        <f>2.0909</f>
        <v>2.0909</v>
      </c>
      <c r="C417">
        <f>2.1188</f>
        <v>2.1187999999999998</v>
      </c>
      <c r="D417">
        <f>1.0064</f>
        <v>1.0064</v>
      </c>
      <c r="E417">
        <f>2.3635</f>
        <v>2.3635000000000002</v>
      </c>
      <c r="F417">
        <f>3.2085</f>
        <v>3.2084999999999999</v>
      </c>
    </row>
    <row r="418" spans="1:6" x14ac:dyDescent="0.25">
      <c r="A418" s="2">
        <v>44209</v>
      </c>
      <c r="B418">
        <f>2.0602</f>
        <v>2.0602</v>
      </c>
      <c r="C418">
        <f>2.0665</f>
        <v>2.0665</v>
      </c>
      <c r="D418">
        <f>1.0186</f>
        <v>1.0185999999999999</v>
      </c>
      <c r="E418">
        <f>2.3299</f>
        <v>2.3298999999999999</v>
      </c>
      <c r="F418">
        <f>3.1929</f>
        <v>3.1928999999999998</v>
      </c>
    </row>
    <row r="419" spans="1:6" x14ac:dyDescent="0.25">
      <c r="A419" s="2">
        <v>44208</v>
      </c>
      <c r="B419">
        <f>2.0729</f>
        <v>2.0729000000000002</v>
      </c>
      <c r="C419">
        <f>2.0832</f>
        <v>2.0832000000000002</v>
      </c>
      <c r="D419">
        <f>1.0123</f>
        <v>1.0123</v>
      </c>
      <c r="E419">
        <f>2.3211</f>
        <v>2.3210999999999999</v>
      </c>
      <c r="F419">
        <f>3.1751</f>
        <v>3.1751</v>
      </c>
    </row>
    <row r="420" spans="1:6" x14ac:dyDescent="0.25">
      <c r="A420" s="2">
        <v>44207</v>
      </c>
      <c r="B420">
        <f>2.0734</f>
        <v>2.0733999999999999</v>
      </c>
      <c r="C420">
        <f>2.0827</f>
        <v>2.0827</v>
      </c>
      <c r="D420">
        <f>0.9855</f>
        <v>0.98550000000000004</v>
      </c>
      <c r="E420">
        <f>2.3172</f>
        <v>2.3172000000000001</v>
      </c>
      <c r="F420">
        <f>3.1602</f>
        <v>3.1602000000000001</v>
      </c>
    </row>
    <row r="421" spans="1:6" x14ac:dyDescent="0.25">
      <c r="A421" s="2">
        <v>44204</v>
      </c>
      <c r="B421">
        <f>2.0721</f>
        <v>2.0720999999999998</v>
      </c>
      <c r="C421">
        <f>2.1059</f>
        <v>2.1059000000000001</v>
      </c>
      <c r="D421">
        <f>0.9809</f>
        <v>0.98089999999999999</v>
      </c>
      <c r="E421">
        <f>2.3242</f>
        <v>2.3241999999999998</v>
      </c>
      <c r="F421">
        <f>3.1742</f>
        <v>3.1741999999999999</v>
      </c>
    </row>
    <row r="422" spans="1:6" x14ac:dyDescent="0.25">
      <c r="A422" s="2">
        <v>44203</v>
      </c>
      <c r="B422">
        <f>2.0953</f>
        <v>2.0952999999999999</v>
      </c>
      <c r="C422">
        <f>2.1108</f>
        <v>2.1107999999999998</v>
      </c>
      <c r="D422">
        <f>0.9665</f>
        <v>0.96650000000000003</v>
      </c>
      <c r="E422">
        <f>2.3055</f>
        <v>2.3054999999999999</v>
      </c>
      <c r="F422">
        <f>3.1639</f>
        <v>3.1638999999999999</v>
      </c>
    </row>
    <row r="423" spans="1:6" x14ac:dyDescent="0.25">
      <c r="A423" s="2">
        <v>44202</v>
      </c>
      <c r="B423">
        <f>2.0691</f>
        <v>2.0691000000000002</v>
      </c>
      <c r="C423">
        <f>2.0646</f>
        <v>2.0646</v>
      </c>
      <c r="D423">
        <f>0.9549</f>
        <v>0.95489999999999997</v>
      </c>
      <c r="E423">
        <f>2.1838</f>
        <v>2.1838000000000002</v>
      </c>
      <c r="F423">
        <f>3.1595</f>
        <v>3.1595</v>
      </c>
    </row>
    <row r="424" spans="1:6" x14ac:dyDescent="0.25">
      <c r="A424" s="2">
        <v>44201</v>
      </c>
      <c r="B424">
        <f>2.0285</f>
        <v>2.0285000000000002</v>
      </c>
      <c r="C424">
        <f>2.0262</f>
        <v>2.0261999999999998</v>
      </c>
      <c r="D424">
        <f>0.9205</f>
        <v>0.92049999999999998</v>
      </c>
      <c r="E424">
        <f>2.1012</f>
        <v>2.1012</v>
      </c>
      <c r="F424">
        <f>3.1576</f>
        <v>3.1576</v>
      </c>
    </row>
    <row r="425" spans="1:6" x14ac:dyDescent="0.25">
      <c r="A425" s="2">
        <v>44200</v>
      </c>
      <c r="B425">
        <f>2.0094</f>
        <v>2.0093999999999999</v>
      </c>
      <c r="C425">
        <f>1.992</f>
        <v>1.992</v>
      </c>
      <c r="D425">
        <f>0.9093</f>
        <v>0.9093</v>
      </c>
      <c r="E425">
        <f>2.0388</f>
        <v>2.0388000000000002</v>
      </c>
      <c r="F425">
        <f>3.1765</f>
        <v>3.1764999999999999</v>
      </c>
    </row>
    <row r="426" spans="1:6" x14ac:dyDescent="0.25">
      <c r="A426" s="2">
        <v>44197</v>
      </c>
      <c r="B426">
        <f>1.9868</f>
        <v>1.9867999999999999</v>
      </c>
      <c r="C426">
        <f>1.9665</f>
        <v>1.9664999999999999</v>
      </c>
      <c r="D426">
        <f>0.9105</f>
        <v>0.91049999999999998</v>
      </c>
      <c r="E426">
        <f>2.0112</f>
        <v>2.0112000000000001</v>
      </c>
      <c r="F426" t="e">
        <f>NA()</f>
        <v>#N/A</v>
      </c>
    </row>
    <row r="427" spans="1:6" x14ac:dyDescent="0.25">
      <c r="A427" s="2">
        <v>44196</v>
      </c>
      <c r="B427">
        <f>1.9868</f>
        <v>1.9867999999999999</v>
      </c>
      <c r="C427">
        <f>1.9665</f>
        <v>1.9664999999999999</v>
      </c>
      <c r="D427">
        <f>0.9105</f>
        <v>0.91049999999999998</v>
      </c>
      <c r="E427">
        <f>2.0112</f>
        <v>2.0112000000000001</v>
      </c>
      <c r="F427">
        <f>3.1839</f>
        <v>3.1839</v>
      </c>
    </row>
    <row r="428" spans="1:6" x14ac:dyDescent="0.25">
      <c r="A428" s="2">
        <v>44195</v>
      </c>
      <c r="B428">
        <f>1.9652</f>
        <v>1.9652000000000001</v>
      </c>
      <c r="C428">
        <f>1.9324</f>
        <v>1.9323999999999999</v>
      </c>
      <c r="D428">
        <f>0.9101</f>
        <v>0.91010000000000002</v>
      </c>
      <c r="E428">
        <f>1.9739</f>
        <v>1.9739</v>
      </c>
      <c r="F428">
        <f>3.1713</f>
        <v>3.1713</v>
      </c>
    </row>
    <row r="429" spans="1:6" x14ac:dyDescent="0.25">
      <c r="A429" s="2">
        <v>44194</v>
      </c>
      <c r="B429">
        <f>1.9597</f>
        <v>1.9597</v>
      </c>
      <c r="C429">
        <f>1.9241</f>
        <v>1.9240999999999999</v>
      </c>
      <c r="D429">
        <f>0.9127</f>
        <v>0.91269999999999996</v>
      </c>
      <c r="E429">
        <f>1.9636</f>
        <v>1.9636</v>
      </c>
      <c r="F429">
        <f>3.1623</f>
        <v>3.1623000000000001</v>
      </c>
    </row>
    <row r="430" spans="1:6" x14ac:dyDescent="0.25">
      <c r="A430" s="2">
        <v>44193</v>
      </c>
      <c r="B430">
        <f>1.9688</f>
        <v>1.9688000000000001</v>
      </c>
      <c r="C430">
        <f>1.9281</f>
        <v>1.9280999999999999</v>
      </c>
      <c r="D430">
        <f>0.9116</f>
        <v>0.91159999999999997</v>
      </c>
      <c r="E430">
        <f>1.9618</f>
        <v>1.9618</v>
      </c>
      <c r="F430" t="e">
        <f>NA()</f>
        <v>#N/A</v>
      </c>
    </row>
    <row r="431" spans="1:6" x14ac:dyDescent="0.25">
      <c r="A431" s="2">
        <v>44190</v>
      </c>
      <c r="B431">
        <f>1.9678</f>
        <v>1.9678</v>
      </c>
      <c r="C431">
        <f>1.9299</f>
        <v>1.9298999999999999</v>
      </c>
      <c r="D431">
        <f>0.9012</f>
        <v>0.9012</v>
      </c>
      <c r="E431">
        <f>1.949</f>
        <v>1.9490000000000001</v>
      </c>
      <c r="F431" t="e">
        <f>NA()</f>
        <v>#N/A</v>
      </c>
    </row>
    <row r="432" spans="1:6" x14ac:dyDescent="0.25">
      <c r="A432" s="2">
        <v>44189</v>
      </c>
      <c r="B432">
        <f>1.9678</f>
        <v>1.9678</v>
      </c>
      <c r="C432">
        <f>1.9299</f>
        <v>1.9298999999999999</v>
      </c>
      <c r="D432">
        <f>0.9012</f>
        <v>0.9012</v>
      </c>
      <c r="E432">
        <f>1.9514</f>
        <v>1.9514</v>
      </c>
      <c r="F432">
        <f>3.1744</f>
        <v>3.1743999999999999</v>
      </c>
    </row>
    <row r="433" spans="1:6" x14ac:dyDescent="0.25">
      <c r="A433" s="2">
        <v>44188</v>
      </c>
      <c r="B433">
        <f>1.9701</f>
        <v>1.9701</v>
      </c>
      <c r="C433">
        <f>1.9353</f>
        <v>1.9353</v>
      </c>
      <c r="D433">
        <f>0.9007</f>
        <v>0.90069999999999995</v>
      </c>
      <c r="E433">
        <f>1.9474</f>
        <v>1.9474</v>
      </c>
      <c r="F433">
        <f>3.1844</f>
        <v>3.1844000000000001</v>
      </c>
    </row>
    <row r="434" spans="1:6" x14ac:dyDescent="0.25">
      <c r="A434" s="2">
        <v>44187</v>
      </c>
      <c r="B434">
        <f>1.9389</f>
        <v>1.9389000000000001</v>
      </c>
      <c r="C434">
        <f>1.9128</f>
        <v>1.9128000000000001</v>
      </c>
      <c r="D434">
        <f>0.8745</f>
        <v>0.87450000000000006</v>
      </c>
      <c r="E434">
        <f>1.9154</f>
        <v>1.9154</v>
      </c>
      <c r="F434">
        <f>3.2014</f>
        <v>3.2014</v>
      </c>
    </row>
    <row r="435" spans="1:6" x14ac:dyDescent="0.25">
      <c r="A435" s="2">
        <v>44186</v>
      </c>
      <c r="B435">
        <f>1.9469</f>
        <v>1.9469000000000001</v>
      </c>
      <c r="C435">
        <f>1.9096</f>
        <v>1.9096</v>
      </c>
      <c r="D435">
        <f>0.8535</f>
        <v>0.85350000000000004</v>
      </c>
      <c r="E435">
        <f>1.9137</f>
        <v>1.9137</v>
      </c>
      <c r="F435">
        <f>3.2324</f>
        <v>3.2324000000000002</v>
      </c>
    </row>
    <row r="436" spans="1:6" x14ac:dyDescent="0.25">
      <c r="A436" s="2">
        <v>44183</v>
      </c>
      <c r="B436">
        <f>1.9602</f>
        <v>1.9601999999999999</v>
      </c>
      <c r="C436">
        <f>1.9268</f>
        <v>1.9268000000000001</v>
      </c>
      <c r="D436">
        <f>0.8995</f>
        <v>0.89949999999999997</v>
      </c>
      <c r="E436">
        <f>1.9251</f>
        <v>1.9251</v>
      </c>
      <c r="F436">
        <f>3.2385</f>
        <v>3.2385000000000002</v>
      </c>
    </row>
    <row r="437" spans="1:6" x14ac:dyDescent="0.25">
      <c r="A437" s="2">
        <v>44182</v>
      </c>
      <c r="B437">
        <f>1.948</f>
        <v>1.948</v>
      </c>
      <c r="C437">
        <f>1.918</f>
        <v>1.9179999999999999</v>
      </c>
      <c r="D437">
        <f>0.9157</f>
        <v>0.91569999999999996</v>
      </c>
      <c r="E437">
        <f>1.8995</f>
        <v>1.8995</v>
      </c>
      <c r="F437">
        <f>3.2414</f>
        <v>3.2414000000000001</v>
      </c>
    </row>
    <row r="438" spans="1:6" x14ac:dyDescent="0.25">
      <c r="A438" s="2">
        <v>44181</v>
      </c>
      <c r="B438">
        <f>1.9292</f>
        <v>1.9292</v>
      </c>
      <c r="C438">
        <f>1.9109</f>
        <v>1.9109</v>
      </c>
      <c r="D438">
        <f>0.9122</f>
        <v>0.91220000000000001</v>
      </c>
      <c r="E438">
        <f>1.8642</f>
        <v>1.8642000000000001</v>
      </c>
      <c r="F438">
        <f>3.2598</f>
        <v>3.2597999999999998</v>
      </c>
    </row>
    <row r="439" spans="1:6" x14ac:dyDescent="0.25">
      <c r="A439" s="2">
        <v>44180</v>
      </c>
      <c r="B439">
        <f>1.9162</f>
        <v>1.9161999999999999</v>
      </c>
      <c r="C439">
        <f>1.8838</f>
        <v>1.8837999999999999</v>
      </c>
      <c r="D439">
        <f>0.9011</f>
        <v>0.90110000000000001</v>
      </c>
      <c r="E439">
        <f>1.8101</f>
        <v>1.8101</v>
      </c>
      <c r="F439">
        <f>3.2709</f>
        <v>3.2709000000000001</v>
      </c>
    </row>
    <row r="440" spans="1:6" x14ac:dyDescent="0.25">
      <c r="A440" s="2">
        <v>44179</v>
      </c>
      <c r="B440">
        <f>1.8832</f>
        <v>1.8832</v>
      </c>
      <c r="C440">
        <f>1.8428</f>
        <v>1.8428</v>
      </c>
      <c r="D440">
        <f>0.8988</f>
        <v>0.89880000000000004</v>
      </c>
      <c r="E440">
        <f>1.7693</f>
        <v>1.7693000000000001</v>
      </c>
      <c r="F440">
        <f>3.2943</f>
        <v>3.2942999999999998</v>
      </c>
    </row>
    <row r="441" spans="1:6" x14ac:dyDescent="0.25">
      <c r="A441" s="2">
        <v>44176</v>
      </c>
      <c r="B441">
        <f>1.8717</f>
        <v>1.8716999999999999</v>
      </c>
      <c r="C441">
        <f>1.8261</f>
        <v>1.8261000000000001</v>
      </c>
      <c r="D441">
        <f>0.8721</f>
        <v>0.87209999999999999</v>
      </c>
      <c r="E441">
        <f>1.7512</f>
        <v>1.7512000000000001</v>
      </c>
      <c r="F441">
        <f>3.3207</f>
        <v>3.3207</v>
      </c>
    </row>
    <row r="442" spans="1:6" x14ac:dyDescent="0.25">
      <c r="A442" s="2">
        <v>44175</v>
      </c>
      <c r="B442">
        <f>1.8861</f>
        <v>1.8861000000000001</v>
      </c>
      <c r="C442">
        <f>1.8437</f>
        <v>1.8436999999999999</v>
      </c>
      <c r="D442">
        <f>0.8974</f>
        <v>0.89739999999999998</v>
      </c>
      <c r="E442">
        <f>1.7684</f>
        <v>1.7684</v>
      </c>
      <c r="F442">
        <f>3.3443</f>
        <v>3.3443000000000001</v>
      </c>
    </row>
    <row r="443" spans="1:6" x14ac:dyDescent="0.25">
      <c r="A443" s="2">
        <v>44174</v>
      </c>
      <c r="B443">
        <f>1.9083</f>
        <v>1.9083000000000001</v>
      </c>
      <c r="C443">
        <f>1.8575</f>
        <v>1.8574999999999999</v>
      </c>
      <c r="D443">
        <f>0.9039</f>
        <v>0.90390000000000004</v>
      </c>
      <c r="E443">
        <f>1.7317</f>
        <v>1.7317</v>
      </c>
      <c r="F443">
        <f>3.3249</f>
        <v>3.3249</v>
      </c>
    </row>
    <row r="444" spans="1:6" x14ac:dyDescent="0.25">
      <c r="A444" s="2">
        <v>44173</v>
      </c>
      <c r="B444">
        <f>1.8985</f>
        <v>1.8985000000000001</v>
      </c>
      <c r="C444">
        <f>1.8548</f>
        <v>1.8548</v>
      </c>
      <c r="D444">
        <f>0.9139</f>
        <v>0.91390000000000005</v>
      </c>
      <c r="E444">
        <f>1.7373</f>
        <v>1.7373000000000001</v>
      </c>
      <c r="F444">
        <f>3.3586</f>
        <v>3.3586</v>
      </c>
    </row>
    <row r="445" spans="1:6" x14ac:dyDescent="0.25">
      <c r="A445" s="2">
        <v>44172</v>
      </c>
      <c r="B445">
        <f>1.8917</f>
        <v>1.8916999999999999</v>
      </c>
      <c r="C445">
        <f>1.8475</f>
        <v>1.8474999999999999</v>
      </c>
      <c r="D445">
        <f>0.9242</f>
        <v>0.92420000000000002</v>
      </c>
      <c r="E445">
        <f>1.724</f>
        <v>1.724</v>
      </c>
      <c r="F445">
        <f>3.3367</f>
        <v>3.3367</v>
      </c>
    </row>
    <row r="446" spans="1:6" x14ac:dyDescent="0.25">
      <c r="A446" s="2">
        <v>44169</v>
      </c>
      <c r="B446">
        <f>1.9061</f>
        <v>1.9060999999999999</v>
      </c>
      <c r="C446">
        <f>1.8446</f>
        <v>1.8446</v>
      </c>
      <c r="D446">
        <f>0.9353</f>
        <v>0.93530000000000002</v>
      </c>
      <c r="E446">
        <f>1.6839</f>
        <v>1.6839</v>
      </c>
      <c r="F446">
        <f>3.3023</f>
        <v>3.3022999999999998</v>
      </c>
    </row>
    <row r="447" spans="1:6" x14ac:dyDescent="0.25">
      <c r="A447" s="2">
        <v>44168</v>
      </c>
      <c r="B447">
        <f>1.8685</f>
        <v>1.8685</v>
      </c>
      <c r="C447">
        <f>1.7961</f>
        <v>1.7961</v>
      </c>
      <c r="D447">
        <f>0.9265</f>
        <v>0.92649999999999999</v>
      </c>
      <c r="E447">
        <f>1.6213</f>
        <v>1.6213</v>
      </c>
      <c r="F447">
        <f>3.2617</f>
        <v>3.2616999999999998</v>
      </c>
    </row>
    <row r="448" spans="1:6" x14ac:dyDescent="0.25">
      <c r="A448" s="2">
        <v>44167</v>
      </c>
      <c r="B448">
        <f>1.8652</f>
        <v>1.8652</v>
      </c>
      <c r="C448">
        <f>1.7768</f>
        <v>1.7767999999999999</v>
      </c>
      <c r="D448">
        <f>0.901</f>
        <v>0.90100000000000002</v>
      </c>
      <c r="E448">
        <f>1.5875</f>
        <v>1.5874999999999999</v>
      </c>
      <c r="F448">
        <f>3.2669</f>
        <v>3.2669000000000001</v>
      </c>
    </row>
    <row r="449" spans="1:6" x14ac:dyDescent="0.25">
      <c r="A449" s="2">
        <v>44166</v>
      </c>
      <c r="B449">
        <f>1.8242</f>
        <v>1.8242</v>
      </c>
      <c r="C449">
        <f>1.7305</f>
        <v>1.7304999999999999</v>
      </c>
      <c r="D449">
        <f>0.8996</f>
        <v>0.89959999999999996</v>
      </c>
      <c r="E449">
        <f>1.542</f>
        <v>1.542</v>
      </c>
      <c r="F449">
        <f>3.2811</f>
        <v>3.2810999999999999</v>
      </c>
    </row>
    <row r="450" spans="1:6" x14ac:dyDescent="0.25">
      <c r="A450" s="2">
        <v>44165</v>
      </c>
      <c r="B450">
        <f>1.7899</f>
        <v>1.7899</v>
      </c>
      <c r="C450">
        <f>1.7009</f>
        <v>1.7009000000000001</v>
      </c>
      <c r="D450">
        <f>0.8773</f>
        <v>0.87729999999999997</v>
      </c>
      <c r="E450">
        <f>1.5546</f>
        <v>1.5546</v>
      </c>
      <c r="F450">
        <f>3.2549</f>
        <v>3.2549000000000001</v>
      </c>
    </row>
    <row r="451" spans="1:6" x14ac:dyDescent="0.25">
      <c r="A451" s="2">
        <v>44162</v>
      </c>
      <c r="B451">
        <f>1.7586</f>
        <v>1.7585999999999999</v>
      </c>
      <c r="C451">
        <f>1.6803</f>
        <v>1.6802999999999999</v>
      </c>
      <c r="D451">
        <f>0.858</f>
        <v>0.85799999999999998</v>
      </c>
      <c r="E451">
        <f>1.5594</f>
        <v>1.5593999999999999</v>
      </c>
      <c r="F451">
        <f>3.2435</f>
        <v>3.2435</v>
      </c>
    </row>
    <row r="452" spans="1:6" x14ac:dyDescent="0.25">
      <c r="A452" s="2">
        <v>44161</v>
      </c>
      <c r="B452">
        <f>1.7635</f>
        <v>1.7635000000000001</v>
      </c>
      <c r="C452">
        <f>1.6812</f>
        <v>1.6812</v>
      </c>
      <c r="D452">
        <f>0.8505</f>
        <v>0.85050000000000003</v>
      </c>
      <c r="E452">
        <f>1.541</f>
        <v>1.5409999999999999</v>
      </c>
      <c r="F452">
        <f>3.2293</f>
        <v>3.2292999999999998</v>
      </c>
    </row>
    <row r="453" spans="1:6" x14ac:dyDescent="0.25">
      <c r="A453" s="2">
        <v>44160</v>
      </c>
      <c r="B453">
        <f>1.7635</f>
        <v>1.7635000000000001</v>
      </c>
      <c r="C453">
        <f>1.6828</f>
        <v>1.6828000000000001</v>
      </c>
      <c r="D453">
        <f>0.851</f>
        <v>0.85099999999999998</v>
      </c>
      <c r="E453">
        <f>1.541</f>
        <v>1.5409999999999999</v>
      </c>
      <c r="F453">
        <f>3.2341</f>
        <v>3.2341000000000002</v>
      </c>
    </row>
    <row r="454" spans="1:6" x14ac:dyDescent="0.25">
      <c r="A454" s="2">
        <v>44159</v>
      </c>
      <c r="B454">
        <f>1.7467</f>
        <v>1.7466999999999999</v>
      </c>
      <c r="C454">
        <f>1.6693</f>
        <v>1.6693</v>
      </c>
      <c r="D454">
        <f>0.8523</f>
        <v>0.85229999999999995</v>
      </c>
      <c r="E454">
        <f>1.5204</f>
        <v>1.5204</v>
      </c>
      <c r="F454">
        <f>3.1107</f>
        <v>3.1107</v>
      </c>
    </row>
    <row r="455" spans="1:6" x14ac:dyDescent="0.25">
      <c r="A455" s="2">
        <v>44158</v>
      </c>
      <c r="B455">
        <f>1.7089</f>
        <v>1.7089000000000001</v>
      </c>
      <c r="C455">
        <f>1.6302</f>
        <v>1.6302000000000001</v>
      </c>
      <c r="D455">
        <f>0.8215</f>
        <v>0.82150000000000001</v>
      </c>
      <c r="E455">
        <f>1.4477</f>
        <v>1.4477</v>
      </c>
      <c r="F455">
        <f>3.1264</f>
        <v>3.1263999999999998</v>
      </c>
    </row>
    <row r="456" spans="1:6" x14ac:dyDescent="0.25">
      <c r="A456" s="2">
        <v>44155</v>
      </c>
      <c r="B456">
        <f>1.6904</f>
        <v>1.6903999999999999</v>
      </c>
      <c r="C456">
        <f>1.6157</f>
        <v>1.6156999999999999</v>
      </c>
      <c r="D456">
        <f>0.796</f>
        <v>0.79600000000000004</v>
      </c>
      <c r="E456">
        <f>1.4203</f>
        <v>1.4202999999999999</v>
      </c>
      <c r="F456">
        <f>3.1612</f>
        <v>3.1612</v>
      </c>
    </row>
    <row r="457" spans="1:6" x14ac:dyDescent="0.25">
      <c r="A457" s="2">
        <v>44154</v>
      </c>
      <c r="B457">
        <f>1.696</f>
        <v>1.696</v>
      </c>
      <c r="C457">
        <f>1.6201</f>
        <v>1.6201000000000001</v>
      </c>
      <c r="D457">
        <f>0.8006</f>
        <v>0.80059999999999998</v>
      </c>
      <c r="E457">
        <f>1.4234</f>
        <v>1.4234</v>
      </c>
      <c r="F457">
        <f>3.1452</f>
        <v>3.1452</v>
      </c>
    </row>
    <row r="458" spans="1:6" x14ac:dyDescent="0.25">
      <c r="A458" s="2">
        <v>44153</v>
      </c>
      <c r="B458">
        <f>1.7069</f>
        <v>1.7069000000000001</v>
      </c>
      <c r="C458">
        <f>1.6335</f>
        <v>1.6335</v>
      </c>
      <c r="D458">
        <f>0.8058</f>
        <v>0.80579999999999996</v>
      </c>
      <c r="E458">
        <f>1.4077</f>
        <v>1.4077</v>
      </c>
      <c r="F458">
        <f>3.1729</f>
        <v>3.1728999999999998</v>
      </c>
    </row>
    <row r="459" spans="1:6" x14ac:dyDescent="0.25">
      <c r="A459" s="2">
        <v>44152</v>
      </c>
      <c r="B459">
        <f>1.7097</f>
        <v>1.7097</v>
      </c>
      <c r="C459">
        <f>1.633</f>
        <v>1.633</v>
      </c>
      <c r="D459">
        <f>0.8149</f>
        <v>0.81489999999999996</v>
      </c>
      <c r="E459">
        <f>1.3896</f>
        <v>1.3895999999999999</v>
      </c>
      <c r="F459">
        <f>3.1743</f>
        <v>3.1743000000000001</v>
      </c>
    </row>
    <row r="460" spans="1:6" x14ac:dyDescent="0.25">
      <c r="A460" s="2">
        <v>44151</v>
      </c>
      <c r="B460">
        <f>1.7291</f>
        <v>1.7291000000000001</v>
      </c>
      <c r="C460">
        <f>1.6467</f>
        <v>1.6467000000000001</v>
      </c>
      <c r="D460">
        <f>0.8365</f>
        <v>0.83650000000000002</v>
      </c>
      <c r="E460">
        <f>1.3763</f>
        <v>1.3763000000000001</v>
      </c>
      <c r="F460">
        <f>3.1606</f>
        <v>3.1606000000000001</v>
      </c>
    </row>
    <row r="461" spans="1:6" x14ac:dyDescent="0.25">
      <c r="A461" s="2">
        <v>44148</v>
      </c>
      <c r="B461">
        <f>1.7284</f>
        <v>1.7283999999999999</v>
      </c>
      <c r="C461">
        <f>1.6444</f>
        <v>1.6444000000000001</v>
      </c>
      <c r="D461">
        <f>0.8136</f>
        <v>0.81359999999999999</v>
      </c>
      <c r="E461">
        <f>1.3447</f>
        <v>1.3447</v>
      </c>
      <c r="F461">
        <f>3.1614</f>
        <v>3.1614</v>
      </c>
    </row>
    <row r="462" spans="1:6" x14ac:dyDescent="0.25">
      <c r="A462" s="2">
        <v>44147</v>
      </c>
      <c r="B462">
        <f>1.7163</f>
        <v>1.7162999999999999</v>
      </c>
      <c r="C462">
        <f>1.6415</f>
        <v>1.6415</v>
      </c>
      <c r="D462">
        <f>0.8157</f>
        <v>0.81569999999999998</v>
      </c>
      <c r="E462">
        <f>1.3583</f>
        <v>1.3583000000000001</v>
      </c>
      <c r="F462">
        <f>3.181</f>
        <v>3.181</v>
      </c>
    </row>
    <row r="463" spans="1:6" x14ac:dyDescent="0.25">
      <c r="A463" s="2">
        <v>44146</v>
      </c>
      <c r="B463">
        <f>1.7547</f>
        <v>1.7546999999999999</v>
      </c>
      <c r="C463">
        <f>1.6861</f>
        <v>1.6860999999999999</v>
      </c>
      <c r="D463">
        <f>0.8269</f>
        <v>0.82689999999999997</v>
      </c>
      <c r="E463">
        <f>1.3814</f>
        <v>1.3814</v>
      </c>
      <c r="F463">
        <f>3.191</f>
        <v>3.1909999999999998</v>
      </c>
    </row>
    <row r="464" spans="1:6" x14ac:dyDescent="0.25">
      <c r="A464" s="2">
        <v>44145</v>
      </c>
      <c r="B464">
        <f>1.7547</f>
        <v>1.7546999999999999</v>
      </c>
      <c r="C464">
        <f>1.6861</f>
        <v>1.6860999999999999</v>
      </c>
      <c r="D464">
        <f>0.821</f>
        <v>0.82099999999999995</v>
      </c>
      <c r="E464">
        <f>1.3814</f>
        <v>1.3814</v>
      </c>
      <c r="F464">
        <f>3.2434</f>
        <v>3.2433999999999998</v>
      </c>
    </row>
    <row r="465" spans="1:6" x14ac:dyDescent="0.25">
      <c r="A465" s="2">
        <v>44144</v>
      </c>
      <c r="B465">
        <f>1.7225</f>
        <v>1.7224999999999999</v>
      </c>
      <c r="C465">
        <f>1.638</f>
        <v>1.6379999999999999</v>
      </c>
      <c r="D465">
        <f>0.7865</f>
        <v>0.78649999999999998</v>
      </c>
      <c r="E465">
        <f>1.3163</f>
        <v>1.3163</v>
      </c>
      <c r="F465">
        <f>3.3053</f>
        <v>3.3052999999999999</v>
      </c>
    </row>
    <row r="466" spans="1:6" x14ac:dyDescent="0.25">
      <c r="A466" s="2">
        <v>44141</v>
      </c>
      <c r="B466">
        <f>1.6586</f>
        <v>1.6586000000000001</v>
      </c>
      <c r="C466">
        <f>1.554</f>
        <v>1.554</v>
      </c>
      <c r="D466">
        <f>0.7071</f>
        <v>0.70709999999999995</v>
      </c>
      <c r="E466">
        <f>1.1966</f>
        <v>1.1966000000000001</v>
      </c>
      <c r="F466">
        <f>3.2906</f>
        <v>3.2906</v>
      </c>
    </row>
    <row r="467" spans="1:6" x14ac:dyDescent="0.25">
      <c r="A467" s="2">
        <v>44140</v>
      </c>
      <c r="B467">
        <f>1.6513</f>
        <v>1.6513</v>
      </c>
      <c r="C467">
        <f>1.5588</f>
        <v>1.5588</v>
      </c>
      <c r="D467">
        <f>0.6814</f>
        <v>0.68140000000000001</v>
      </c>
      <c r="E467">
        <f>1.23</f>
        <v>1.23</v>
      </c>
      <c r="F467">
        <f>3.3187</f>
        <v>3.3187000000000002</v>
      </c>
    </row>
    <row r="468" spans="1:6" x14ac:dyDescent="0.25">
      <c r="A468" s="2">
        <v>44139</v>
      </c>
      <c r="B468">
        <f>1.6474</f>
        <v>1.6474</v>
      </c>
      <c r="C468">
        <f>1.5633</f>
        <v>1.5632999999999999</v>
      </c>
      <c r="D468">
        <f>0.6736</f>
        <v>0.67359999999999998</v>
      </c>
      <c r="E468">
        <f>1.2362</f>
        <v>1.2362</v>
      </c>
      <c r="F468">
        <f>3.3274</f>
        <v>3.3273999999999999</v>
      </c>
    </row>
    <row r="469" spans="1:6" x14ac:dyDescent="0.25">
      <c r="A469" s="2">
        <v>44138</v>
      </c>
      <c r="B469">
        <f>1.7365</f>
        <v>1.7364999999999999</v>
      </c>
      <c r="C469">
        <f>1.6325</f>
        <v>1.6325000000000001</v>
      </c>
      <c r="D469">
        <f>0.6872</f>
        <v>0.68720000000000003</v>
      </c>
      <c r="E469">
        <f>1.2875</f>
        <v>1.2875000000000001</v>
      </c>
      <c r="F469">
        <f>3.3362</f>
        <v>3.3361999999999998</v>
      </c>
    </row>
    <row r="470" spans="1:6" x14ac:dyDescent="0.25">
      <c r="A470" s="2">
        <v>44137</v>
      </c>
      <c r="B470">
        <f>1.7168</f>
        <v>1.7168000000000001</v>
      </c>
      <c r="C470">
        <f>1.6048</f>
        <v>1.6048</v>
      </c>
      <c r="D470">
        <f>0.6756</f>
        <v>0.67559999999999998</v>
      </c>
      <c r="E470">
        <f>1.2609</f>
        <v>1.2608999999999999</v>
      </c>
      <c r="F470">
        <f>3.3169</f>
        <v>3.3169</v>
      </c>
    </row>
    <row r="471" spans="1:6" x14ac:dyDescent="0.25">
      <c r="A471" s="2">
        <v>44134</v>
      </c>
      <c r="B471">
        <f>1.7078</f>
        <v>1.7078</v>
      </c>
      <c r="C471">
        <f>1.5916</f>
        <v>1.5915999999999999</v>
      </c>
      <c r="D471">
        <f>0.7031</f>
        <v>0.70309999999999995</v>
      </c>
      <c r="E471">
        <f>1.2402</f>
        <v>1.2402</v>
      </c>
      <c r="F471">
        <f>3.3218</f>
        <v>3.3218000000000001</v>
      </c>
    </row>
    <row r="472" spans="1:6" x14ac:dyDescent="0.25">
      <c r="A472" s="2">
        <v>44133</v>
      </c>
      <c r="B472">
        <f>1.7028</f>
        <v>1.7028000000000001</v>
      </c>
      <c r="C472">
        <f>1.5899</f>
        <v>1.5899000000000001</v>
      </c>
      <c r="D472">
        <f>0.7154</f>
        <v>0.71540000000000004</v>
      </c>
      <c r="E472">
        <f>1.2652</f>
        <v>1.2652000000000001</v>
      </c>
      <c r="F472">
        <f>3.3166</f>
        <v>3.3166000000000002</v>
      </c>
    </row>
    <row r="473" spans="1:6" x14ac:dyDescent="0.25">
      <c r="A473" s="2">
        <v>44132</v>
      </c>
      <c r="B473">
        <f>1.698</f>
        <v>1.698</v>
      </c>
      <c r="C473">
        <f>1.601</f>
        <v>1.601</v>
      </c>
      <c r="D473">
        <f>0.7163</f>
        <v>0.71630000000000005</v>
      </c>
      <c r="E473">
        <f>1.3622</f>
        <v>1.3622000000000001</v>
      </c>
      <c r="F473">
        <f>3.2915</f>
        <v>3.2915000000000001</v>
      </c>
    </row>
    <row r="474" spans="1:6" x14ac:dyDescent="0.25">
      <c r="A474" s="2">
        <v>44131</v>
      </c>
      <c r="B474">
        <f>1.7107</f>
        <v>1.7107000000000001</v>
      </c>
      <c r="C474">
        <f>1.6237</f>
        <v>1.6236999999999999</v>
      </c>
      <c r="D474">
        <f>0.7597</f>
        <v>0.75970000000000004</v>
      </c>
      <c r="E474">
        <f>1.4035</f>
        <v>1.4035</v>
      </c>
      <c r="F474">
        <f>3.3051</f>
        <v>3.3050999999999999</v>
      </c>
    </row>
    <row r="475" spans="1:6" x14ac:dyDescent="0.25">
      <c r="A475" s="2">
        <v>44130</v>
      </c>
      <c r="B475">
        <f>1.7314</f>
        <v>1.7314000000000001</v>
      </c>
      <c r="C475">
        <f>1.6401</f>
        <v>1.6400999999999999</v>
      </c>
      <c r="D475">
        <f>0.7749</f>
        <v>0.77490000000000003</v>
      </c>
      <c r="E475">
        <f>1.4038</f>
        <v>1.4037999999999999</v>
      </c>
      <c r="F475">
        <f>3.3163</f>
        <v>3.3163</v>
      </c>
    </row>
    <row r="476" spans="1:6" x14ac:dyDescent="0.25">
      <c r="A476" s="2">
        <v>44127</v>
      </c>
      <c r="B476">
        <f>1.753</f>
        <v>1.7529999999999999</v>
      </c>
      <c r="C476">
        <f>1.6672</f>
        <v>1.6672</v>
      </c>
      <c r="D476">
        <f>0.7842</f>
        <v>0.78420000000000001</v>
      </c>
      <c r="E476">
        <f>1.4428</f>
        <v>1.4428000000000001</v>
      </c>
      <c r="F476">
        <f>3.3247</f>
        <v>3.3247</v>
      </c>
    </row>
    <row r="477" spans="1:6" x14ac:dyDescent="0.25">
      <c r="A477" s="2">
        <v>44126</v>
      </c>
      <c r="B477">
        <f>1.7629</f>
        <v>1.7628999999999999</v>
      </c>
      <c r="C477">
        <f>1.5717</f>
        <v>1.5717000000000001</v>
      </c>
      <c r="D477">
        <f>0.7696</f>
        <v>0.76959999999999995</v>
      </c>
      <c r="E477">
        <f>1.1422</f>
        <v>1.1422000000000001</v>
      </c>
      <c r="F477">
        <f>3.3167</f>
        <v>3.3167</v>
      </c>
    </row>
    <row r="478" spans="1:6" x14ac:dyDescent="0.25">
      <c r="A478" s="2">
        <v>44125</v>
      </c>
      <c r="B478">
        <f>1.7391</f>
        <v>1.7391000000000001</v>
      </c>
      <c r="C478">
        <f>1.5452</f>
        <v>1.5451999999999999</v>
      </c>
      <c r="D478">
        <f>0.7649</f>
        <v>0.76490000000000002</v>
      </c>
      <c r="E478">
        <f>1.1232</f>
        <v>1.1232</v>
      </c>
      <c r="F478">
        <f>3.3085</f>
        <v>3.3085</v>
      </c>
    </row>
    <row r="479" spans="1:6" x14ac:dyDescent="0.25">
      <c r="A479" s="2">
        <v>44124</v>
      </c>
      <c r="B479">
        <f>1.724</f>
        <v>1.724</v>
      </c>
      <c r="C479">
        <f>1.5286</f>
        <v>1.5286</v>
      </c>
      <c r="D479">
        <f>0.7606</f>
        <v>0.76060000000000005</v>
      </c>
      <c r="E479">
        <f>1.1353</f>
        <v>1.1353</v>
      </c>
      <c r="F479">
        <f>3.3429</f>
        <v>3.3429000000000002</v>
      </c>
    </row>
    <row r="480" spans="1:6" x14ac:dyDescent="0.25">
      <c r="A480" s="2">
        <v>44123</v>
      </c>
      <c r="B480">
        <f>1.7209</f>
        <v>1.7209000000000001</v>
      </c>
      <c r="C480">
        <f>1.5295</f>
        <v>1.5295000000000001</v>
      </c>
      <c r="D480">
        <f>0.7409</f>
        <v>0.7409</v>
      </c>
      <c r="E480">
        <f>1.1422</f>
        <v>1.1422000000000001</v>
      </c>
      <c r="F480">
        <f>3.3252</f>
        <v>3.3252000000000002</v>
      </c>
    </row>
    <row r="481" spans="1:6" x14ac:dyDescent="0.25">
      <c r="A481" s="2">
        <v>44120</v>
      </c>
      <c r="B481">
        <f>1.7087</f>
        <v>1.7087000000000001</v>
      </c>
      <c r="C481">
        <f>1.5256</f>
        <v>1.5256000000000001</v>
      </c>
      <c r="D481">
        <f>0.7226</f>
        <v>0.72260000000000002</v>
      </c>
      <c r="E481">
        <f>1.1465</f>
        <v>1.1465000000000001</v>
      </c>
      <c r="F481">
        <f>3.3336</f>
        <v>3.3336000000000001</v>
      </c>
    </row>
    <row r="482" spans="1:6" x14ac:dyDescent="0.25">
      <c r="A482" s="2">
        <v>44119</v>
      </c>
      <c r="B482">
        <f>1.7003</f>
        <v>1.7002999999999999</v>
      </c>
      <c r="C482">
        <f>1.5138</f>
        <v>1.5138</v>
      </c>
      <c r="D482">
        <f>0.7096</f>
        <v>0.70960000000000001</v>
      </c>
      <c r="E482">
        <f>1.144</f>
        <v>1.1439999999999999</v>
      </c>
      <c r="F482">
        <f>3.3232</f>
        <v>3.3231999999999999</v>
      </c>
    </row>
    <row r="483" spans="1:6" x14ac:dyDescent="0.25">
      <c r="A483" s="2">
        <v>44118</v>
      </c>
      <c r="B483">
        <f>1.6968</f>
        <v>1.6968000000000001</v>
      </c>
      <c r="C483">
        <f>1.5133</f>
        <v>1.5133000000000001</v>
      </c>
      <c r="D483">
        <f>0.7236</f>
        <v>0.72360000000000002</v>
      </c>
      <c r="E483">
        <f>1.1432</f>
        <v>1.1432</v>
      </c>
      <c r="F483">
        <f>3.3323</f>
        <v>3.3323</v>
      </c>
    </row>
    <row r="484" spans="1:6" x14ac:dyDescent="0.25">
      <c r="A484" s="2">
        <v>44117</v>
      </c>
      <c r="B484">
        <f>1.705</f>
        <v>1.7050000000000001</v>
      </c>
      <c r="C484">
        <f>1.5158</f>
        <v>1.5158</v>
      </c>
      <c r="D484">
        <f>0.7228</f>
        <v>0.7228</v>
      </c>
      <c r="E484">
        <f>1.1665</f>
        <v>1.1665000000000001</v>
      </c>
      <c r="F484">
        <f>3.3204</f>
        <v>3.3203999999999998</v>
      </c>
    </row>
    <row r="485" spans="1:6" x14ac:dyDescent="0.25">
      <c r="A485" s="2">
        <v>44116</v>
      </c>
      <c r="B485">
        <f>1.7377</f>
        <v>1.7377</v>
      </c>
      <c r="C485">
        <f>1.5729</f>
        <v>1.5729</v>
      </c>
      <c r="D485">
        <f>0.736</f>
        <v>0.73599999999999999</v>
      </c>
      <c r="E485">
        <f>1.2329</f>
        <v>1.2329000000000001</v>
      </c>
      <c r="F485">
        <f>3.3</f>
        <v>3.3</v>
      </c>
    </row>
    <row r="486" spans="1:6" x14ac:dyDescent="0.25">
      <c r="A486" s="2">
        <v>44113</v>
      </c>
      <c r="B486">
        <f>1.7382</f>
        <v>1.7382</v>
      </c>
      <c r="C486">
        <f>1.5729</f>
        <v>1.5729</v>
      </c>
      <c r="D486">
        <f>0.7466</f>
        <v>0.74660000000000004</v>
      </c>
      <c r="E486">
        <f>1.2329</f>
        <v>1.2329000000000001</v>
      </c>
      <c r="F486">
        <f>3.3073</f>
        <v>3.3073000000000001</v>
      </c>
    </row>
    <row r="487" spans="1:6" x14ac:dyDescent="0.25">
      <c r="A487" s="2">
        <v>44112</v>
      </c>
      <c r="B487">
        <f>1.7308</f>
        <v>1.7307999999999999</v>
      </c>
      <c r="C487">
        <f>1.5721</f>
        <v>1.5721000000000001</v>
      </c>
      <c r="D487">
        <f>0.7351</f>
        <v>0.73509999999999998</v>
      </c>
      <c r="E487">
        <f>1.2314</f>
        <v>1.2314000000000001</v>
      </c>
      <c r="F487">
        <f>3.3032</f>
        <v>3.3031999999999999</v>
      </c>
    </row>
    <row r="488" spans="1:6" x14ac:dyDescent="0.25">
      <c r="A488" s="2">
        <v>44111</v>
      </c>
      <c r="B488">
        <f>1.708</f>
        <v>1.708</v>
      </c>
      <c r="C488">
        <f>1.5492</f>
        <v>1.5491999999999999</v>
      </c>
      <c r="D488">
        <f>0.7281</f>
        <v>0.72809999999999997</v>
      </c>
      <c r="E488">
        <f>1.194</f>
        <v>1.194</v>
      </c>
      <c r="F488">
        <f>3.2953</f>
        <v>3.2953000000000001</v>
      </c>
    </row>
    <row r="489" spans="1:6" x14ac:dyDescent="0.25">
      <c r="A489" s="2">
        <v>44110</v>
      </c>
      <c r="B489">
        <f>1.6713</f>
        <v>1.6713</v>
      </c>
      <c r="C489">
        <f>1.5144</f>
        <v>1.5144</v>
      </c>
      <c r="D489">
        <f>0.7129</f>
        <v>0.71289999999999998</v>
      </c>
      <c r="E489">
        <f>1.1717</f>
        <v>1.1717</v>
      </c>
      <c r="F489">
        <f>3.294</f>
        <v>3.294</v>
      </c>
    </row>
    <row r="490" spans="1:6" x14ac:dyDescent="0.25">
      <c r="A490" s="2">
        <v>44109</v>
      </c>
      <c r="B490">
        <f>1.6969</f>
        <v>1.6969000000000001</v>
      </c>
      <c r="C490">
        <f>1.536</f>
        <v>1.536</v>
      </c>
      <c r="D490">
        <f>0.6881</f>
        <v>0.68810000000000004</v>
      </c>
      <c r="E490">
        <f>1.1595</f>
        <v>1.1595</v>
      </c>
      <c r="F490">
        <f>3.3065</f>
        <v>3.3065000000000002</v>
      </c>
    </row>
    <row r="491" spans="1:6" x14ac:dyDescent="0.25">
      <c r="A491" s="2">
        <v>44106</v>
      </c>
      <c r="B491">
        <f>1.6494</f>
        <v>1.6494</v>
      </c>
      <c r="C491">
        <f>1.4864</f>
        <v>1.4863999999999999</v>
      </c>
      <c r="D491">
        <f>0.6691</f>
        <v>0.66910000000000003</v>
      </c>
      <c r="E491">
        <f>1.1073</f>
        <v>1.1073</v>
      </c>
      <c r="F491">
        <f>3.2846</f>
        <v>3.2846000000000002</v>
      </c>
    </row>
    <row r="492" spans="1:6" x14ac:dyDescent="0.25">
      <c r="A492" s="2">
        <v>44105</v>
      </c>
      <c r="B492">
        <f>1.6391</f>
        <v>1.6391</v>
      </c>
      <c r="C492">
        <f>1.493</f>
        <v>1.4930000000000001</v>
      </c>
      <c r="D492">
        <f>0.6554</f>
        <v>0.65539999999999998</v>
      </c>
      <c r="E492">
        <f>1.1349</f>
        <v>1.1349</v>
      </c>
      <c r="F492">
        <f>3.3062</f>
        <v>3.3062</v>
      </c>
    </row>
    <row r="493" spans="1:6" x14ac:dyDescent="0.25">
      <c r="A493" s="2">
        <v>44104</v>
      </c>
      <c r="B493">
        <f>1.6327</f>
        <v>1.6327</v>
      </c>
      <c r="C493">
        <f>1.4933</f>
        <v>1.4933000000000001</v>
      </c>
      <c r="D493">
        <f>0.6644</f>
        <v>0.66439999999999999</v>
      </c>
      <c r="E493">
        <f>1.1428</f>
        <v>1.1428</v>
      </c>
      <c r="F493">
        <f>3.2556</f>
        <v>3.2555999999999998</v>
      </c>
    </row>
    <row r="494" spans="1:6" x14ac:dyDescent="0.25">
      <c r="A494" s="2">
        <v>44103</v>
      </c>
      <c r="B494">
        <f>1.6378</f>
        <v>1.6377999999999999</v>
      </c>
      <c r="C494">
        <f>1.5042</f>
        <v>1.5042</v>
      </c>
      <c r="D494">
        <f>0.6626</f>
        <v>0.66259999999999997</v>
      </c>
      <c r="E494">
        <f>1.1606</f>
        <v>1.1606000000000001</v>
      </c>
      <c r="F494">
        <f>3.2374</f>
        <v>3.2374000000000001</v>
      </c>
    </row>
    <row r="495" spans="1:6" x14ac:dyDescent="0.25">
      <c r="A495" s="2">
        <v>44102</v>
      </c>
      <c r="B495">
        <f>1.6171</f>
        <v>1.6171</v>
      </c>
      <c r="C495">
        <f>1.4859</f>
        <v>1.4859</v>
      </c>
      <c r="D495">
        <f>0.6642</f>
        <v>0.66420000000000001</v>
      </c>
      <c r="E495">
        <f>1.1647</f>
        <v>1.1647000000000001</v>
      </c>
      <c r="F495">
        <f>3.2315</f>
        <v>3.2315</v>
      </c>
    </row>
    <row r="496" spans="1:6" x14ac:dyDescent="0.25">
      <c r="A496" s="2">
        <v>44099</v>
      </c>
      <c r="B496">
        <f>1.5836</f>
        <v>1.5835999999999999</v>
      </c>
      <c r="C496">
        <f>1.4374</f>
        <v>1.4374</v>
      </c>
      <c r="D496">
        <f>0.6761</f>
        <v>0.67610000000000003</v>
      </c>
      <c r="E496">
        <f>1.1057</f>
        <v>1.1056999999999999</v>
      </c>
      <c r="F496">
        <f>3.2474</f>
        <v>3.2473999999999998</v>
      </c>
    </row>
    <row r="497" spans="1:6" x14ac:dyDescent="0.25">
      <c r="A497" s="2">
        <v>44098</v>
      </c>
      <c r="B497">
        <f>1.5835</f>
        <v>1.5834999999999999</v>
      </c>
      <c r="C497">
        <f>1.447</f>
        <v>1.4470000000000001</v>
      </c>
      <c r="D497">
        <f>0.6877</f>
        <v>0.68769999999999998</v>
      </c>
      <c r="E497">
        <f>1.1047</f>
        <v>1.1047</v>
      </c>
      <c r="F497">
        <f>3.2293</f>
        <v>3.2292999999999998</v>
      </c>
    </row>
    <row r="498" spans="1:6" x14ac:dyDescent="0.25">
      <c r="A498" s="2">
        <v>44097</v>
      </c>
      <c r="B498">
        <f>1.6032</f>
        <v>1.6032</v>
      </c>
      <c r="C498">
        <f>1.4793</f>
        <v>1.4793000000000001</v>
      </c>
      <c r="D498">
        <f>0.7091</f>
        <v>0.70909999999999995</v>
      </c>
      <c r="E498">
        <f>1.1518</f>
        <v>1.1517999999999999</v>
      </c>
      <c r="F498">
        <f>3.2734</f>
        <v>3.2734000000000001</v>
      </c>
    </row>
    <row r="499" spans="1:6" x14ac:dyDescent="0.25">
      <c r="A499" s="2">
        <v>44096</v>
      </c>
      <c r="B499">
        <f>1.6218</f>
        <v>1.6217999999999999</v>
      </c>
      <c r="C499">
        <f>1.5032</f>
        <v>1.5032000000000001</v>
      </c>
      <c r="D499">
        <f>0.7263</f>
        <v>0.72629999999999995</v>
      </c>
      <c r="E499">
        <f>1.1633</f>
        <v>1.1633</v>
      </c>
      <c r="F499">
        <f>3.2862</f>
        <v>3.2862</v>
      </c>
    </row>
    <row r="500" spans="1:6" x14ac:dyDescent="0.25">
      <c r="A500" s="2">
        <v>44095</v>
      </c>
      <c r="B500">
        <f>1.6305</f>
        <v>1.6305000000000001</v>
      </c>
      <c r="C500">
        <f>1.5194</f>
        <v>1.5194000000000001</v>
      </c>
      <c r="D500">
        <f>0.7211</f>
        <v>0.72109999999999996</v>
      </c>
      <c r="E500">
        <f>1.193</f>
        <v>1.1930000000000001</v>
      </c>
      <c r="F500">
        <f>3.2982</f>
        <v>3.2982</v>
      </c>
    </row>
    <row r="501" spans="1:6" x14ac:dyDescent="0.25">
      <c r="A501" s="2">
        <v>44092</v>
      </c>
      <c r="B501">
        <f>1.6739</f>
        <v>1.6738999999999999</v>
      </c>
      <c r="C501">
        <f>1.5778</f>
        <v>1.5778000000000001</v>
      </c>
      <c r="D501">
        <f>0.7657</f>
        <v>0.76570000000000005</v>
      </c>
      <c r="E501">
        <f>1.2578</f>
        <v>1.2578</v>
      </c>
      <c r="F501">
        <f>3.3224</f>
        <v>3.3224</v>
      </c>
    </row>
    <row r="502" spans="1:6" x14ac:dyDescent="0.25">
      <c r="A502" s="2">
        <v>44091</v>
      </c>
      <c r="B502">
        <f>1.6772</f>
        <v>1.6772</v>
      </c>
      <c r="C502">
        <f>1.5815</f>
        <v>1.5814999999999999</v>
      </c>
      <c r="D502">
        <f>0.776</f>
        <v>0.77600000000000002</v>
      </c>
      <c r="E502">
        <f>1.2718</f>
        <v>1.2718</v>
      </c>
      <c r="F502">
        <f>3.3263</f>
        <v>3.3262999999999998</v>
      </c>
    </row>
    <row r="503" spans="1:6" x14ac:dyDescent="0.25">
      <c r="A503" s="2">
        <v>44090</v>
      </c>
      <c r="B503">
        <f>1.6806</f>
        <v>1.6806000000000001</v>
      </c>
      <c r="C503">
        <f>1.5786</f>
        <v>1.5786</v>
      </c>
      <c r="D503">
        <f>0.783</f>
        <v>0.78300000000000003</v>
      </c>
      <c r="E503">
        <f>1.2333</f>
        <v>1.2333000000000001</v>
      </c>
      <c r="F503">
        <f>3.3043</f>
        <v>3.3043</v>
      </c>
    </row>
    <row r="504" spans="1:6" x14ac:dyDescent="0.25">
      <c r="A504" s="2">
        <v>44089</v>
      </c>
      <c r="B504">
        <f>1.6722</f>
        <v>1.6721999999999999</v>
      </c>
      <c r="C504">
        <f>1.5526</f>
        <v>1.5526</v>
      </c>
      <c r="D504">
        <f>0.7637</f>
        <v>0.76370000000000005</v>
      </c>
      <c r="E504">
        <f>1.1985</f>
        <v>1.1984999999999999</v>
      </c>
      <c r="F504">
        <f>3.3327</f>
        <v>3.3327</v>
      </c>
    </row>
    <row r="505" spans="1:6" x14ac:dyDescent="0.25">
      <c r="A505" s="2">
        <v>44088</v>
      </c>
      <c r="B505">
        <f>1.6584</f>
        <v>1.6584000000000001</v>
      </c>
      <c r="C505">
        <f>1.5395</f>
        <v>1.5395000000000001</v>
      </c>
      <c r="D505">
        <f>0.7468</f>
        <v>0.74680000000000002</v>
      </c>
      <c r="E505">
        <f>1.1722</f>
        <v>1.1721999999999999</v>
      </c>
      <c r="F505">
        <f>3.3527</f>
        <v>3.3527</v>
      </c>
    </row>
    <row r="506" spans="1:6" x14ac:dyDescent="0.25">
      <c r="A506" s="2">
        <v>44085</v>
      </c>
      <c r="B506">
        <f>1.6662</f>
        <v>1.6661999999999999</v>
      </c>
      <c r="C506">
        <f>1.5404</f>
        <v>1.5404</v>
      </c>
      <c r="D506">
        <f>0.7437</f>
        <v>0.74370000000000003</v>
      </c>
      <c r="E506">
        <f>1.1834</f>
        <v>1.1834</v>
      </c>
      <c r="F506">
        <f>3.3803</f>
        <v>3.3803000000000001</v>
      </c>
    </row>
    <row r="507" spans="1:6" x14ac:dyDescent="0.25">
      <c r="A507" s="2">
        <v>44084</v>
      </c>
      <c r="B507">
        <f>1.6916</f>
        <v>1.6916</v>
      </c>
      <c r="C507">
        <f>1.5588</f>
        <v>1.5588</v>
      </c>
      <c r="D507">
        <f>0.7596</f>
        <v>0.75960000000000005</v>
      </c>
      <c r="E507">
        <f>1.1868</f>
        <v>1.1868000000000001</v>
      </c>
      <c r="F507">
        <f>3.369</f>
        <v>3.3690000000000002</v>
      </c>
    </row>
    <row r="508" spans="1:6" x14ac:dyDescent="0.25">
      <c r="A508" s="2">
        <v>44083</v>
      </c>
      <c r="B508">
        <f>1.7058</f>
        <v>1.7058</v>
      </c>
      <c r="C508">
        <f>1.5804</f>
        <v>1.5804</v>
      </c>
      <c r="D508">
        <f>0.7379</f>
        <v>0.7379</v>
      </c>
      <c r="E508">
        <f>1.1991</f>
        <v>1.1991000000000001</v>
      </c>
      <c r="F508">
        <f>3.4051</f>
        <v>3.4051</v>
      </c>
    </row>
    <row r="509" spans="1:6" x14ac:dyDescent="0.25">
      <c r="A509" s="2">
        <v>44082</v>
      </c>
      <c r="B509">
        <f>1.6922</f>
        <v>1.6921999999999999</v>
      </c>
      <c r="C509">
        <f>1.5724</f>
        <v>1.5724</v>
      </c>
      <c r="D509">
        <f>0.7098</f>
        <v>0.70979999999999999</v>
      </c>
      <c r="E509">
        <f>1.1875</f>
        <v>1.1875</v>
      </c>
      <c r="F509">
        <f>3.4081</f>
        <v>3.4081000000000001</v>
      </c>
    </row>
    <row r="510" spans="1:6" x14ac:dyDescent="0.25">
      <c r="A510" s="2">
        <v>44081</v>
      </c>
      <c r="B510">
        <f>1.7028</f>
        <v>1.7028000000000001</v>
      </c>
      <c r="C510">
        <f>1.5846</f>
        <v>1.5846</v>
      </c>
      <c r="D510">
        <f>0.7407</f>
        <v>0.74070000000000003</v>
      </c>
      <c r="E510">
        <f>1.2355</f>
        <v>1.2355</v>
      </c>
      <c r="F510">
        <f>3.3507</f>
        <v>3.3506999999999998</v>
      </c>
    </row>
    <row r="511" spans="1:6" x14ac:dyDescent="0.25">
      <c r="A511" s="2">
        <v>44078</v>
      </c>
      <c r="B511">
        <f>1.7024</f>
        <v>1.7023999999999999</v>
      </c>
      <c r="C511">
        <f>1.5846</f>
        <v>1.5846</v>
      </c>
      <c r="D511">
        <f>0.7563</f>
        <v>0.75629999999999997</v>
      </c>
      <c r="E511">
        <f>1.2367</f>
        <v>1.2366999999999999</v>
      </c>
      <c r="F511">
        <f>3.3079</f>
        <v>3.3079000000000001</v>
      </c>
    </row>
    <row r="512" spans="1:6" x14ac:dyDescent="0.25">
      <c r="A512" s="2">
        <v>44077</v>
      </c>
      <c r="B512">
        <f>1.6817</f>
        <v>1.6817</v>
      </c>
      <c r="C512">
        <f>1.5665</f>
        <v>1.5665</v>
      </c>
      <c r="D512">
        <f>0.7581</f>
        <v>0.7581</v>
      </c>
      <c r="E512">
        <f>1.2564</f>
        <v>1.2564</v>
      </c>
      <c r="F512">
        <f>3.3075</f>
        <v>3.3075000000000001</v>
      </c>
    </row>
    <row r="513" spans="1:6" x14ac:dyDescent="0.25">
      <c r="A513" s="2">
        <v>44076</v>
      </c>
      <c r="B513">
        <f>1.73</f>
        <v>1.73</v>
      </c>
      <c r="C513">
        <f>1.6195</f>
        <v>1.6194999999999999</v>
      </c>
      <c r="D513">
        <f>0.7544</f>
        <v>0.75439999999999996</v>
      </c>
      <c r="E513">
        <f>1.3262</f>
        <v>1.3262</v>
      </c>
      <c r="F513">
        <f>3.2955</f>
        <v>3.2955000000000001</v>
      </c>
    </row>
    <row r="514" spans="1:6" x14ac:dyDescent="0.25">
      <c r="A514" s="2">
        <v>44075</v>
      </c>
      <c r="B514">
        <f>1.7715</f>
        <v>1.7715000000000001</v>
      </c>
      <c r="C514">
        <f>1.6627</f>
        <v>1.6627000000000001</v>
      </c>
      <c r="D514">
        <f>0.7799</f>
        <v>0.77990000000000004</v>
      </c>
      <c r="E514">
        <f>1.3745</f>
        <v>1.3745000000000001</v>
      </c>
      <c r="F514">
        <f>3.3482</f>
        <v>3.3481999999999998</v>
      </c>
    </row>
    <row r="515" spans="1:6" x14ac:dyDescent="0.25">
      <c r="A515" s="2">
        <v>44074</v>
      </c>
      <c r="B515">
        <f>1.8049</f>
        <v>1.8048999999999999</v>
      </c>
      <c r="C515">
        <f>1.6972</f>
        <v>1.6972</v>
      </c>
      <c r="D515">
        <f>0.8049</f>
        <v>0.80489999999999995</v>
      </c>
      <c r="E515">
        <f>1.3921</f>
        <v>1.3920999999999999</v>
      </c>
      <c r="F515" t="e">
        <f>NA()</f>
        <v>#N/A</v>
      </c>
    </row>
    <row r="516" spans="1:6" x14ac:dyDescent="0.25">
      <c r="A516" s="2">
        <v>44071</v>
      </c>
      <c r="B516">
        <f>1.7776</f>
        <v>1.7776000000000001</v>
      </c>
      <c r="C516">
        <f>1.6808</f>
        <v>1.6808000000000001</v>
      </c>
      <c r="D516">
        <f>0.807</f>
        <v>0.80700000000000005</v>
      </c>
      <c r="E516">
        <f>1.3862</f>
        <v>1.3862000000000001</v>
      </c>
      <c r="F516">
        <f>3.3332</f>
        <v>3.3332000000000002</v>
      </c>
    </row>
    <row r="517" spans="1:6" x14ac:dyDescent="0.25">
      <c r="A517" s="2">
        <v>44070</v>
      </c>
      <c r="B517">
        <f>1.7485</f>
        <v>1.7484999999999999</v>
      </c>
      <c r="C517">
        <f>1.6649</f>
        <v>1.6649</v>
      </c>
      <c r="D517">
        <f>0.8187</f>
        <v>0.81869999999999998</v>
      </c>
      <c r="E517">
        <f>1.3781</f>
        <v>1.3781000000000001</v>
      </c>
      <c r="F517">
        <f>3.3174</f>
        <v>3.3174000000000001</v>
      </c>
    </row>
    <row r="518" spans="1:6" x14ac:dyDescent="0.25">
      <c r="A518" s="2">
        <v>44069</v>
      </c>
      <c r="B518">
        <f>1.7299</f>
        <v>1.7299</v>
      </c>
      <c r="C518">
        <f>1.6544</f>
        <v>1.6544000000000001</v>
      </c>
      <c r="D518">
        <f>0.8242</f>
        <v>0.82420000000000004</v>
      </c>
      <c r="E518">
        <f>1.4269</f>
        <v>1.4269000000000001</v>
      </c>
      <c r="F518">
        <f>3.3243</f>
        <v>3.3243</v>
      </c>
    </row>
    <row r="519" spans="1:6" x14ac:dyDescent="0.25">
      <c r="A519" s="2">
        <v>44068</v>
      </c>
      <c r="B519">
        <f>1.7039</f>
        <v>1.7039</v>
      </c>
      <c r="C519">
        <f>1.6125</f>
        <v>1.6125</v>
      </c>
      <c r="D519">
        <f>0.804</f>
        <v>0.80400000000000005</v>
      </c>
      <c r="E519">
        <f>1.3769</f>
        <v>1.3769</v>
      </c>
      <c r="F519">
        <f>3.3424</f>
        <v>3.3424</v>
      </c>
    </row>
    <row r="520" spans="1:6" x14ac:dyDescent="0.25">
      <c r="A520" s="2">
        <v>44067</v>
      </c>
      <c r="B520">
        <f>1.6789</f>
        <v>1.6789000000000001</v>
      </c>
      <c r="C520">
        <f>1.5788</f>
        <v>1.5788</v>
      </c>
      <c r="D520">
        <f>0.7911</f>
        <v>0.79110000000000003</v>
      </c>
      <c r="E520">
        <f>1.3595</f>
        <v>1.3594999999999999</v>
      </c>
      <c r="F520">
        <f>3.3142</f>
        <v>3.3142</v>
      </c>
    </row>
    <row r="521" spans="1:6" x14ac:dyDescent="0.25">
      <c r="A521" s="2">
        <v>44064</v>
      </c>
      <c r="B521">
        <f>1.6419</f>
        <v>1.6418999999999999</v>
      </c>
      <c r="C521">
        <f>1.5324</f>
        <v>1.5324</v>
      </c>
      <c r="D521">
        <f>0.7611</f>
        <v>0.7611</v>
      </c>
      <c r="E521">
        <f>1.319</f>
        <v>1.319</v>
      </c>
      <c r="F521">
        <f>3.2806</f>
        <v>3.2806000000000002</v>
      </c>
    </row>
    <row r="522" spans="1:6" x14ac:dyDescent="0.25">
      <c r="A522" s="2">
        <v>44063</v>
      </c>
      <c r="B522">
        <f>1.627</f>
        <v>1.627</v>
      </c>
      <c r="C522">
        <f>1.5118</f>
        <v>1.5118</v>
      </c>
      <c r="D522">
        <f>0.7768</f>
        <v>0.77680000000000005</v>
      </c>
      <c r="E522">
        <f>1.3123</f>
        <v>1.3123</v>
      </c>
      <c r="F522">
        <f>3.255</f>
        <v>3.2549999999999999</v>
      </c>
    </row>
    <row r="523" spans="1:6" x14ac:dyDescent="0.25">
      <c r="A523" s="2">
        <v>44062</v>
      </c>
      <c r="B523">
        <f>1.6655</f>
        <v>1.6655</v>
      </c>
      <c r="C523">
        <f>1.5351</f>
        <v>1.5350999999999999</v>
      </c>
      <c r="D523">
        <f>0.7894</f>
        <v>0.78939999999999999</v>
      </c>
      <c r="E523">
        <f>1.3216</f>
        <v>1.3216000000000001</v>
      </c>
      <c r="F523">
        <f>3.2415</f>
        <v>3.2414999999999998</v>
      </c>
    </row>
    <row r="524" spans="1:6" x14ac:dyDescent="0.25">
      <c r="A524" s="2">
        <v>44061</v>
      </c>
      <c r="B524">
        <f>1.6979</f>
        <v>1.6979</v>
      </c>
      <c r="C524">
        <f>1.5739</f>
        <v>1.5739000000000001</v>
      </c>
      <c r="D524">
        <f>0.7903</f>
        <v>0.7903</v>
      </c>
      <c r="E524">
        <f>1.3676</f>
        <v>1.3675999999999999</v>
      </c>
      <c r="F524">
        <f>3.2299</f>
        <v>3.2299000000000002</v>
      </c>
    </row>
    <row r="525" spans="1:6" x14ac:dyDescent="0.25">
      <c r="A525" s="2">
        <v>44060</v>
      </c>
      <c r="B525">
        <f>1.6588</f>
        <v>1.6588000000000001</v>
      </c>
      <c r="C525">
        <f>1.5442</f>
        <v>1.5442</v>
      </c>
      <c r="D525">
        <f>0.8093</f>
        <v>0.80930000000000002</v>
      </c>
      <c r="E525">
        <f>1.3436</f>
        <v>1.3435999999999999</v>
      </c>
      <c r="F525">
        <f>3.2543</f>
        <v>3.2543000000000002</v>
      </c>
    </row>
    <row r="526" spans="1:6" x14ac:dyDescent="0.25">
      <c r="A526" s="2">
        <v>44057</v>
      </c>
      <c r="B526">
        <f>1.6552</f>
        <v>1.6552</v>
      </c>
      <c r="C526">
        <f>1.5438</f>
        <v>1.5438000000000001</v>
      </c>
      <c r="D526">
        <f>0.8301</f>
        <v>0.83009999999999995</v>
      </c>
      <c r="E526">
        <f>1.3368</f>
        <v>1.3368</v>
      </c>
      <c r="F526">
        <f>3.255</f>
        <v>3.2549999999999999</v>
      </c>
    </row>
    <row r="527" spans="1:6" x14ac:dyDescent="0.25">
      <c r="A527" s="2">
        <v>44056</v>
      </c>
      <c r="B527">
        <f>1.676</f>
        <v>1.6759999999999999</v>
      </c>
      <c r="C527">
        <f>1.5713</f>
        <v>1.5712999999999999</v>
      </c>
      <c r="D527">
        <f>0.8418</f>
        <v>0.84179999999999999</v>
      </c>
      <c r="E527">
        <f>1.3621</f>
        <v>1.3621000000000001</v>
      </c>
      <c r="F527">
        <f>3.2878</f>
        <v>3.2877999999999998</v>
      </c>
    </row>
    <row r="528" spans="1:6" x14ac:dyDescent="0.25">
      <c r="A528" s="2">
        <v>44055</v>
      </c>
      <c r="B528">
        <f>1.6659</f>
        <v>1.6658999999999999</v>
      </c>
      <c r="C528">
        <f>1.5647</f>
        <v>1.5647</v>
      </c>
      <c r="D528">
        <f>0.8447</f>
        <v>0.84470000000000001</v>
      </c>
      <c r="E528">
        <f>1.3735</f>
        <v>1.3734999999999999</v>
      </c>
      <c r="F528">
        <f>3.304</f>
        <v>3.3039999999999998</v>
      </c>
    </row>
    <row r="529" spans="1:6" x14ac:dyDescent="0.25">
      <c r="A529" s="2">
        <v>44054</v>
      </c>
      <c r="B529">
        <f>1.6263</f>
        <v>1.6263000000000001</v>
      </c>
      <c r="C529">
        <f>1.5084</f>
        <v>1.5084</v>
      </c>
      <c r="D529">
        <f>0.8611</f>
        <v>0.86109999999999998</v>
      </c>
      <c r="E529">
        <f>1.2473</f>
        <v>1.2473000000000001</v>
      </c>
      <c r="F529">
        <f>3.3223</f>
        <v>3.3222999999999998</v>
      </c>
    </row>
    <row r="530" spans="1:6" x14ac:dyDescent="0.25">
      <c r="A530" s="2">
        <v>44053</v>
      </c>
      <c r="B530">
        <f>1.6094</f>
        <v>1.6093999999999999</v>
      </c>
      <c r="C530">
        <f>1.492</f>
        <v>1.492</v>
      </c>
      <c r="D530">
        <f>0.8442</f>
        <v>0.84419999999999995</v>
      </c>
      <c r="E530">
        <f>1.2305</f>
        <v>1.2304999999999999</v>
      </c>
      <c r="F530">
        <f>3.3246</f>
        <v>3.3246000000000002</v>
      </c>
    </row>
    <row r="531" spans="1:6" x14ac:dyDescent="0.25">
      <c r="A531" s="2">
        <v>44050</v>
      </c>
      <c r="B531">
        <f>1.6192</f>
        <v>1.6192</v>
      </c>
      <c r="C531">
        <f>1.5097</f>
        <v>1.5097</v>
      </c>
      <c r="D531">
        <f>0.8235</f>
        <v>0.82350000000000001</v>
      </c>
      <c r="E531">
        <f>1.242</f>
        <v>1.242</v>
      </c>
      <c r="F531">
        <f>3.2809</f>
        <v>3.2808999999999999</v>
      </c>
    </row>
    <row r="532" spans="1:6" x14ac:dyDescent="0.25">
      <c r="A532" s="2">
        <v>44049</v>
      </c>
      <c r="B532">
        <f>1.6197</f>
        <v>1.6196999999999999</v>
      </c>
      <c r="C532">
        <f>1.5328</f>
        <v>1.5327999999999999</v>
      </c>
      <c r="D532">
        <f>0.8034</f>
        <v>0.8034</v>
      </c>
      <c r="E532">
        <f>1.2798</f>
        <v>1.2798</v>
      </c>
      <c r="F532">
        <f>3.2563</f>
        <v>3.2563</v>
      </c>
    </row>
    <row r="533" spans="1:6" x14ac:dyDescent="0.25">
      <c r="A533" s="2">
        <v>44048</v>
      </c>
      <c r="B533">
        <f>1.6161</f>
        <v>1.6161000000000001</v>
      </c>
      <c r="C533">
        <f>1.5249</f>
        <v>1.5248999999999999</v>
      </c>
      <c r="D533">
        <f>0.8104</f>
        <v>0.81040000000000001</v>
      </c>
      <c r="E533">
        <f>1.2552</f>
        <v>1.2552000000000001</v>
      </c>
      <c r="F533">
        <f>3.2639</f>
        <v>3.2639</v>
      </c>
    </row>
    <row r="534" spans="1:6" x14ac:dyDescent="0.25">
      <c r="A534" s="2">
        <v>44047</v>
      </c>
      <c r="B534">
        <f>1.5714</f>
        <v>1.5713999999999999</v>
      </c>
      <c r="C534">
        <f>1.4657</f>
        <v>1.4657</v>
      </c>
      <c r="D534">
        <f>0.8035</f>
        <v>0.80349999999999999</v>
      </c>
      <c r="E534">
        <f>1.2059</f>
        <v>1.2059</v>
      </c>
      <c r="F534">
        <f>3.2601</f>
        <v>3.2601</v>
      </c>
    </row>
    <row r="535" spans="1:6" x14ac:dyDescent="0.25">
      <c r="A535" s="2">
        <v>44046</v>
      </c>
      <c r="B535">
        <f>1.5831</f>
        <v>1.5831</v>
      </c>
      <c r="C535">
        <f>1.4651</f>
        <v>1.4651000000000001</v>
      </c>
      <c r="D535">
        <f>0.7924</f>
        <v>0.79239999999999999</v>
      </c>
      <c r="E535">
        <f>1.1793</f>
        <v>1.1793</v>
      </c>
      <c r="F535">
        <f>3.2542</f>
        <v>3.2542</v>
      </c>
    </row>
    <row r="536" spans="1:6" x14ac:dyDescent="0.25">
      <c r="A536" s="2">
        <v>44043</v>
      </c>
      <c r="B536">
        <f>1.5545</f>
        <v>1.5545</v>
      </c>
      <c r="C536">
        <f>1.4263</f>
        <v>1.4262999999999999</v>
      </c>
      <c r="D536">
        <f>0.783</f>
        <v>0.78300000000000003</v>
      </c>
      <c r="E536">
        <f>1.1426</f>
        <v>1.1426000000000001</v>
      </c>
      <c r="F536">
        <f>3.2405</f>
        <v>3.2404999999999999</v>
      </c>
    </row>
    <row r="537" spans="1:6" x14ac:dyDescent="0.25">
      <c r="A537" s="2">
        <v>44042</v>
      </c>
      <c r="B537">
        <f>1.5229</f>
        <v>1.5228999999999999</v>
      </c>
      <c r="C537">
        <f>1.383</f>
        <v>1.383</v>
      </c>
      <c r="D537">
        <f>0.7759</f>
        <v>0.77590000000000003</v>
      </c>
      <c r="E537">
        <f>1.1057</f>
        <v>1.1056999999999999</v>
      </c>
      <c r="F537">
        <f>3.2555</f>
        <v>3.2555000000000001</v>
      </c>
    </row>
    <row r="538" spans="1:6" x14ac:dyDescent="0.25">
      <c r="A538" s="2">
        <v>44041</v>
      </c>
      <c r="B538">
        <f>1.531</f>
        <v>1.5309999999999999</v>
      </c>
      <c r="C538">
        <f>1.3819</f>
        <v>1.3818999999999999</v>
      </c>
      <c r="D538">
        <f>0.7882</f>
        <v>0.78820000000000001</v>
      </c>
      <c r="E538">
        <f>1.1207</f>
        <v>1.1207</v>
      </c>
      <c r="F538">
        <f>3.2631</f>
        <v>3.2631000000000001</v>
      </c>
    </row>
    <row r="539" spans="1:6" x14ac:dyDescent="0.25">
      <c r="A539" s="2">
        <v>44040</v>
      </c>
      <c r="B539">
        <f>1.504</f>
        <v>1.504</v>
      </c>
      <c r="C539">
        <f>1.3586</f>
        <v>1.3586</v>
      </c>
      <c r="D539">
        <f>0.7608</f>
        <v>0.76080000000000003</v>
      </c>
      <c r="E539">
        <f>1.1099</f>
        <v>1.1099000000000001</v>
      </c>
      <c r="F539">
        <f>3.2329</f>
        <v>3.2328999999999999</v>
      </c>
    </row>
    <row r="540" spans="1:6" x14ac:dyDescent="0.25">
      <c r="A540" s="2">
        <v>44039</v>
      </c>
      <c r="B540">
        <f>1.5175</f>
        <v>1.5175000000000001</v>
      </c>
      <c r="C540">
        <f>1.3718</f>
        <v>1.3717999999999999</v>
      </c>
      <c r="D540">
        <f>0.7619</f>
        <v>0.76190000000000002</v>
      </c>
      <c r="E540">
        <f>1.1115</f>
        <v>1.1114999999999999</v>
      </c>
      <c r="F540">
        <f>3.2045</f>
        <v>3.2044999999999999</v>
      </c>
    </row>
    <row r="541" spans="1:6" x14ac:dyDescent="0.25">
      <c r="A541" s="2">
        <v>44036</v>
      </c>
      <c r="B541">
        <f>1.5018</f>
        <v>1.5018</v>
      </c>
      <c r="C541">
        <f>1.3566</f>
        <v>1.3566</v>
      </c>
      <c r="D541">
        <f>0.755</f>
        <v>0.755</v>
      </c>
      <c r="E541">
        <f>1.1041</f>
        <v>1.1041000000000001</v>
      </c>
      <c r="F541">
        <f>3.1892</f>
        <v>3.1892</v>
      </c>
    </row>
    <row r="542" spans="1:6" x14ac:dyDescent="0.25">
      <c r="A542" s="2">
        <v>44035</v>
      </c>
      <c r="B542">
        <f>1.4454</f>
        <v>1.4454</v>
      </c>
      <c r="C542">
        <f>1.3707</f>
        <v>1.3707</v>
      </c>
      <c r="D542">
        <f>0.7496</f>
        <v>0.74960000000000004</v>
      </c>
      <c r="E542">
        <f>1.1143</f>
        <v>1.1143000000000001</v>
      </c>
      <c r="F542">
        <f>3.1725</f>
        <v>3.1724999999999999</v>
      </c>
    </row>
    <row r="543" spans="1:6" x14ac:dyDescent="0.25">
      <c r="A543" s="2">
        <v>44034</v>
      </c>
      <c r="B543">
        <f>1.4766</f>
        <v>1.4765999999999999</v>
      </c>
      <c r="C543">
        <f>1.4168</f>
        <v>1.4168000000000001</v>
      </c>
      <c r="D543">
        <f>0.7472</f>
        <v>0.74719999999999998</v>
      </c>
      <c r="E543">
        <f>1.1368</f>
        <v>1.1368</v>
      </c>
      <c r="F543">
        <f>3.1775</f>
        <v>3.1775000000000002</v>
      </c>
    </row>
    <row r="544" spans="1:6" x14ac:dyDescent="0.25">
      <c r="A544" s="2">
        <v>44033</v>
      </c>
      <c r="B544">
        <f>1.4743</f>
        <v>1.4742999999999999</v>
      </c>
      <c r="C544">
        <f>1.4048</f>
        <v>1.4048</v>
      </c>
      <c r="D544">
        <f>0.7593</f>
        <v>0.75929999999999997</v>
      </c>
      <c r="E544">
        <f>1.0986</f>
        <v>1.0986</v>
      </c>
      <c r="F544">
        <f>3.1818</f>
        <v>3.1818</v>
      </c>
    </row>
    <row r="545" spans="1:6" x14ac:dyDescent="0.25">
      <c r="A545" s="2">
        <v>44032</v>
      </c>
      <c r="B545">
        <f>1.4471</f>
        <v>1.4471000000000001</v>
      </c>
      <c r="C545">
        <f>1.3683</f>
        <v>1.3683000000000001</v>
      </c>
      <c r="D545">
        <f>0.7269</f>
        <v>0.72689999999999999</v>
      </c>
      <c r="E545">
        <f>1.0439</f>
        <v>1.0439000000000001</v>
      </c>
      <c r="F545">
        <f>3.1746</f>
        <v>3.1745999999999999</v>
      </c>
    </row>
    <row r="546" spans="1:6" x14ac:dyDescent="0.25">
      <c r="A546" s="2">
        <v>44029</v>
      </c>
      <c r="B546">
        <f>1.4469</f>
        <v>1.4469000000000001</v>
      </c>
      <c r="C546">
        <f>1.354</f>
        <v>1.3540000000000001</v>
      </c>
      <c r="D546">
        <f>0.7042</f>
        <v>0.70420000000000005</v>
      </c>
      <c r="E546">
        <f>1.0247</f>
        <v>1.0246999999999999</v>
      </c>
      <c r="F546">
        <f>3.1908</f>
        <v>3.1907999999999999</v>
      </c>
    </row>
    <row r="547" spans="1:6" x14ac:dyDescent="0.25">
      <c r="A547" s="2">
        <v>44028</v>
      </c>
      <c r="B547">
        <f>1.4062</f>
        <v>1.4061999999999999</v>
      </c>
      <c r="C547">
        <f>1.3114</f>
        <v>1.3113999999999999</v>
      </c>
      <c r="D547">
        <f>0.6922</f>
        <v>0.69220000000000004</v>
      </c>
      <c r="E547">
        <f>0.9956</f>
        <v>0.99560000000000004</v>
      </c>
      <c r="F547">
        <f>3.2</f>
        <v>3.2</v>
      </c>
    </row>
    <row r="548" spans="1:6" x14ac:dyDescent="0.25">
      <c r="A548" s="2">
        <v>44027</v>
      </c>
      <c r="B548">
        <f>1.3995</f>
        <v>1.3995</v>
      </c>
      <c r="C548">
        <f>1.2927</f>
        <v>1.2927</v>
      </c>
      <c r="D548">
        <f>0.7047</f>
        <v>0.70469999999999999</v>
      </c>
      <c r="E548">
        <f>1.0104</f>
        <v>1.0104</v>
      </c>
      <c r="F548">
        <f>3.2222</f>
        <v>3.2222</v>
      </c>
    </row>
    <row r="549" spans="1:6" x14ac:dyDescent="0.25">
      <c r="A549" s="2">
        <v>44026</v>
      </c>
      <c r="B549">
        <f>1.4099</f>
        <v>1.4098999999999999</v>
      </c>
      <c r="C549">
        <f>1.2907</f>
        <v>1.2907</v>
      </c>
      <c r="D549">
        <f>0.6854</f>
        <v>0.68540000000000001</v>
      </c>
      <c r="E549">
        <f>1.0132</f>
        <v>1.0132000000000001</v>
      </c>
      <c r="F549">
        <f>3.2272</f>
        <v>3.2271999999999998</v>
      </c>
    </row>
    <row r="550" spans="1:6" x14ac:dyDescent="0.25">
      <c r="A550" s="2">
        <v>44025</v>
      </c>
      <c r="B550">
        <f>1.4062</f>
        <v>1.4061999999999999</v>
      </c>
      <c r="C550">
        <f>1.265</f>
        <v>1.2649999999999999</v>
      </c>
      <c r="D550">
        <f>0.6534</f>
        <v>0.65339999999999998</v>
      </c>
      <c r="E550">
        <f>0.9745</f>
        <v>0.97450000000000003</v>
      </c>
      <c r="F550">
        <f>3.2041</f>
        <v>3.2040999999999999</v>
      </c>
    </row>
    <row r="551" spans="1:6" x14ac:dyDescent="0.25">
      <c r="A551" s="2">
        <v>44022</v>
      </c>
      <c r="B551">
        <f>1.3924</f>
        <v>1.3924000000000001</v>
      </c>
      <c r="C551">
        <f>1.2515</f>
        <v>1.2515000000000001</v>
      </c>
      <c r="D551">
        <f>0.628</f>
        <v>0.628</v>
      </c>
      <c r="E551">
        <f>0.9533</f>
        <v>0.95330000000000004</v>
      </c>
      <c r="F551">
        <f>3.1737</f>
        <v>3.1737000000000002</v>
      </c>
    </row>
    <row r="552" spans="1:6" x14ac:dyDescent="0.25">
      <c r="A552" s="2">
        <v>44021</v>
      </c>
      <c r="B552">
        <f>1.379</f>
        <v>1.379</v>
      </c>
      <c r="C552">
        <f>1.2277</f>
        <v>1.2277</v>
      </c>
      <c r="D552">
        <f>0.657</f>
        <v>0.65700000000000003</v>
      </c>
      <c r="E552">
        <f>0.939</f>
        <v>0.93899999999999995</v>
      </c>
      <c r="F552">
        <f>3.2099</f>
        <v>3.2099000000000002</v>
      </c>
    </row>
    <row r="553" spans="1:6" x14ac:dyDescent="0.25">
      <c r="A553" s="2">
        <v>44020</v>
      </c>
      <c r="B553">
        <f>1.4017</f>
        <v>1.4016999999999999</v>
      </c>
      <c r="C553">
        <f>1.2528</f>
        <v>1.2527999999999999</v>
      </c>
      <c r="D553">
        <f>0.6863</f>
        <v>0.68630000000000002</v>
      </c>
      <c r="E553">
        <f>0.9711</f>
        <v>0.97109999999999996</v>
      </c>
      <c r="F553">
        <f>3.2634</f>
        <v>3.2633999999999999</v>
      </c>
    </row>
    <row r="554" spans="1:6" x14ac:dyDescent="0.25">
      <c r="A554" s="2">
        <v>44019</v>
      </c>
      <c r="B554">
        <f>1.4166</f>
        <v>1.4166000000000001</v>
      </c>
      <c r="C554">
        <f>1.2655</f>
        <v>1.2655000000000001</v>
      </c>
      <c r="D554">
        <f>0.67</f>
        <v>0.67</v>
      </c>
      <c r="E554">
        <f>0.975</f>
        <v>0.97499999999999998</v>
      </c>
      <c r="F554">
        <f>3.2791</f>
        <v>3.2791000000000001</v>
      </c>
    </row>
    <row r="555" spans="1:6" x14ac:dyDescent="0.25">
      <c r="A555" s="2">
        <v>44018</v>
      </c>
      <c r="B555">
        <f>1.4437</f>
        <v>1.4437</v>
      </c>
      <c r="C555">
        <f>1.2867</f>
        <v>1.2867</v>
      </c>
      <c r="D555">
        <f>0.6757</f>
        <v>0.67569999999999997</v>
      </c>
      <c r="E555">
        <f>0.9832</f>
        <v>0.98319999999999996</v>
      </c>
      <c r="F555">
        <f>3.3087</f>
        <v>3.3087</v>
      </c>
    </row>
    <row r="556" spans="1:6" x14ac:dyDescent="0.25">
      <c r="A556" s="2">
        <v>44015</v>
      </c>
      <c r="B556">
        <f>1.3949</f>
        <v>1.3949</v>
      </c>
      <c r="C556">
        <f>1.2276</f>
        <v>1.2276</v>
      </c>
      <c r="D556">
        <f>0.6708</f>
        <v>0.67079999999999995</v>
      </c>
      <c r="E556">
        <f>0.9266</f>
        <v>0.92659999999999998</v>
      </c>
      <c r="F556">
        <f>3.2936</f>
        <v>3.2936000000000001</v>
      </c>
    </row>
    <row r="557" spans="1:6" x14ac:dyDescent="0.25">
      <c r="A557" s="2">
        <v>44014</v>
      </c>
      <c r="B557">
        <f>1.3953</f>
        <v>1.3953</v>
      </c>
      <c r="C557">
        <f>1.2276</f>
        <v>1.2276</v>
      </c>
      <c r="D557">
        <f>0.6694</f>
        <v>0.6694</v>
      </c>
      <c r="E557">
        <f>0.9266</f>
        <v>0.92659999999999998</v>
      </c>
      <c r="F557">
        <f>3.2744</f>
        <v>3.2744</v>
      </c>
    </row>
    <row r="558" spans="1:6" x14ac:dyDescent="0.25">
      <c r="A558" s="2">
        <v>44013</v>
      </c>
      <c r="B558">
        <f>1.3603</f>
        <v>1.3603000000000001</v>
      </c>
      <c r="C558">
        <f>1.189</f>
        <v>1.1890000000000001</v>
      </c>
      <c r="D558">
        <f>0.6705</f>
        <v>0.67049999999999998</v>
      </c>
      <c r="E558">
        <f>0.8843</f>
        <v>0.88429999999999997</v>
      </c>
      <c r="F558">
        <f>3.2314</f>
        <v>3.2313999999999998</v>
      </c>
    </row>
    <row r="559" spans="1:6" x14ac:dyDescent="0.25">
      <c r="A559" s="2">
        <v>44012</v>
      </c>
      <c r="B559">
        <f>1.3387</f>
        <v>1.3387</v>
      </c>
      <c r="C559">
        <f>1.1703</f>
        <v>1.1702999999999999</v>
      </c>
      <c r="D559">
        <f>0.6548</f>
        <v>0.65480000000000005</v>
      </c>
      <c r="E559">
        <f>0.8787</f>
        <v>0.87870000000000004</v>
      </c>
      <c r="F559">
        <f>3.2033</f>
        <v>3.2033</v>
      </c>
    </row>
    <row r="560" spans="1:6" x14ac:dyDescent="0.25">
      <c r="A560" s="2">
        <v>44011</v>
      </c>
      <c r="B560">
        <f>1.3282</f>
        <v>1.3282</v>
      </c>
      <c r="C560">
        <f>1.1529</f>
        <v>1.1529</v>
      </c>
      <c r="D560">
        <f>0.643</f>
        <v>0.64300000000000002</v>
      </c>
      <c r="E560">
        <f>0.873</f>
        <v>0.873</v>
      </c>
      <c r="F560">
        <f>3.1706</f>
        <v>3.1705999999999999</v>
      </c>
    </row>
    <row r="561" spans="1:6" x14ac:dyDescent="0.25">
      <c r="A561" s="2">
        <v>44008</v>
      </c>
      <c r="B561">
        <f>1.3166</f>
        <v>1.3166</v>
      </c>
      <c r="C561">
        <f>1.1249</f>
        <v>1.1249</v>
      </c>
      <c r="D561">
        <f>0.6289</f>
        <v>0.62890000000000001</v>
      </c>
      <c r="E561">
        <f>0.8416</f>
        <v>0.84160000000000001</v>
      </c>
      <c r="F561">
        <f>3.1339</f>
        <v>3.1339000000000001</v>
      </c>
    </row>
    <row r="562" spans="1:6" x14ac:dyDescent="0.25">
      <c r="A562" s="2">
        <v>44007</v>
      </c>
      <c r="B562">
        <f>1.3309</f>
        <v>1.3309</v>
      </c>
      <c r="C562">
        <f>1.1286</f>
        <v>1.1286</v>
      </c>
      <c r="D562">
        <f>0.6175</f>
        <v>0.61750000000000005</v>
      </c>
      <c r="E562">
        <f>0.8461</f>
        <v>0.84609999999999996</v>
      </c>
      <c r="F562">
        <f>3.126</f>
        <v>3.1259999999999999</v>
      </c>
    </row>
    <row r="563" spans="1:6" x14ac:dyDescent="0.25">
      <c r="A563" s="2">
        <v>44006</v>
      </c>
      <c r="B563">
        <f>1.3186</f>
        <v>1.3186</v>
      </c>
      <c r="C563">
        <f>1.1077</f>
        <v>1.1076999999999999</v>
      </c>
      <c r="D563">
        <f>0.6505</f>
        <v>0.65049999999999997</v>
      </c>
      <c r="E563">
        <f>0.8459</f>
        <v>0.84589999999999999</v>
      </c>
      <c r="F563">
        <f>3.1559</f>
        <v>3.1558999999999999</v>
      </c>
    </row>
    <row r="564" spans="1:6" x14ac:dyDescent="0.25">
      <c r="A564" s="2">
        <v>44005</v>
      </c>
      <c r="B564">
        <f>1.3624</f>
        <v>1.3624000000000001</v>
      </c>
      <c r="C564">
        <f>1.1497</f>
        <v>1.1496999999999999</v>
      </c>
      <c r="D564">
        <f>0.6456</f>
        <v>0.64559999999999995</v>
      </c>
      <c r="E564">
        <f>0.8987</f>
        <v>0.89870000000000005</v>
      </c>
      <c r="F564">
        <f>3.1798</f>
        <v>3.1798000000000002</v>
      </c>
    </row>
    <row r="565" spans="1:6" x14ac:dyDescent="0.25">
      <c r="A565" s="2">
        <v>44004</v>
      </c>
      <c r="B565">
        <f>1.3336</f>
        <v>1.3335999999999999</v>
      </c>
      <c r="C565">
        <f>1.1271</f>
        <v>1.1271</v>
      </c>
      <c r="D565">
        <f>0.6013</f>
        <v>0.60129999999999995</v>
      </c>
      <c r="E565">
        <f>0.8602</f>
        <v>0.86019999999999996</v>
      </c>
      <c r="F565">
        <f>3.146</f>
        <v>3.1459999999999999</v>
      </c>
    </row>
    <row r="566" spans="1:6" x14ac:dyDescent="0.25">
      <c r="A566" s="2">
        <v>44001</v>
      </c>
      <c r="B566">
        <f>1.2894</f>
        <v>1.2894000000000001</v>
      </c>
      <c r="C566">
        <f>1.0771</f>
        <v>1.0770999999999999</v>
      </c>
      <c r="D566">
        <f>0.5972</f>
        <v>0.59719999999999995</v>
      </c>
      <c r="E566">
        <f>0.8006</f>
        <v>0.80059999999999998</v>
      </c>
      <c r="F566">
        <f>3.1074</f>
        <v>3.1074000000000002</v>
      </c>
    </row>
    <row r="567" spans="1:6" x14ac:dyDescent="0.25">
      <c r="A567" s="2">
        <v>44000</v>
      </c>
      <c r="B567">
        <f>1.2638</f>
        <v>1.2638</v>
      </c>
      <c r="C567">
        <f>1.0473</f>
        <v>1.0472999999999999</v>
      </c>
      <c r="D567">
        <f>0.5912</f>
        <v>0.59119999999999995</v>
      </c>
      <c r="E567">
        <f>0.7356</f>
        <v>0.73560000000000003</v>
      </c>
      <c r="F567">
        <f>3.0772</f>
        <v>3.0771999999999999</v>
      </c>
    </row>
    <row r="568" spans="1:6" x14ac:dyDescent="0.25">
      <c r="A568" s="2">
        <v>43999</v>
      </c>
      <c r="B568">
        <f>1.2476</f>
        <v>1.2476</v>
      </c>
      <c r="C568">
        <f>1.016</f>
        <v>1.016</v>
      </c>
      <c r="D568">
        <f>0.5823</f>
        <v>0.58230000000000004</v>
      </c>
      <c r="E568">
        <f>0.6848</f>
        <v>0.68479999999999996</v>
      </c>
      <c r="F568">
        <f>3.1098</f>
        <v>3.1097999999999999</v>
      </c>
    </row>
    <row r="569" spans="1:6" x14ac:dyDescent="0.25">
      <c r="A569" s="2">
        <v>43998</v>
      </c>
      <c r="B569">
        <f>1.2634</f>
        <v>1.2634000000000001</v>
      </c>
      <c r="C569">
        <f>1.0374</f>
        <v>1.0374000000000001</v>
      </c>
      <c r="D569">
        <f>0.5836</f>
        <v>0.58360000000000001</v>
      </c>
      <c r="E569">
        <f>0.7122</f>
        <v>0.71220000000000006</v>
      </c>
      <c r="F569">
        <f>3.0912</f>
        <v>3.0912000000000002</v>
      </c>
    </row>
    <row r="570" spans="1:6" x14ac:dyDescent="0.25">
      <c r="A570" s="2">
        <v>43997</v>
      </c>
      <c r="B570">
        <f>1.2296</f>
        <v>1.2296</v>
      </c>
      <c r="C570">
        <f>1.0011</f>
        <v>1.0011000000000001</v>
      </c>
      <c r="D570">
        <f>0.5682</f>
        <v>0.56820000000000004</v>
      </c>
      <c r="E570">
        <f>0.6522</f>
        <v>0.6522</v>
      </c>
      <c r="F570">
        <f>3.0836</f>
        <v>3.0836000000000001</v>
      </c>
    </row>
    <row r="571" spans="1:6" x14ac:dyDescent="0.25">
      <c r="A571" s="2">
        <v>43994</v>
      </c>
      <c r="B571">
        <f>1.2032</f>
        <v>1.2032</v>
      </c>
      <c r="C571">
        <f>0.9667</f>
        <v>0.9667</v>
      </c>
      <c r="D571">
        <f>0.5728</f>
        <v>0.57279999999999998</v>
      </c>
      <c r="E571">
        <f>0.628</f>
        <v>0.628</v>
      </c>
      <c r="F571">
        <f>3.0908</f>
        <v>3.0908000000000002</v>
      </c>
    </row>
    <row r="572" spans="1:6" x14ac:dyDescent="0.25">
      <c r="A572" s="2">
        <v>43993</v>
      </c>
      <c r="B572">
        <f>1.2069</f>
        <v>1.2069000000000001</v>
      </c>
      <c r="C572">
        <f>0.9497</f>
        <v>0.94969999999999999</v>
      </c>
      <c r="D572">
        <f>0.585</f>
        <v>0.58499999999999996</v>
      </c>
      <c r="E572">
        <f>0.5935</f>
        <v>0.59350000000000003</v>
      </c>
      <c r="F572">
        <f>3.1142</f>
        <v>3.1141999999999999</v>
      </c>
    </row>
    <row r="573" spans="1:6" x14ac:dyDescent="0.25">
      <c r="A573" s="2">
        <v>43992</v>
      </c>
      <c r="B573">
        <f>1.2597</f>
        <v>1.2597</v>
      </c>
      <c r="C573">
        <f>1.0142</f>
        <v>1.0142</v>
      </c>
      <c r="D573">
        <f>0.6462</f>
        <v>0.6462</v>
      </c>
      <c r="E573">
        <f>0.6902</f>
        <v>0.69020000000000004</v>
      </c>
      <c r="F573">
        <f>3.1401</f>
        <v>3.1400999999999999</v>
      </c>
    </row>
    <row r="574" spans="1:6" x14ac:dyDescent="0.25">
      <c r="A574" s="2">
        <v>43991</v>
      </c>
      <c r="B574">
        <f>1.2433</f>
        <v>1.2433000000000001</v>
      </c>
      <c r="C574">
        <f>0.9867</f>
        <v>0.98670000000000002</v>
      </c>
      <c r="D574">
        <f>0.6486</f>
        <v>0.64859999999999995</v>
      </c>
      <c r="E574">
        <f>0.6052</f>
        <v>0.60519999999999996</v>
      </c>
      <c r="F574">
        <f>3.1735</f>
        <v>3.1735000000000002</v>
      </c>
    </row>
    <row r="575" spans="1:6" x14ac:dyDescent="0.25">
      <c r="A575" s="2">
        <v>43990</v>
      </c>
      <c r="B575">
        <f>1.282</f>
        <v>1.282</v>
      </c>
      <c r="C575">
        <f>0.9982</f>
        <v>0.99819999999999998</v>
      </c>
      <c r="D575">
        <f>0.6499</f>
        <v>0.64990000000000003</v>
      </c>
      <c r="E575">
        <f>0.5455</f>
        <v>0.54549999999999998</v>
      </c>
      <c r="F575">
        <f>3.1616</f>
        <v>3.1616</v>
      </c>
    </row>
    <row r="576" spans="1:6" x14ac:dyDescent="0.25">
      <c r="A576" s="2">
        <v>43987</v>
      </c>
      <c r="B576">
        <f>1.2582</f>
        <v>1.2582</v>
      </c>
      <c r="C576">
        <f>0.9704</f>
        <v>0.97040000000000004</v>
      </c>
      <c r="D576">
        <f>0.65</f>
        <v>0.65</v>
      </c>
      <c r="E576">
        <f>0.4789</f>
        <v>0.47889999999999999</v>
      </c>
      <c r="F576">
        <f>3.1648</f>
        <v>3.1648000000000001</v>
      </c>
    </row>
    <row r="577" spans="1:6" x14ac:dyDescent="0.25">
      <c r="A577" s="2">
        <v>43986</v>
      </c>
      <c r="B577">
        <f>1.2115</f>
        <v>1.2115</v>
      </c>
      <c r="C577">
        <f>0.8948</f>
        <v>0.89480000000000004</v>
      </c>
      <c r="D577">
        <f>0.6244</f>
        <v>0.62439999999999996</v>
      </c>
      <c r="E577">
        <f>0.333</f>
        <v>0.33300000000000002</v>
      </c>
      <c r="F577">
        <f>3.129</f>
        <v>3.129</v>
      </c>
    </row>
    <row r="578" spans="1:6" x14ac:dyDescent="0.25">
      <c r="A578" s="2">
        <v>43985</v>
      </c>
      <c r="B578">
        <f>1.1989</f>
        <v>1.1989000000000001</v>
      </c>
      <c r="C578">
        <f>0.8829</f>
        <v>0.88290000000000002</v>
      </c>
      <c r="D578">
        <f>0.5952</f>
        <v>0.59519999999999995</v>
      </c>
      <c r="E578">
        <f>0.3033</f>
        <v>0.30330000000000001</v>
      </c>
      <c r="F578">
        <f>3.1629</f>
        <v>3.1629</v>
      </c>
    </row>
    <row r="579" spans="1:6" x14ac:dyDescent="0.25">
      <c r="A579" s="2">
        <v>43984</v>
      </c>
      <c r="B579">
        <f>1.1748</f>
        <v>1.1748000000000001</v>
      </c>
      <c r="C579">
        <f>0.8648</f>
        <v>0.86480000000000001</v>
      </c>
      <c r="D579">
        <f>0.5845</f>
        <v>0.58450000000000002</v>
      </c>
      <c r="E579">
        <f>0.2647</f>
        <v>0.26469999999999999</v>
      </c>
      <c r="F579">
        <f>3.1463</f>
        <v>3.1463000000000001</v>
      </c>
    </row>
    <row r="580" spans="1:6" x14ac:dyDescent="0.25">
      <c r="A580" s="2">
        <v>43983</v>
      </c>
      <c r="B580">
        <f>1.1818</f>
        <v>1.1818</v>
      </c>
      <c r="C580">
        <f>0.8609</f>
        <v>0.8609</v>
      </c>
      <c r="D580">
        <f>0.5642</f>
        <v>0.56420000000000003</v>
      </c>
      <c r="E580">
        <f>0.2269</f>
        <v>0.22689999999999999</v>
      </c>
      <c r="F580">
        <f>3.1447</f>
        <v>3.1446999999999998</v>
      </c>
    </row>
    <row r="581" spans="1:6" x14ac:dyDescent="0.25">
      <c r="A581" s="2">
        <v>43980</v>
      </c>
      <c r="B581">
        <f>1.1432</f>
        <v>1.1432</v>
      </c>
      <c r="C581">
        <f>0.8388</f>
        <v>0.83879999999999999</v>
      </c>
      <c r="D581">
        <f>0.5516</f>
        <v>0.55159999999999998</v>
      </c>
      <c r="E581">
        <f>0.1911</f>
        <v>0.19109999999999999</v>
      </c>
      <c r="F581">
        <f>3.125</f>
        <v>3.125</v>
      </c>
    </row>
    <row r="582" spans="1:6" x14ac:dyDescent="0.25">
      <c r="A582" s="2">
        <v>43979</v>
      </c>
      <c r="B582">
        <f>1.1779</f>
        <v>1.1778999999999999</v>
      </c>
      <c r="C582">
        <f>0.8737</f>
        <v>0.87370000000000003</v>
      </c>
      <c r="D582">
        <f>0.5255</f>
        <v>0.52549999999999997</v>
      </c>
      <c r="E582">
        <f>0.1692</f>
        <v>0.16919999999999999</v>
      </c>
      <c r="F582">
        <f>3.1189</f>
        <v>3.1189</v>
      </c>
    </row>
    <row r="583" spans="1:6" x14ac:dyDescent="0.25">
      <c r="A583" s="2">
        <v>43978</v>
      </c>
      <c r="B583">
        <f>1.1392</f>
        <v>1.1392</v>
      </c>
      <c r="C583">
        <f>0.8355</f>
        <v>0.83550000000000002</v>
      </c>
      <c r="D583">
        <f>0.5144</f>
        <v>0.51439999999999997</v>
      </c>
      <c r="E583">
        <f>0.1127</f>
        <v>0.11269999999999999</v>
      </c>
      <c r="F583">
        <f>3.112</f>
        <v>3.1120000000000001</v>
      </c>
    </row>
    <row r="584" spans="1:6" x14ac:dyDescent="0.25">
      <c r="A584" s="2">
        <v>43977</v>
      </c>
      <c r="B584">
        <f>1.1178</f>
        <v>1.1177999999999999</v>
      </c>
      <c r="C584">
        <f>0.8158</f>
        <v>0.81579999999999997</v>
      </c>
      <c r="D584">
        <f>0.5116</f>
        <v>0.51160000000000005</v>
      </c>
      <c r="E584">
        <f>0.065</f>
        <v>6.5000000000000002E-2</v>
      </c>
      <c r="F584">
        <f>3.1057</f>
        <v>3.1057000000000001</v>
      </c>
    </row>
    <row r="585" spans="1:6" x14ac:dyDescent="0.25">
      <c r="A585" s="2">
        <v>43976</v>
      </c>
      <c r="B585">
        <f>1.112</f>
        <v>1.1120000000000001</v>
      </c>
      <c r="C585">
        <f>0.8057</f>
        <v>0.80569999999999997</v>
      </c>
      <c r="D585">
        <f>0.4845</f>
        <v>0.48449999999999999</v>
      </c>
      <c r="E585">
        <f>0.0244</f>
        <v>2.4400000000000002E-2</v>
      </c>
      <c r="F585" t="e">
        <f>NA()</f>
        <v>#N/A</v>
      </c>
    </row>
    <row r="586" spans="1:6" x14ac:dyDescent="0.25">
      <c r="A586" s="2">
        <v>43973</v>
      </c>
      <c r="B586">
        <f>1.1104</f>
        <v>1.1104000000000001</v>
      </c>
      <c r="C586">
        <f>0.8049</f>
        <v>0.80489999999999995</v>
      </c>
      <c r="D586">
        <f>0.488</f>
        <v>0.48799999999999999</v>
      </c>
      <c r="E586">
        <f>0.0244</f>
        <v>2.4400000000000002E-2</v>
      </c>
      <c r="F586">
        <f>3.0931</f>
        <v>3.0931000000000002</v>
      </c>
    </row>
    <row r="587" spans="1:6" x14ac:dyDescent="0.25">
      <c r="A587" s="2">
        <v>43972</v>
      </c>
      <c r="B587">
        <f>1.1253</f>
        <v>1.1253</v>
      </c>
      <c r="C587">
        <f>0.8124</f>
        <v>0.81240000000000001</v>
      </c>
      <c r="D587">
        <f>0.4962</f>
        <v>0.49619999999999997</v>
      </c>
      <c r="E587">
        <f>0.0201</f>
        <v>2.01E-2</v>
      </c>
      <c r="F587">
        <f>3.1217</f>
        <v>3.1217000000000001</v>
      </c>
    </row>
    <row r="588" spans="1:6" x14ac:dyDescent="0.25">
      <c r="A588" s="2">
        <v>43971</v>
      </c>
      <c r="B588">
        <f>1.1575</f>
        <v>1.1575</v>
      </c>
      <c r="C588">
        <f>0.8376</f>
        <v>0.83760000000000001</v>
      </c>
      <c r="D588">
        <f>0.4938</f>
        <v>0.49380000000000002</v>
      </c>
      <c r="E588">
        <f>0.0067</f>
        <v>6.7000000000000002E-3</v>
      </c>
      <c r="F588">
        <f>3.1216</f>
        <v>3.1215999999999999</v>
      </c>
    </row>
    <row r="589" spans="1:6" x14ac:dyDescent="0.25">
      <c r="A589" s="2">
        <v>43970</v>
      </c>
      <c r="B589">
        <f>1.1433</f>
        <v>1.1433</v>
      </c>
      <c r="C589">
        <f>0.8201</f>
        <v>0.82010000000000005</v>
      </c>
      <c r="D589">
        <f>0.4754</f>
        <v>0.47539999999999999</v>
      </c>
      <c r="E589">
        <f>-0.0171</f>
        <v>-1.7100000000000001E-2</v>
      </c>
      <c r="F589">
        <f>3.1149</f>
        <v>3.1149</v>
      </c>
    </row>
    <row r="590" spans="1:6" x14ac:dyDescent="0.25">
      <c r="A590" s="2">
        <v>43969</v>
      </c>
      <c r="B590">
        <f>1.1697</f>
        <v>1.1697</v>
      </c>
      <c r="C590">
        <f>0.8487</f>
        <v>0.84870000000000001</v>
      </c>
      <c r="D590">
        <f>0.4449</f>
        <v>0.44490000000000002</v>
      </c>
      <c r="E590">
        <f>-0.0576</f>
        <v>-5.7599999999999998E-2</v>
      </c>
      <c r="F590">
        <f>3.094</f>
        <v>3.0939999999999999</v>
      </c>
    </row>
    <row r="591" spans="1:6" x14ac:dyDescent="0.25">
      <c r="A591" s="2">
        <v>43966</v>
      </c>
      <c r="B591">
        <f>1.0897</f>
        <v>1.0896999999999999</v>
      </c>
      <c r="C591">
        <f>0.7554</f>
        <v>0.75539999999999996</v>
      </c>
      <c r="D591">
        <f>0.4131</f>
        <v>0.41310000000000002</v>
      </c>
      <c r="E591">
        <f>-0.1831</f>
        <v>-0.18310000000000001</v>
      </c>
      <c r="F591">
        <f>3.0679</f>
        <v>3.0678999999999998</v>
      </c>
    </row>
    <row r="592" spans="1:6" x14ac:dyDescent="0.25">
      <c r="A592" s="2">
        <v>43965</v>
      </c>
      <c r="B592">
        <f>1.0581</f>
        <v>1.0581</v>
      </c>
      <c r="C592">
        <f>0.722</f>
        <v>0.72199999999999998</v>
      </c>
      <c r="D592">
        <f>0.4144</f>
        <v>0.41439999999999999</v>
      </c>
      <c r="E592">
        <f>-0.2286</f>
        <v>-0.2286</v>
      </c>
      <c r="F592">
        <f>3.0358</f>
        <v>3.0358000000000001</v>
      </c>
    </row>
    <row r="593" spans="1:6" x14ac:dyDescent="0.25">
      <c r="A593" s="2">
        <v>43964</v>
      </c>
      <c r="B593">
        <f>1.0725</f>
        <v>1.0725</v>
      </c>
      <c r="C593">
        <f>0.722</f>
        <v>0.72199999999999998</v>
      </c>
      <c r="D593">
        <f>0.4277</f>
        <v>0.42770000000000002</v>
      </c>
      <c r="E593">
        <f>-0.236</f>
        <v>-0.23599999999999999</v>
      </c>
      <c r="F593">
        <f>3.0318</f>
        <v>3.0318000000000001</v>
      </c>
    </row>
    <row r="594" spans="1:6" x14ac:dyDescent="0.25">
      <c r="A594" s="2">
        <v>43963</v>
      </c>
      <c r="B594">
        <f>1.0875</f>
        <v>1.0874999999999999</v>
      </c>
      <c r="C594">
        <f>0.7328</f>
        <v>0.73280000000000001</v>
      </c>
      <c r="D594">
        <f>0.4427</f>
        <v>0.44269999999999998</v>
      </c>
      <c r="E594">
        <f>-0.2224</f>
        <v>-0.22239999999999999</v>
      </c>
      <c r="F594">
        <f>3.0322</f>
        <v>3.0322</v>
      </c>
    </row>
    <row r="595" spans="1:6" x14ac:dyDescent="0.25">
      <c r="A595" s="2">
        <v>43962</v>
      </c>
      <c r="B595">
        <f>1.1245</f>
        <v>1.1245000000000001</v>
      </c>
      <c r="C595">
        <f>0.7548</f>
        <v>0.75480000000000003</v>
      </c>
      <c r="D595">
        <f>0.4517</f>
        <v>0.45169999999999999</v>
      </c>
      <c r="E595">
        <f>-0.2135</f>
        <v>-0.2135</v>
      </c>
      <c r="F595">
        <f>3.0461</f>
        <v>3.0461</v>
      </c>
    </row>
    <row r="596" spans="1:6" x14ac:dyDescent="0.25">
      <c r="A596" s="2">
        <v>43959</v>
      </c>
      <c r="B596">
        <f>1.1163</f>
        <v>1.1163000000000001</v>
      </c>
      <c r="C596">
        <f>0.744</f>
        <v>0.74399999999999999</v>
      </c>
      <c r="D596">
        <f>0.4471</f>
        <v>0.4471</v>
      </c>
      <c r="E596">
        <f>-0.2279</f>
        <v>-0.22789999999999999</v>
      </c>
      <c r="F596" t="e">
        <f>NA()</f>
        <v>#N/A</v>
      </c>
    </row>
    <row r="597" spans="1:6" x14ac:dyDescent="0.25">
      <c r="A597" s="2">
        <v>43958</v>
      </c>
      <c r="B597">
        <f>1.0936</f>
        <v>1.0935999999999999</v>
      </c>
      <c r="C597">
        <f>0.7256</f>
        <v>0.72560000000000002</v>
      </c>
      <c r="D597">
        <f>0.4664</f>
        <v>0.46639999999999998</v>
      </c>
      <c r="E597">
        <f>-0.2814</f>
        <v>-0.28139999999999998</v>
      </c>
      <c r="F597">
        <f>3.041</f>
        <v>3.0409999999999999</v>
      </c>
    </row>
    <row r="598" spans="1:6" x14ac:dyDescent="0.25">
      <c r="A598" s="2">
        <v>43957</v>
      </c>
      <c r="B598">
        <f>1.0964</f>
        <v>1.0964</v>
      </c>
      <c r="C598">
        <f>0.7207</f>
        <v>0.72070000000000001</v>
      </c>
      <c r="D598">
        <f>0.4823</f>
        <v>0.48230000000000001</v>
      </c>
      <c r="E598">
        <f>-0.323</f>
        <v>-0.32300000000000001</v>
      </c>
      <c r="F598">
        <f>3.0202</f>
        <v>3.0202</v>
      </c>
    </row>
    <row r="599" spans="1:6" x14ac:dyDescent="0.25">
      <c r="A599" s="2">
        <v>43956</v>
      </c>
      <c r="B599">
        <f>1.094</f>
        <v>1.0940000000000001</v>
      </c>
      <c r="C599">
        <f>0.7221</f>
        <v>0.72209999999999996</v>
      </c>
      <c r="D599">
        <f>0.4802</f>
        <v>0.48020000000000002</v>
      </c>
      <c r="E599">
        <f>-0.3097</f>
        <v>-0.30969999999999998</v>
      </c>
      <c r="F599">
        <f>2.9878</f>
        <v>2.9878</v>
      </c>
    </row>
    <row r="600" spans="1:6" x14ac:dyDescent="0.25">
      <c r="A600" s="2">
        <v>43955</v>
      </c>
      <c r="B600">
        <f>1.0797</f>
        <v>1.0797000000000001</v>
      </c>
      <c r="C600">
        <f>0.703</f>
        <v>0.70299999999999996</v>
      </c>
      <c r="D600">
        <f>0.4905</f>
        <v>0.49049999999999999</v>
      </c>
      <c r="E600">
        <f>-0.3346</f>
        <v>-0.33460000000000001</v>
      </c>
      <c r="F600">
        <f>2.9721</f>
        <v>2.9721000000000002</v>
      </c>
    </row>
    <row r="601" spans="1:6" x14ac:dyDescent="0.25">
      <c r="A601" s="2">
        <v>43952</v>
      </c>
      <c r="B601">
        <f>1.0676</f>
        <v>1.0676000000000001</v>
      </c>
      <c r="C601">
        <f>0.7001</f>
        <v>0.70009999999999994</v>
      </c>
      <c r="D601">
        <f>0.5208</f>
        <v>0.52080000000000004</v>
      </c>
      <c r="E601">
        <f>-0.3546</f>
        <v>-0.35460000000000003</v>
      </c>
      <c r="F601">
        <f>2.9669</f>
        <v>2.9668999999999999</v>
      </c>
    </row>
    <row r="602" spans="1:6" x14ac:dyDescent="0.25">
      <c r="A602" s="2">
        <v>43951</v>
      </c>
      <c r="B602">
        <f>1.0694</f>
        <v>1.0693999999999999</v>
      </c>
      <c r="C602">
        <f>0.7058</f>
        <v>0.70579999999999998</v>
      </c>
      <c r="D602">
        <f>0.5207</f>
        <v>0.52070000000000005</v>
      </c>
      <c r="E602">
        <f>-0.3432</f>
        <v>-0.34320000000000001</v>
      </c>
      <c r="F602">
        <f>2.9716</f>
        <v>2.9716</v>
      </c>
    </row>
    <row r="603" spans="1:6" x14ac:dyDescent="0.25">
      <c r="A603" s="2">
        <v>43950</v>
      </c>
      <c r="B603">
        <f>1.1301</f>
        <v>1.1301000000000001</v>
      </c>
      <c r="C603">
        <f>0.7726</f>
        <v>0.77259999999999995</v>
      </c>
      <c r="D603">
        <f>0.4768</f>
        <v>0.4768</v>
      </c>
      <c r="E603">
        <f>-0.2845</f>
        <v>-0.28449999999999998</v>
      </c>
      <c r="F603">
        <f>2.9955</f>
        <v>2.9954999999999998</v>
      </c>
    </row>
    <row r="604" spans="1:6" x14ac:dyDescent="0.25">
      <c r="A604" s="2">
        <v>43949</v>
      </c>
      <c r="B604">
        <f>1.1424</f>
        <v>1.1424000000000001</v>
      </c>
      <c r="C604">
        <f>0.7828</f>
        <v>0.78280000000000005</v>
      </c>
      <c r="D604">
        <f>0.469</f>
        <v>0.46899999999999997</v>
      </c>
      <c r="E604">
        <f>-0.2854</f>
        <v>-0.28539999999999999</v>
      </c>
      <c r="F604">
        <f>2.9612</f>
        <v>2.9611999999999998</v>
      </c>
    </row>
    <row r="605" spans="1:6" x14ac:dyDescent="0.25">
      <c r="A605" s="2">
        <v>43948</v>
      </c>
      <c r="B605">
        <f>1.1614</f>
        <v>1.1614</v>
      </c>
      <c r="C605">
        <f>0.7634</f>
        <v>0.76339999999999997</v>
      </c>
      <c r="D605">
        <f>0.481</f>
        <v>0.48099999999999998</v>
      </c>
      <c r="E605">
        <f>-0.3206</f>
        <v>-0.3206</v>
      </c>
      <c r="F605">
        <f>2.9224</f>
        <v>2.9224000000000001</v>
      </c>
    </row>
    <row r="606" spans="1:6" x14ac:dyDescent="0.25">
      <c r="A606" s="2">
        <v>43945</v>
      </c>
      <c r="B606">
        <f>1.1141</f>
        <v>1.1141000000000001</v>
      </c>
      <c r="C606">
        <f>0.7204</f>
        <v>0.72040000000000004</v>
      </c>
      <c r="D606">
        <f>0.4889</f>
        <v>0.4889</v>
      </c>
      <c r="E606">
        <f>-0.3395</f>
        <v>-0.33950000000000002</v>
      </c>
      <c r="F606">
        <f>2.9425</f>
        <v>2.9424999999999999</v>
      </c>
    </row>
    <row r="607" spans="1:6" x14ac:dyDescent="0.25">
      <c r="A607" s="2">
        <v>43944</v>
      </c>
      <c r="B607">
        <f>1.0401</f>
        <v>1.0401</v>
      </c>
      <c r="C607">
        <f>0.6306</f>
        <v>0.63060000000000005</v>
      </c>
      <c r="D607">
        <f>0.5037</f>
        <v>0.50370000000000004</v>
      </c>
      <c r="E607">
        <f>-0.4998</f>
        <v>-0.49980000000000002</v>
      </c>
      <c r="F607">
        <f>2.9572</f>
        <v>2.9571999999999998</v>
      </c>
    </row>
    <row r="608" spans="1:6" x14ac:dyDescent="0.25">
      <c r="A608" s="2">
        <v>43943</v>
      </c>
      <c r="B608">
        <f>1.0525</f>
        <v>1.0525</v>
      </c>
      <c r="C608">
        <f>0.6336</f>
        <v>0.63360000000000005</v>
      </c>
      <c r="D608">
        <f>0.4725</f>
        <v>0.47249999999999998</v>
      </c>
      <c r="E608">
        <f>-0.4549</f>
        <v>-0.45490000000000003</v>
      </c>
      <c r="F608">
        <f>2.9479</f>
        <v>2.9479000000000002</v>
      </c>
    </row>
    <row r="609" spans="1:6" x14ac:dyDescent="0.25">
      <c r="A609" s="2">
        <v>43942</v>
      </c>
      <c r="B609">
        <f>0.9507</f>
        <v>0.95069999999999999</v>
      </c>
      <c r="C609">
        <f>0.5091</f>
        <v>0.5091</v>
      </c>
      <c r="D609">
        <f>0.4791</f>
        <v>0.47910000000000003</v>
      </c>
      <c r="E609">
        <f>-0.5884</f>
        <v>-0.58840000000000003</v>
      </c>
      <c r="F609">
        <f>2.8822</f>
        <v>2.8822000000000001</v>
      </c>
    </row>
    <row r="610" spans="1:6" x14ac:dyDescent="0.25">
      <c r="A610" s="2">
        <v>43941</v>
      </c>
      <c r="B610">
        <f>0.9538</f>
        <v>0.95379999999999998</v>
      </c>
      <c r="C610">
        <f>0.5258</f>
        <v>0.52580000000000005</v>
      </c>
      <c r="D610">
        <f>0.5122</f>
        <v>0.51219999999999999</v>
      </c>
      <c r="E610">
        <f>-0.5207</f>
        <v>-0.52070000000000005</v>
      </c>
      <c r="F610">
        <f>2.9325</f>
        <v>2.9325000000000001</v>
      </c>
    </row>
    <row r="611" spans="1:6" x14ac:dyDescent="0.25">
      <c r="A611" s="2">
        <v>43938</v>
      </c>
      <c r="B611">
        <f>1.0189</f>
        <v>1.0188999999999999</v>
      </c>
      <c r="C611">
        <f>0.6427</f>
        <v>0.64270000000000005</v>
      </c>
      <c r="D611">
        <f>0.5201</f>
        <v>0.52010000000000001</v>
      </c>
      <c r="E611">
        <f>-0.4169</f>
        <v>-0.41689999999999999</v>
      </c>
      <c r="F611">
        <f>2.9625</f>
        <v>2.9624999999999999</v>
      </c>
    </row>
    <row r="612" spans="1:6" x14ac:dyDescent="0.25">
      <c r="A612" s="2">
        <v>43937</v>
      </c>
      <c r="B612">
        <f>1.0649</f>
        <v>1.0649</v>
      </c>
      <c r="C612">
        <f>0.6807</f>
        <v>0.68069999999999997</v>
      </c>
      <c r="D612">
        <f>0.5254</f>
        <v>0.52539999999999998</v>
      </c>
      <c r="E612">
        <f>-0.3676</f>
        <v>-0.36759999999999998</v>
      </c>
      <c r="F612">
        <f>3.0042</f>
        <v>3.0042</v>
      </c>
    </row>
    <row r="613" spans="1:6" x14ac:dyDescent="0.25">
      <c r="A613" s="2">
        <v>43936</v>
      </c>
      <c r="B613">
        <f>1.1968</f>
        <v>1.1968000000000001</v>
      </c>
      <c r="C613">
        <f>0.8296</f>
        <v>0.8296</v>
      </c>
      <c r="D613">
        <f>0.5402</f>
        <v>0.54020000000000001</v>
      </c>
      <c r="E613">
        <f>-0.2285</f>
        <v>-0.22850000000000001</v>
      </c>
      <c r="F613">
        <f>3.0414</f>
        <v>3.0413999999999999</v>
      </c>
    </row>
    <row r="614" spans="1:6" x14ac:dyDescent="0.25">
      <c r="A614" s="2">
        <v>43935</v>
      </c>
      <c r="B614">
        <f>1.296</f>
        <v>1.296</v>
      </c>
      <c r="C614">
        <f>0.9269</f>
        <v>0.92689999999999995</v>
      </c>
      <c r="D614">
        <f>0.5608</f>
        <v>0.56079999999999997</v>
      </c>
      <c r="E614">
        <f>-0.1788</f>
        <v>-0.17879999999999999</v>
      </c>
      <c r="F614">
        <f>3.0651</f>
        <v>3.0651000000000002</v>
      </c>
    </row>
    <row r="615" spans="1:6" x14ac:dyDescent="0.25">
      <c r="A615" s="2">
        <v>43934</v>
      </c>
      <c r="B615">
        <f>1.2664</f>
        <v>1.2664</v>
      </c>
      <c r="C615">
        <f>0.9247</f>
        <v>0.92469999999999997</v>
      </c>
      <c r="D615">
        <f>0.5684</f>
        <v>0.56840000000000002</v>
      </c>
      <c r="E615">
        <f>-0.1901</f>
        <v>-0.19009999999999999</v>
      </c>
      <c r="F615" t="e">
        <f>NA()</f>
        <v>#N/A</v>
      </c>
    </row>
    <row r="616" spans="1:6" x14ac:dyDescent="0.25">
      <c r="A616" s="2">
        <v>43931</v>
      </c>
      <c r="B616">
        <f>1.2344</f>
        <v>1.2343999999999999</v>
      </c>
      <c r="C616">
        <f>0.8777</f>
        <v>0.87770000000000004</v>
      </c>
      <c r="D616">
        <f>0.5684</f>
        <v>0.56840000000000002</v>
      </c>
      <c r="E616">
        <f>-0.2172</f>
        <v>-0.2172</v>
      </c>
      <c r="F616" t="e">
        <f>NA()</f>
        <v>#N/A</v>
      </c>
    </row>
    <row r="617" spans="1:6" x14ac:dyDescent="0.25">
      <c r="A617" s="2">
        <v>43930</v>
      </c>
      <c r="B617">
        <f>1.2352</f>
        <v>1.2352000000000001</v>
      </c>
      <c r="C617">
        <f>0.8785</f>
        <v>0.87849999999999995</v>
      </c>
      <c r="D617">
        <f>0.5684</f>
        <v>0.56840000000000002</v>
      </c>
      <c r="E617">
        <f>-0.2172</f>
        <v>-0.2172</v>
      </c>
      <c r="F617">
        <f>3.0695</f>
        <v>3.0695000000000001</v>
      </c>
    </row>
    <row r="618" spans="1:6" x14ac:dyDescent="0.25">
      <c r="A618" s="2">
        <v>43929</v>
      </c>
      <c r="B618">
        <f>1.1974</f>
        <v>1.1974</v>
      </c>
      <c r="C618">
        <f>0.8569</f>
        <v>0.8569</v>
      </c>
      <c r="D618">
        <f>0.5458</f>
        <v>0.54579999999999995</v>
      </c>
      <c r="E618">
        <f>-0.2832</f>
        <v>-0.28320000000000001</v>
      </c>
      <c r="F618">
        <f>3.076</f>
        <v>3.0760000000000001</v>
      </c>
    </row>
    <row r="619" spans="1:6" x14ac:dyDescent="0.25">
      <c r="A619" s="2">
        <v>43928</v>
      </c>
      <c r="B619">
        <f>1.1824</f>
        <v>1.1823999999999999</v>
      </c>
      <c r="C619">
        <f>0.8766</f>
        <v>0.87660000000000005</v>
      </c>
      <c r="D619">
        <f>0.5494</f>
        <v>0.5494</v>
      </c>
      <c r="E619">
        <f>-0.256</f>
        <v>-0.25600000000000001</v>
      </c>
      <c r="F619">
        <f>3.0923</f>
        <v>3.0922999999999998</v>
      </c>
    </row>
    <row r="620" spans="1:6" x14ac:dyDescent="0.25">
      <c r="A620" s="2">
        <v>43927</v>
      </c>
      <c r="B620">
        <f>1.1614</f>
        <v>1.1614</v>
      </c>
      <c r="C620">
        <f>0.8389</f>
        <v>0.83889999999999998</v>
      </c>
      <c r="D620">
        <f>0.5046</f>
        <v>0.50460000000000005</v>
      </c>
      <c r="E620">
        <f>-0.2942</f>
        <v>-0.29420000000000002</v>
      </c>
      <c r="F620">
        <f>3.0843</f>
        <v>3.0842999999999998</v>
      </c>
    </row>
    <row r="621" spans="1:6" x14ac:dyDescent="0.25">
      <c r="A621" s="2">
        <v>43924</v>
      </c>
      <c r="B621">
        <f>1.0866</f>
        <v>1.0866</v>
      </c>
      <c r="C621">
        <f>0.7702</f>
        <v>0.7702</v>
      </c>
      <c r="D621">
        <f>0.5175</f>
        <v>0.51749999999999996</v>
      </c>
      <c r="E621">
        <f>-0.3578</f>
        <v>-0.35780000000000001</v>
      </c>
      <c r="F621">
        <f>3.0871</f>
        <v>3.0871</v>
      </c>
    </row>
    <row r="622" spans="1:6" x14ac:dyDescent="0.25">
      <c r="A622" s="2">
        <v>43923</v>
      </c>
      <c r="B622">
        <f>1.0327</f>
        <v>1.0327</v>
      </c>
      <c r="C622">
        <f>0.7182</f>
        <v>0.71819999999999995</v>
      </c>
      <c r="D622">
        <f>0.4704</f>
        <v>0.47039999999999998</v>
      </c>
      <c r="E622">
        <f>-0.427</f>
        <v>-0.42699999999999999</v>
      </c>
      <c r="F622">
        <f>3.1058</f>
        <v>3.1057999999999999</v>
      </c>
    </row>
    <row r="623" spans="1:6" x14ac:dyDescent="0.25">
      <c r="A623" s="2">
        <v>43922</v>
      </c>
      <c r="B623">
        <f>0.9054</f>
        <v>0.90539999999999998</v>
      </c>
      <c r="C623">
        <f>0.5283</f>
        <v>0.52829999999999999</v>
      </c>
      <c r="D623">
        <f>0.4448</f>
        <v>0.44479999999999997</v>
      </c>
      <c r="E623">
        <f>-0.6833</f>
        <v>-0.68330000000000002</v>
      </c>
      <c r="F623">
        <f>3.0596</f>
        <v>3.0596000000000001</v>
      </c>
    </row>
    <row r="624" spans="1:6" x14ac:dyDescent="0.25">
      <c r="A624" s="2">
        <v>43921</v>
      </c>
      <c r="B624">
        <f>0.9269</f>
        <v>0.92689999999999995</v>
      </c>
      <c r="C624">
        <f>0.5326</f>
        <v>0.53259999999999996</v>
      </c>
      <c r="D624">
        <f>0.4753</f>
        <v>0.4753</v>
      </c>
      <c r="E624">
        <f>-0.6865</f>
        <v>-0.6865</v>
      </c>
      <c r="F624">
        <f>3.0587</f>
        <v>3.0587</v>
      </c>
    </row>
    <row r="625" spans="1:6" x14ac:dyDescent="0.25">
      <c r="A625" s="2">
        <v>43920</v>
      </c>
      <c r="B625">
        <f>0.9505</f>
        <v>0.95050000000000001</v>
      </c>
      <c r="C625">
        <f>0.5512</f>
        <v>0.55120000000000002</v>
      </c>
      <c r="D625">
        <f>0.4922</f>
        <v>0.49220000000000003</v>
      </c>
      <c r="E625">
        <f>-0.6633</f>
        <v>-0.6633</v>
      </c>
      <c r="F625">
        <f>3.0712</f>
        <v>3.0712000000000002</v>
      </c>
    </row>
    <row r="626" spans="1:6" x14ac:dyDescent="0.25">
      <c r="A626" s="2">
        <v>43917</v>
      </c>
      <c r="B626">
        <f>1.0164</f>
        <v>1.0164</v>
      </c>
      <c r="C626">
        <f>0.6242</f>
        <v>0.62419999999999998</v>
      </c>
      <c r="D626">
        <f>0.4552</f>
        <v>0.45519999999999999</v>
      </c>
      <c r="E626">
        <f>-0.5039</f>
        <v>-0.50390000000000001</v>
      </c>
      <c r="F626">
        <f>3.0708</f>
        <v>3.0708000000000002</v>
      </c>
    </row>
    <row r="627" spans="1:6" x14ac:dyDescent="0.25">
      <c r="A627" s="2">
        <v>43916</v>
      </c>
      <c r="B627">
        <f>1.0697</f>
        <v>1.0697000000000001</v>
      </c>
      <c r="C627">
        <f>0.6968</f>
        <v>0.69679999999999997</v>
      </c>
      <c r="D627">
        <f>0.3894</f>
        <v>0.38940000000000002</v>
      </c>
      <c r="E627">
        <f>-0.4796</f>
        <v>-0.47960000000000003</v>
      </c>
      <c r="F627">
        <f>3.0202</f>
        <v>3.0202</v>
      </c>
    </row>
    <row r="628" spans="1:6" x14ac:dyDescent="0.25">
      <c r="A628" s="2">
        <v>43915</v>
      </c>
      <c r="B628">
        <f>1.0556</f>
        <v>1.0556000000000001</v>
      </c>
      <c r="C628">
        <f>0.6648</f>
        <v>0.66479999999999995</v>
      </c>
      <c r="D628">
        <f>0.2997</f>
        <v>0.29970000000000002</v>
      </c>
      <c r="E628">
        <f>-0.5723</f>
        <v>-0.57230000000000003</v>
      </c>
      <c r="F628">
        <f>2.9676</f>
        <v>2.9676</v>
      </c>
    </row>
    <row r="629" spans="1:6" x14ac:dyDescent="0.25">
      <c r="A629" s="2">
        <v>43914</v>
      </c>
      <c r="B629">
        <f>0.9593</f>
        <v>0.95930000000000004</v>
      </c>
      <c r="C629">
        <f>0.5444</f>
        <v>0.5444</v>
      </c>
      <c r="D629">
        <f>0.23</f>
        <v>0.23</v>
      </c>
      <c r="E629">
        <f>-0.682</f>
        <v>-0.68200000000000005</v>
      </c>
      <c r="F629">
        <f>2.9505</f>
        <v>2.9504999999999999</v>
      </c>
    </row>
    <row r="630" spans="1:6" x14ac:dyDescent="0.25">
      <c r="A630" s="2">
        <v>43913</v>
      </c>
      <c r="B630">
        <f>0.8113</f>
        <v>0.81130000000000002</v>
      </c>
      <c r="C630">
        <f>0.3939</f>
        <v>0.39389999999999997</v>
      </c>
      <c r="D630">
        <f>0.2305</f>
        <v>0.23050000000000001</v>
      </c>
      <c r="E630">
        <f>-0.7876</f>
        <v>-0.78759999999999997</v>
      </c>
      <c r="F630">
        <f>2.9226</f>
        <v>2.9226000000000001</v>
      </c>
    </row>
    <row r="631" spans="1:6" x14ac:dyDescent="0.25">
      <c r="A631" s="2">
        <v>43910</v>
      </c>
      <c r="B631">
        <f>0.7604</f>
        <v>0.76039999999999996</v>
      </c>
      <c r="C631">
        <f>0.3326</f>
        <v>0.33260000000000001</v>
      </c>
      <c r="D631">
        <f>0.2766</f>
        <v>0.27660000000000001</v>
      </c>
      <c r="E631">
        <f>-0.8762</f>
        <v>-0.87619999999999998</v>
      </c>
      <c r="F631">
        <f>2.868</f>
        <v>2.8679999999999999</v>
      </c>
    </row>
    <row r="632" spans="1:6" x14ac:dyDescent="0.25">
      <c r="A632" s="2">
        <v>43909</v>
      </c>
      <c r="B632">
        <f>0.5521</f>
        <v>0.55210000000000004</v>
      </c>
      <c r="C632">
        <f>0.222</f>
        <v>0.222</v>
      </c>
      <c r="D632">
        <f>0.3186</f>
        <v>0.31859999999999999</v>
      </c>
      <c r="E632">
        <f>-0.9399</f>
        <v>-0.93989999999999996</v>
      </c>
      <c r="F632">
        <f>2.8747</f>
        <v>2.8746999999999998</v>
      </c>
    </row>
    <row r="633" spans="1:6" x14ac:dyDescent="0.25">
      <c r="A633" s="2">
        <v>43908</v>
      </c>
      <c r="B633">
        <f>0.6135</f>
        <v>0.61350000000000005</v>
      </c>
      <c r="C633">
        <f>0.1751</f>
        <v>0.17510000000000001</v>
      </c>
      <c r="D633">
        <f>0.3404</f>
        <v>0.34039999999999998</v>
      </c>
      <c r="E633">
        <f>-0.8031</f>
        <v>-0.80310000000000004</v>
      </c>
      <c r="F633">
        <f>2.8848</f>
        <v>2.8847999999999998</v>
      </c>
    </row>
    <row r="634" spans="1:6" x14ac:dyDescent="0.25">
      <c r="A634" s="2">
        <v>43907</v>
      </c>
      <c r="B634">
        <f>0.6869</f>
        <v>0.68689999999999996</v>
      </c>
      <c r="C634">
        <f>0.2299</f>
        <v>0.22989999999999999</v>
      </c>
      <c r="D634">
        <f>0.432</f>
        <v>0.432</v>
      </c>
      <c r="E634">
        <f>-0.6503</f>
        <v>-0.65029999999999999</v>
      </c>
      <c r="F634">
        <f>2.9259</f>
        <v>2.9258999999999999</v>
      </c>
    </row>
    <row r="635" spans="1:6" x14ac:dyDescent="0.25">
      <c r="A635" s="2">
        <v>43906</v>
      </c>
      <c r="B635">
        <f>0.7298</f>
        <v>0.7298</v>
      </c>
      <c r="C635">
        <f>0.279</f>
        <v>0.27900000000000003</v>
      </c>
      <c r="D635">
        <f>0.4464</f>
        <v>0.44640000000000002</v>
      </c>
      <c r="E635">
        <f>-0.4493</f>
        <v>-0.44929999999999998</v>
      </c>
      <c r="F635">
        <f>2.9849</f>
        <v>2.9849000000000001</v>
      </c>
    </row>
    <row r="636" spans="1:6" x14ac:dyDescent="0.25">
      <c r="A636" s="2">
        <v>43903</v>
      </c>
      <c r="B636">
        <f>0.9174</f>
        <v>0.91739999999999999</v>
      </c>
      <c r="C636">
        <f>0.5573</f>
        <v>0.55730000000000002</v>
      </c>
      <c r="D636">
        <f>0.5658</f>
        <v>0.56579999999999997</v>
      </c>
      <c r="E636">
        <f>-0.075</f>
        <v>-7.4999999999999997E-2</v>
      </c>
      <c r="F636">
        <f>3.0649</f>
        <v>3.0649000000000002</v>
      </c>
    </row>
    <row r="637" spans="1:6" x14ac:dyDescent="0.25">
      <c r="A637" s="2">
        <v>43902</v>
      </c>
      <c r="B637">
        <f>0.8683</f>
        <v>0.86829999999999996</v>
      </c>
      <c r="C637">
        <f>0.5741</f>
        <v>0.57410000000000005</v>
      </c>
      <c r="D637">
        <f>0.5094</f>
        <v>0.50939999999999996</v>
      </c>
      <c r="E637">
        <f>0.0694</f>
        <v>6.9400000000000003E-2</v>
      </c>
      <c r="F637">
        <f>3.0752</f>
        <v>3.0752000000000002</v>
      </c>
    </row>
    <row r="638" spans="1:6" x14ac:dyDescent="0.25">
      <c r="A638" s="2">
        <v>43901</v>
      </c>
      <c r="B638">
        <f>0.9961</f>
        <v>0.99609999999999999</v>
      </c>
      <c r="C638">
        <f>0.7144</f>
        <v>0.71440000000000003</v>
      </c>
      <c r="D638">
        <f>0.5647</f>
        <v>0.56469999999999998</v>
      </c>
      <c r="E638">
        <f>0.1926</f>
        <v>0.19259999999999999</v>
      </c>
      <c r="F638">
        <f>3.1017</f>
        <v>3.1017000000000001</v>
      </c>
    </row>
    <row r="639" spans="1:6" x14ac:dyDescent="0.25">
      <c r="A639" s="2">
        <v>43900</v>
      </c>
      <c r="B639">
        <f>1.0332</f>
        <v>1.0331999999999999</v>
      </c>
      <c r="C639">
        <f>0.7894</f>
        <v>0.78939999999999999</v>
      </c>
      <c r="D639">
        <f>0.5961</f>
        <v>0.59609999999999996</v>
      </c>
      <c r="E639">
        <f>0.3097</f>
        <v>0.30969999999999998</v>
      </c>
      <c r="F639">
        <f>3.0173</f>
        <v>3.0173000000000001</v>
      </c>
    </row>
    <row r="640" spans="1:6" x14ac:dyDescent="0.25">
      <c r="A640" s="2">
        <v>43899</v>
      </c>
      <c r="B640">
        <f>1.0186</f>
        <v>1.0185999999999999</v>
      </c>
      <c r="C640">
        <f>0.8088</f>
        <v>0.80879999999999996</v>
      </c>
      <c r="D640">
        <f>0.5847</f>
        <v>0.5847</v>
      </c>
      <c r="E640">
        <f>0.4122</f>
        <v>0.41220000000000001</v>
      </c>
      <c r="F640">
        <f>2.9712</f>
        <v>2.9712000000000001</v>
      </c>
    </row>
    <row r="641" spans="1:6" x14ac:dyDescent="0.25">
      <c r="A641" s="2">
        <v>43896</v>
      </c>
      <c r="B641">
        <f>1.318</f>
        <v>1.3180000000000001</v>
      </c>
      <c r="C641">
        <f>1.1785</f>
        <v>1.1785000000000001</v>
      </c>
      <c r="D641">
        <f>0.6957</f>
        <v>0.69569999999999999</v>
      </c>
      <c r="E641">
        <f>0.9046</f>
        <v>0.90459999999999996</v>
      </c>
      <c r="F641">
        <f>3.0558</f>
        <v>3.0558000000000001</v>
      </c>
    </row>
    <row r="642" spans="1:6" x14ac:dyDescent="0.25">
      <c r="A642" s="2">
        <v>43895</v>
      </c>
      <c r="B642">
        <f>1.4079</f>
        <v>1.4078999999999999</v>
      </c>
      <c r="C642">
        <f>1.3079</f>
        <v>1.3079000000000001</v>
      </c>
      <c r="D642">
        <f>0.7729</f>
        <v>0.77290000000000003</v>
      </c>
      <c r="E642">
        <f>1.0643</f>
        <v>1.0643</v>
      </c>
      <c r="F642">
        <f>3.1205</f>
        <v>3.1204999999999998</v>
      </c>
    </row>
    <row r="643" spans="1:6" x14ac:dyDescent="0.25">
      <c r="A643" s="2">
        <v>43894</v>
      </c>
      <c r="B643">
        <f>1.4834</f>
        <v>1.4834000000000001</v>
      </c>
      <c r="C643">
        <f>1.3907</f>
        <v>1.3907</v>
      </c>
      <c r="D643">
        <f>0.8254</f>
        <v>0.82540000000000002</v>
      </c>
      <c r="E643">
        <f>1.1489</f>
        <v>1.1489</v>
      </c>
      <c r="F643">
        <f>3.1585</f>
        <v>3.1585000000000001</v>
      </c>
    </row>
    <row r="644" spans="1:6" x14ac:dyDescent="0.25">
      <c r="A644" s="2">
        <v>43893</v>
      </c>
      <c r="B644">
        <f>1.4485</f>
        <v>1.4484999999999999</v>
      </c>
      <c r="C644">
        <f>1.3576</f>
        <v>1.3575999999999999</v>
      </c>
      <c r="D644">
        <f>0.8349</f>
        <v>0.83489999999999998</v>
      </c>
      <c r="E644">
        <f>1.1631</f>
        <v>1.1631</v>
      </c>
      <c r="F644">
        <f>3.153</f>
        <v>3.153</v>
      </c>
    </row>
    <row r="645" spans="1:6" x14ac:dyDescent="0.25">
      <c r="A645" s="2">
        <v>43892</v>
      </c>
      <c r="B645">
        <f>1.4525</f>
        <v>1.4524999999999999</v>
      </c>
      <c r="C645">
        <f>1.3815</f>
        <v>1.3815</v>
      </c>
      <c r="D645">
        <f>0.7924</f>
        <v>0.79239999999999999</v>
      </c>
      <c r="E645">
        <f>1.1896</f>
        <v>1.1896</v>
      </c>
      <c r="F645">
        <f>3.1389</f>
        <v>3.1389</v>
      </c>
    </row>
    <row r="646" spans="1:6" x14ac:dyDescent="0.25">
      <c r="A646" s="2">
        <v>43889</v>
      </c>
      <c r="B646">
        <f>1.4301</f>
        <v>1.4300999999999999</v>
      </c>
      <c r="C646">
        <f>1.3746</f>
        <v>1.3746</v>
      </c>
      <c r="D646">
        <f>0.8096</f>
        <v>0.80959999999999999</v>
      </c>
      <c r="E646">
        <f>1.1934</f>
        <v>1.1934</v>
      </c>
      <c r="F646">
        <f>3.1226</f>
        <v>3.1225999999999998</v>
      </c>
    </row>
    <row r="647" spans="1:6" x14ac:dyDescent="0.25">
      <c r="A647" s="2">
        <v>43888</v>
      </c>
      <c r="B647">
        <f>1.5047</f>
        <v>1.5046999999999999</v>
      </c>
      <c r="C647">
        <f>1.4756</f>
        <v>1.4756</v>
      </c>
      <c r="D647">
        <f>0.8453</f>
        <v>0.84530000000000005</v>
      </c>
      <c r="E647">
        <f>1.3276</f>
        <v>1.3275999999999999</v>
      </c>
      <c r="F647">
        <f>3.1826</f>
        <v>3.1825999999999999</v>
      </c>
    </row>
    <row r="648" spans="1:6" x14ac:dyDescent="0.25">
      <c r="A648" s="2">
        <v>43887</v>
      </c>
      <c r="B648">
        <f>1.5461</f>
        <v>1.5461</v>
      </c>
      <c r="C648">
        <f>1.5368</f>
        <v>1.5367999999999999</v>
      </c>
      <c r="D648">
        <f>0.8707</f>
        <v>0.87070000000000003</v>
      </c>
      <c r="E648">
        <f>1.3955</f>
        <v>1.3955</v>
      </c>
      <c r="F648">
        <f>3.1914</f>
        <v>3.1913999999999998</v>
      </c>
    </row>
    <row r="649" spans="1:6" x14ac:dyDescent="0.25">
      <c r="A649" s="2">
        <v>43886</v>
      </c>
      <c r="B649">
        <f>1.5403</f>
        <v>1.5403</v>
      </c>
      <c r="C649">
        <f>1.5367</f>
        <v>1.5367</v>
      </c>
      <c r="D649">
        <f>0.8719</f>
        <v>0.87190000000000001</v>
      </c>
      <c r="E649">
        <f>1.4126</f>
        <v>1.4126000000000001</v>
      </c>
      <c r="F649">
        <f>3.1856</f>
        <v>3.1856</v>
      </c>
    </row>
    <row r="650" spans="1:6" x14ac:dyDescent="0.25">
      <c r="A650" s="2">
        <v>43885</v>
      </c>
      <c r="B650">
        <f>1.5862</f>
        <v>1.5862000000000001</v>
      </c>
      <c r="C650">
        <f>1.5894</f>
        <v>1.5893999999999999</v>
      </c>
      <c r="D650">
        <f>0.8892</f>
        <v>0.88919999999999999</v>
      </c>
      <c r="E650">
        <f>1.4696</f>
        <v>1.4696</v>
      </c>
      <c r="F650">
        <f>3.1662</f>
        <v>3.1661999999999999</v>
      </c>
    </row>
    <row r="651" spans="1:6" x14ac:dyDescent="0.25">
      <c r="A651" s="2">
        <v>43882</v>
      </c>
      <c r="B651">
        <f>1.6183</f>
        <v>1.6183000000000001</v>
      </c>
      <c r="C651">
        <f>1.6291</f>
        <v>1.6291</v>
      </c>
      <c r="D651">
        <f>0.9129</f>
        <v>0.91290000000000004</v>
      </c>
      <c r="E651">
        <f>1.5107</f>
        <v>1.5106999999999999</v>
      </c>
      <c r="F651">
        <f>3.1634</f>
        <v>3.1634000000000002</v>
      </c>
    </row>
    <row r="652" spans="1:6" x14ac:dyDescent="0.25">
      <c r="A652" s="2">
        <v>43881</v>
      </c>
      <c r="B652">
        <f>1.6351</f>
        <v>1.6351</v>
      </c>
      <c r="C652">
        <f>1.6434</f>
        <v>1.6434</v>
      </c>
      <c r="D652">
        <f>0.9287</f>
        <v>0.92869999999999997</v>
      </c>
      <c r="E652">
        <f>1.5197</f>
        <v>1.5197000000000001</v>
      </c>
      <c r="F652">
        <f>3.1726</f>
        <v>3.1726000000000001</v>
      </c>
    </row>
    <row r="653" spans="1:6" x14ac:dyDescent="0.25">
      <c r="A653" s="2">
        <v>43880</v>
      </c>
      <c r="B653">
        <f>1.6592</f>
        <v>1.6592</v>
      </c>
      <c r="C653">
        <f>1.6641</f>
        <v>1.6640999999999999</v>
      </c>
      <c r="D653">
        <f>0.935</f>
        <v>0.93500000000000005</v>
      </c>
      <c r="E653">
        <f>1.5262</f>
        <v>1.5262</v>
      </c>
      <c r="F653">
        <f>3.1501</f>
        <v>3.1501000000000001</v>
      </c>
    </row>
    <row r="654" spans="1:6" x14ac:dyDescent="0.25">
      <c r="A654" s="2">
        <v>43879</v>
      </c>
      <c r="B654">
        <f>1.6648</f>
        <v>1.6648000000000001</v>
      </c>
      <c r="C654">
        <f>1.6585</f>
        <v>1.6585000000000001</v>
      </c>
      <c r="D654">
        <f>0.9451</f>
        <v>0.94510000000000005</v>
      </c>
      <c r="E654">
        <f>1.5161</f>
        <v>1.5161</v>
      </c>
      <c r="F654">
        <f>3.1639</f>
        <v>3.1638999999999999</v>
      </c>
    </row>
    <row r="655" spans="1:6" x14ac:dyDescent="0.25">
      <c r="A655" s="2">
        <v>43878</v>
      </c>
      <c r="B655">
        <f>1.6677</f>
        <v>1.6677</v>
      </c>
      <c r="C655">
        <f>1.6616</f>
        <v>1.6616</v>
      </c>
      <c r="D655">
        <f>0.9562</f>
        <v>0.95620000000000005</v>
      </c>
      <c r="E655">
        <f>1.5154</f>
        <v>1.5154000000000001</v>
      </c>
      <c r="F655">
        <f>3.1798</f>
        <v>3.1798000000000002</v>
      </c>
    </row>
    <row r="656" spans="1:6" x14ac:dyDescent="0.25">
      <c r="A656" s="2">
        <v>43875</v>
      </c>
      <c r="B656">
        <f>1.6677</f>
        <v>1.6677</v>
      </c>
      <c r="C656">
        <f>1.6616</f>
        <v>1.6616</v>
      </c>
      <c r="D656">
        <f>0.962</f>
        <v>0.96199999999999997</v>
      </c>
      <c r="E656">
        <f>1.5154</f>
        <v>1.5154000000000001</v>
      </c>
      <c r="F656">
        <f>3.168</f>
        <v>3.1680000000000001</v>
      </c>
    </row>
    <row r="657" spans="1:6" x14ac:dyDescent="0.25">
      <c r="A657" s="2">
        <v>43874</v>
      </c>
      <c r="B657">
        <f>1.6742</f>
        <v>1.6741999999999999</v>
      </c>
      <c r="C657">
        <f>1.6661</f>
        <v>1.6660999999999999</v>
      </c>
      <c r="D657">
        <f>0.9636</f>
        <v>0.96360000000000001</v>
      </c>
      <c r="E657">
        <f>1.5132</f>
        <v>1.5132000000000001</v>
      </c>
      <c r="F657">
        <f>3.1575</f>
        <v>3.1575000000000002</v>
      </c>
    </row>
    <row r="658" spans="1:6" x14ac:dyDescent="0.25">
      <c r="A658" s="2">
        <v>43873</v>
      </c>
      <c r="B658">
        <f>1.6727</f>
        <v>1.6727000000000001</v>
      </c>
      <c r="C658">
        <f>1.6555</f>
        <v>1.6555</v>
      </c>
      <c r="D658">
        <f>0.9488</f>
        <v>0.94879999999999998</v>
      </c>
      <c r="E658">
        <f>1.5002</f>
        <v>1.5002</v>
      </c>
      <c r="F658">
        <f>3.135</f>
        <v>3.1349999999999998</v>
      </c>
    </row>
    <row r="659" spans="1:6" x14ac:dyDescent="0.25">
      <c r="A659" s="2">
        <v>43872</v>
      </c>
      <c r="B659">
        <f>1.6527</f>
        <v>1.6527000000000001</v>
      </c>
      <c r="C659">
        <f>1.6286</f>
        <v>1.6286</v>
      </c>
      <c r="D659">
        <f>0.9457</f>
        <v>0.94569999999999999</v>
      </c>
      <c r="E659">
        <f>1.4546</f>
        <v>1.4545999999999999</v>
      </c>
      <c r="F659">
        <f>3.122</f>
        <v>3.1219999999999999</v>
      </c>
    </row>
    <row r="660" spans="1:6" x14ac:dyDescent="0.25">
      <c r="A660" s="2">
        <v>43871</v>
      </c>
      <c r="B660">
        <f>1.6586</f>
        <v>1.6586000000000001</v>
      </c>
      <c r="C660">
        <f>1.6322</f>
        <v>1.6322000000000001</v>
      </c>
      <c r="D660">
        <f>0.9604</f>
        <v>0.96040000000000003</v>
      </c>
      <c r="E660">
        <f>1.4486</f>
        <v>1.4486000000000001</v>
      </c>
      <c r="F660">
        <f>3.1309</f>
        <v>3.1309</v>
      </c>
    </row>
    <row r="661" spans="1:6" x14ac:dyDescent="0.25">
      <c r="A661" s="2">
        <v>43868</v>
      </c>
      <c r="B661">
        <f>1.6565</f>
        <v>1.6565000000000001</v>
      </c>
      <c r="C661">
        <f>1.6309</f>
        <v>1.6309</v>
      </c>
      <c r="D661">
        <f>0.9822</f>
        <v>0.98219999999999996</v>
      </c>
      <c r="E661">
        <f>1.4459</f>
        <v>1.4459</v>
      </c>
      <c r="F661">
        <f>3.141</f>
        <v>3.141</v>
      </c>
    </row>
    <row r="662" spans="1:6" x14ac:dyDescent="0.25">
      <c r="A662" s="2">
        <v>43867</v>
      </c>
      <c r="B662">
        <f>1.6657</f>
        <v>1.6657</v>
      </c>
      <c r="C662">
        <f>1.636</f>
        <v>1.6359999999999999</v>
      </c>
      <c r="D662">
        <f>1.0036</f>
        <v>1.0036</v>
      </c>
      <c r="E662">
        <f>1.4198</f>
        <v>1.4198</v>
      </c>
      <c r="F662">
        <f>3.1396</f>
        <v>3.1396000000000002</v>
      </c>
    </row>
    <row r="663" spans="1:6" x14ac:dyDescent="0.25">
      <c r="A663" s="2">
        <v>43866</v>
      </c>
      <c r="B663">
        <f>1.6603</f>
        <v>1.6603000000000001</v>
      </c>
      <c r="C663">
        <f>1.6285</f>
        <v>1.6285000000000001</v>
      </c>
      <c r="D663">
        <f>1.0148</f>
        <v>1.0147999999999999</v>
      </c>
      <c r="E663">
        <f>1.412</f>
        <v>1.4119999999999999</v>
      </c>
      <c r="F663">
        <f>3.1379</f>
        <v>3.1379000000000001</v>
      </c>
    </row>
    <row r="664" spans="1:6" x14ac:dyDescent="0.25">
      <c r="A664" s="2">
        <v>43865</v>
      </c>
      <c r="B664">
        <f>1.6362</f>
        <v>1.6362000000000001</v>
      </c>
      <c r="C664">
        <f>1.597</f>
        <v>1.597</v>
      </c>
      <c r="D664">
        <f>0.995</f>
        <v>0.995</v>
      </c>
      <c r="E664">
        <f>1.3468</f>
        <v>1.3468</v>
      </c>
      <c r="F664">
        <f>3.1393</f>
        <v>3.1393</v>
      </c>
    </row>
    <row r="665" spans="1:6" x14ac:dyDescent="0.25">
      <c r="A665" s="2">
        <v>43864</v>
      </c>
      <c r="B665">
        <f>1.6157</f>
        <v>1.6156999999999999</v>
      </c>
      <c r="C665">
        <f>1.5754</f>
        <v>1.5753999999999999</v>
      </c>
      <c r="D665">
        <f>0.9832</f>
        <v>0.98319999999999996</v>
      </c>
      <c r="E665">
        <f>1.3329</f>
        <v>1.3329</v>
      </c>
      <c r="F665">
        <f>3.1444</f>
        <v>3.1444000000000001</v>
      </c>
    </row>
    <row r="666" spans="1:6" x14ac:dyDescent="0.25">
      <c r="A666" s="2">
        <v>43861</v>
      </c>
      <c r="B666">
        <f>1.6408</f>
        <v>1.6408</v>
      </c>
      <c r="C666">
        <f>1.5977</f>
        <v>1.5976999999999999</v>
      </c>
      <c r="D666">
        <f>0.9873</f>
        <v>0.98729999999999996</v>
      </c>
      <c r="E666">
        <f>1.3532</f>
        <v>1.3532</v>
      </c>
      <c r="F666">
        <f>3.1236</f>
        <v>3.1236000000000002</v>
      </c>
    </row>
    <row r="667" spans="1:6" x14ac:dyDescent="0.25">
      <c r="A667" s="2">
        <v>43860</v>
      </c>
      <c r="B667">
        <f>1.6577</f>
        <v>1.6577</v>
      </c>
      <c r="C667">
        <f>1.6131</f>
        <v>1.6131</v>
      </c>
      <c r="D667">
        <f>0.9879</f>
        <v>0.9879</v>
      </c>
      <c r="E667">
        <f>1.3908</f>
        <v>1.3908</v>
      </c>
      <c r="F667">
        <f>3.1661</f>
        <v>3.1661000000000001</v>
      </c>
    </row>
    <row r="668" spans="1:6" x14ac:dyDescent="0.25">
      <c r="A668" s="2">
        <v>43859</v>
      </c>
      <c r="B668">
        <f>1.6359</f>
        <v>1.6358999999999999</v>
      </c>
      <c r="C668">
        <f>1.5924</f>
        <v>1.5924</v>
      </c>
      <c r="D668">
        <f>1</f>
        <v>1</v>
      </c>
      <c r="E668">
        <f>1.3931</f>
        <v>1.3931</v>
      </c>
      <c r="F668">
        <f>3.1683</f>
        <v>3.1682999999999999</v>
      </c>
    </row>
    <row r="669" spans="1:6" x14ac:dyDescent="0.25">
      <c r="A669" s="2">
        <v>43858</v>
      </c>
      <c r="B669">
        <f>1.6584</f>
        <v>1.6584000000000001</v>
      </c>
      <c r="C669">
        <f>1.6064</f>
        <v>1.6064000000000001</v>
      </c>
      <c r="D669">
        <f>0.9992</f>
        <v>0.99919999999999998</v>
      </c>
      <c r="E669">
        <f>1.3937</f>
        <v>1.3936999999999999</v>
      </c>
      <c r="F669">
        <f>3.1774</f>
        <v>3.1774</v>
      </c>
    </row>
    <row r="670" spans="1:6" x14ac:dyDescent="0.25">
      <c r="A670" s="2">
        <v>43857</v>
      </c>
      <c r="B670">
        <f>1.6273</f>
        <v>1.6273</v>
      </c>
      <c r="C670">
        <f>1.5688</f>
        <v>1.5688</v>
      </c>
      <c r="D670">
        <f>0.9904</f>
        <v>0.99039999999999995</v>
      </c>
      <c r="E670">
        <f>1.3581</f>
        <v>1.3581000000000001</v>
      </c>
      <c r="F670">
        <f>3.2145</f>
        <v>3.2145000000000001</v>
      </c>
    </row>
    <row r="671" spans="1:6" x14ac:dyDescent="0.25">
      <c r="A671" s="2">
        <v>43854</v>
      </c>
      <c r="B671">
        <f>1.6826</f>
        <v>1.6826000000000001</v>
      </c>
      <c r="C671">
        <f>1.6302</f>
        <v>1.6302000000000001</v>
      </c>
      <c r="D671">
        <f>1.0231</f>
        <v>1.0230999999999999</v>
      </c>
      <c r="E671">
        <f>1.4154</f>
        <v>1.4154</v>
      </c>
      <c r="F671">
        <f>3.2344</f>
        <v>3.2343999999999999</v>
      </c>
    </row>
    <row r="672" spans="1:6" x14ac:dyDescent="0.25">
      <c r="A672" s="2">
        <v>43853</v>
      </c>
      <c r="B672">
        <f>1.7205</f>
        <v>1.7204999999999999</v>
      </c>
      <c r="C672">
        <f>1.6527</f>
        <v>1.6527000000000001</v>
      </c>
      <c r="D672">
        <f>1.0349</f>
        <v>1.0348999999999999</v>
      </c>
      <c r="E672">
        <f>1.4432</f>
        <v>1.4432</v>
      </c>
      <c r="F672">
        <f>3.2362</f>
        <v>3.2362000000000002</v>
      </c>
    </row>
    <row r="673" spans="1:6" x14ac:dyDescent="0.25">
      <c r="A673" s="2">
        <v>43852</v>
      </c>
      <c r="B673">
        <f>1.726</f>
        <v>1.726</v>
      </c>
      <c r="C673">
        <f>1.6603</f>
        <v>1.6603000000000001</v>
      </c>
      <c r="D673">
        <f>1.054</f>
        <v>1.054</v>
      </c>
      <c r="E673">
        <f>1.4584</f>
        <v>1.4583999999999999</v>
      </c>
      <c r="F673">
        <f>3.2419</f>
        <v>3.2418999999999998</v>
      </c>
    </row>
    <row r="674" spans="1:6" x14ac:dyDescent="0.25">
      <c r="A674" s="2">
        <v>43851</v>
      </c>
      <c r="B674">
        <f>1.7403</f>
        <v>1.7403</v>
      </c>
      <c r="C674">
        <f>1.679</f>
        <v>1.679</v>
      </c>
      <c r="D674">
        <f>1.0534</f>
        <v>1.0533999999999999</v>
      </c>
      <c r="E674">
        <f>1.505</f>
        <v>1.5049999999999999</v>
      </c>
      <c r="F674">
        <f>3.2498</f>
        <v>3.2498</v>
      </c>
    </row>
    <row r="675" spans="1:6" x14ac:dyDescent="0.25">
      <c r="A675" s="2">
        <v>43850</v>
      </c>
      <c r="B675">
        <f>1.7526</f>
        <v>1.7525999999999999</v>
      </c>
      <c r="C675">
        <f>1.6881</f>
        <v>1.6880999999999999</v>
      </c>
      <c r="D675">
        <f>1.0722</f>
        <v>1.0722</v>
      </c>
      <c r="E675">
        <f>1.5064</f>
        <v>1.5064</v>
      </c>
      <c r="F675">
        <f>3.2451</f>
        <v>3.2450999999999999</v>
      </c>
    </row>
    <row r="676" spans="1:6" x14ac:dyDescent="0.25">
      <c r="A676" s="2">
        <v>43847</v>
      </c>
      <c r="B676">
        <f>1.7526</f>
        <v>1.7525999999999999</v>
      </c>
      <c r="C676">
        <f>1.6881</f>
        <v>1.6880999999999999</v>
      </c>
      <c r="D676">
        <f>1.0714</f>
        <v>1.0713999999999999</v>
      </c>
      <c r="E676">
        <f>1.5064</f>
        <v>1.5064</v>
      </c>
      <c r="F676">
        <f>3.2323</f>
        <v>3.2323</v>
      </c>
    </row>
    <row r="677" spans="1:6" x14ac:dyDescent="0.25">
      <c r="A677" s="2">
        <v>43846</v>
      </c>
      <c r="B677">
        <f>1.749</f>
        <v>1.7490000000000001</v>
      </c>
      <c r="C677">
        <f>1.6933</f>
        <v>1.6933</v>
      </c>
      <c r="D677">
        <f>1.0655</f>
        <v>1.0654999999999999</v>
      </c>
      <c r="E677">
        <f>1.5091</f>
        <v>1.5091000000000001</v>
      </c>
      <c r="F677">
        <f>3.226</f>
        <v>3.226</v>
      </c>
    </row>
    <row r="678" spans="1:6" x14ac:dyDescent="0.25">
      <c r="A678" s="2">
        <v>43845</v>
      </c>
      <c r="B678">
        <f>1.7466</f>
        <v>1.7465999999999999</v>
      </c>
      <c r="C678">
        <f>1.6839</f>
        <v>1.6839</v>
      </c>
      <c r="D678">
        <f>1.0748</f>
        <v>1.0748</v>
      </c>
      <c r="E678">
        <f>1.5043</f>
        <v>1.5043</v>
      </c>
      <c r="F678">
        <f>3.1975</f>
        <v>3.1974999999999998</v>
      </c>
    </row>
    <row r="679" spans="1:6" x14ac:dyDescent="0.25">
      <c r="A679" s="2">
        <v>43844</v>
      </c>
      <c r="B679">
        <f>1.7711</f>
        <v>1.7710999999999999</v>
      </c>
      <c r="C679">
        <f>1.7059</f>
        <v>1.7059</v>
      </c>
      <c r="D679">
        <f>1.0782</f>
        <v>1.0782</v>
      </c>
      <c r="E679">
        <f>1.5173</f>
        <v>1.5173000000000001</v>
      </c>
      <c r="F679">
        <f>3.2234</f>
        <v>3.2233999999999998</v>
      </c>
    </row>
    <row r="680" spans="1:6" x14ac:dyDescent="0.25">
      <c r="A680" s="2">
        <v>43843</v>
      </c>
      <c r="B680">
        <f>1.7748</f>
        <v>1.7747999999999999</v>
      </c>
      <c r="C680">
        <f>1.7086</f>
        <v>1.7085999999999999</v>
      </c>
      <c r="D680">
        <f>1.0637</f>
        <v>1.0637000000000001</v>
      </c>
      <c r="E680">
        <f>1.5186</f>
        <v>1.5185999999999999</v>
      </c>
      <c r="F680">
        <f>3.2246</f>
        <v>3.2246000000000001</v>
      </c>
    </row>
    <row r="681" spans="1:6" x14ac:dyDescent="0.25">
      <c r="A681" s="2">
        <v>43840</v>
      </c>
      <c r="B681">
        <f>1.7558</f>
        <v>1.7558</v>
      </c>
      <c r="C681">
        <f>1.6881</f>
        <v>1.6880999999999999</v>
      </c>
      <c r="D681">
        <f>1.051</f>
        <v>1.0509999999999999</v>
      </c>
      <c r="E681">
        <f>1.4982</f>
        <v>1.4982</v>
      </c>
      <c r="F681">
        <f>3.2195</f>
        <v>3.2195</v>
      </c>
    </row>
    <row r="682" spans="1:6" x14ac:dyDescent="0.25">
      <c r="A682" s="2">
        <v>43839</v>
      </c>
      <c r="B682">
        <f>1.7593</f>
        <v>1.7593000000000001</v>
      </c>
      <c r="C682">
        <f>1.686</f>
        <v>1.6859999999999999</v>
      </c>
      <c r="D682">
        <f>1.0431</f>
        <v>1.0430999999999999</v>
      </c>
      <c r="E682">
        <f>1.4861</f>
        <v>1.4861</v>
      </c>
      <c r="F682">
        <f>3.2242</f>
        <v>3.2242000000000002</v>
      </c>
    </row>
    <row r="683" spans="1:6" x14ac:dyDescent="0.25">
      <c r="A683" s="2">
        <v>43838</v>
      </c>
      <c r="B683">
        <f>1.7621</f>
        <v>1.7621</v>
      </c>
      <c r="C683">
        <f>1.6854</f>
        <v>1.6854</v>
      </c>
      <c r="D683">
        <f>1.03</f>
        <v>1.03</v>
      </c>
      <c r="E683">
        <f>1.4873</f>
        <v>1.4873000000000001</v>
      </c>
      <c r="F683">
        <f>3.233</f>
        <v>3.2330000000000001</v>
      </c>
    </row>
    <row r="684" spans="1:6" x14ac:dyDescent="0.25">
      <c r="A684" s="2">
        <v>43837</v>
      </c>
      <c r="B684">
        <f>1.7443</f>
        <v>1.7443</v>
      </c>
      <c r="C684">
        <f>1.6774</f>
        <v>1.6774</v>
      </c>
      <c r="D684">
        <f>0.978</f>
        <v>0.97799999999999998</v>
      </c>
      <c r="E684">
        <f>1.5016</f>
        <v>1.5016</v>
      </c>
      <c r="F684">
        <f>3.2404</f>
        <v>3.2404000000000002</v>
      </c>
    </row>
    <row r="685" spans="1:6" x14ac:dyDescent="0.25">
      <c r="A685" s="2">
        <v>43836</v>
      </c>
      <c r="B685">
        <f>1.7555</f>
        <v>1.7555000000000001</v>
      </c>
      <c r="C685">
        <f>1.6851</f>
        <v>1.6851</v>
      </c>
      <c r="D685">
        <f>0.9923</f>
        <v>0.99229999999999996</v>
      </c>
      <c r="E685">
        <f>1.5221</f>
        <v>1.5221</v>
      </c>
      <c r="F685">
        <f>3.2404</f>
        <v>3.2404000000000002</v>
      </c>
    </row>
    <row r="686" spans="1:6" x14ac:dyDescent="0.25">
      <c r="A686" s="2">
        <v>43833</v>
      </c>
      <c r="B686">
        <f>1.7751</f>
        <v>1.7750999999999999</v>
      </c>
      <c r="C686">
        <f>1.7068</f>
        <v>1.7068000000000001</v>
      </c>
      <c r="D686">
        <f>0.989</f>
        <v>0.98899999999999999</v>
      </c>
      <c r="E686">
        <f>1.5423</f>
        <v>1.5423</v>
      </c>
      <c r="F686">
        <f>3.2335</f>
        <v>3.2334999999999998</v>
      </c>
    </row>
    <row r="687" spans="1:6" x14ac:dyDescent="0.25">
      <c r="A687" s="2">
        <v>43832</v>
      </c>
      <c r="B687">
        <f>1.8029</f>
        <v>1.8028999999999999</v>
      </c>
      <c r="C687">
        <f>1.7185</f>
        <v>1.7184999999999999</v>
      </c>
      <c r="D687">
        <f>0.9886</f>
        <v>0.98860000000000003</v>
      </c>
      <c r="E687">
        <f>1.5151</f>
        <v>1.5150999999999999</v>
      </c>
      <c r="F687">
        <f>3.2274</f>
        <v>3.2273999999999998</v>
      </c>
    </row>
    <row r="688" spans="1:6" x14ac:dyDescent="0.25">
      <c r="A688" s="2">
        <v>43831</v>
      </c>
      <c r="B688">
        <f>1.7842</f>
        <v>1.7842</v>
      </c>
      <c r="C688">
        <f>1.6966</f>
        <v>1.6966000000000001</v>
      </c>
      <c r="D688">
        <f>0.9854</f>
        <v>0.98540000000000005</v>
      </c>
      <c r="E688">
        <f>1.4682</f>
        <v>1.4681999999999999</v>
      </c>
      <c r="F688" t="e">
        <f>NA()</f>
        <v>#N/A</v>
      </c>
    </row>
    <row r="689" spans="1:6" x14ac:dyDescent="0.25">
      <c r="A689" s="2">
        <v>43830</v>
      </c>
      <c r="B689">
        <f>1.786</f>
        <v>1.786</v>
      </c>
      <c r="C689">
        <f>1.6966</f>
        <v>1.6966000000000001</v>
      </c>
      <c r="D689" t="e">
        <f>NA()</f>
        <v>#N/A</v>
      </c>
      <c r="E689">
        <f>1.4682</f>
        <v>1.4681999999999999</v>
      </c>
      <c r="F689" t="e">
        <f>NA()</f>
        <v>#N/A</v>
      </c>
    </row>
    <row r="690" spans="1:6" x14ac:dyDescent="0.25">
      <c r="A690" s="2">
        <v>43829</v>
      </c>
      <c r="B690">
        <f>1.7547</f>
        <v>1.7546999999999999</v>
      </c>
      <c r="C690">
        <f>1.6603</f>
        <v>1.6603000000000001</v>
      </c>
      <c r="D690">
        <f>0.9862</f>
        <v>0.98619999999999997</v>
      </c>
      <c r="E690">
        <f>1.4552</f>
        <v>1.4552</v>
      </c>
      <c r="F690">
        <f>3.2344</f>
        <v>3.2343999999999999</v>
      </c>
    </row>
    <row r="691" spans="1:6" x14ac:dyDescent="0.25">
      <c r="A691" s="2">
        <v>43826</v>
      </c>
      <c r="B691">
        <f>1.7379</f>
        <v>1.7379</v>
      </c>
      <c r="C691">
        <f>1.6449</f>
        <v>1.6449</v>
      </c>
      <c r="D691">
        <f>0.9768</f>
        <v>0.9768</v>
      </c>
      <c r="E691">
        <f>1.4488</f>
        <v>1.4488000000000001</v>
      </c>
      <c r="F691">
        <f>3.229</f>
        <v>3.2290000000000001</v>
      </c>
    </row>
    <row r="692" spans="1:6" x14ac:dyDescent="0.25">
      <c r="A692" s="2">
        <v>43825</v>
      </c>
      <c r="B692">
        <f>1.7533</f>
        <v>1.7533000000000001</v>
      </c>
      <c r="C692">
        <f>1.6657</f>
        <v>1.6657</v>
      </c>
      <c r="D692">
        <f>0.9741</f>
        <v>0.97409999999999997</v>
      </c>
      <c r="E692">
        <f>1.4794</f>
        <v>1.4794</v>
      </c>
      <c r="F692" t="e">
        <f>NA()</f>
        <v>#N/A</v>
      </c>
    </row>
    <row r="693" spans="1:6" x14ac:dyDescent="0.25">
      <c r="A693" s="2">
        <v>43824</v>
      </c>
      <c r="B693">
        <f>1.7632</f>
        <v>1.7632000000000001</v>
      </c>
      <c r="C693">
        <f>1.6754</f>
        <v>1.6754</v>
      </c>
      <c r="D693">
        <f>0.9741</f>
        <v>0.97409999999999997</v>
      </c>
      <c r="E693">
        <f>1.4652</f>
        <v>1.4652000000000001</v>
      </c>
      <c r="F693" t="e">
        <f>NA()</f>
        <v>#N/A</v>
      </c>
    </row>
    <row r="694" spans="1:6" x14ac:dyDescent="0.25">
      <c r="A694" s="2">
        <v>43823</v>
      </c>
      <c r="B694">
        <f>1.7632</f>
        <v>1.7632000000000001</v>
      </c>
      <c r="C694">
        <f>1.6754</f>
        <v>1.6754</v>
      </c>
      <c r="D694">
        <f>0.9741</f>
        <v>0.97409999999999997</v>
      </c>
      <c r="E694">
        <f>1.4671</f>
        <v>1.4671000000000001</v>
      </c>
      <c r="F694">
        <f>3.2633</f>
        <v>3.2633000000000001</v>
      </c>
    </row>
    <row r="695" spans="1:6" x14ac:dyDescent="0.25">
      <c r="A695" s="2">
        <v>43822</v>
      </c>
      <c r="B695">
        <f>1.7661</f>
        <v>1.7661</v>
      </c>
      <c r="C695">
        <f>1.6768</f>
        <v>1.6768000000000001</v>
      </c>
      <c r="D695">
        <f>0.9768</f>
        <v>0.9768</v>
      </c>
      <c r="E695">
        <f>1.4582</f>
        <v>1.4581999999999999</v>
      </c>
      <c r="F695">
        <f>3.2577</f>
        <v>3.2576999999999998</v>
      </c>
    </row>
    <row r="696" spans="1:6" x14ac:dyDescent="0.25">
      <c r="A696" s="2">
        <v>43819</v>
      </c>
      <c r="B696">
        <f>1.7755</f>
        <v>1.7755000000000001</v>
      </c>
      <c r="C696">
        <f>1.6881</f>
        <v>1.6880999999999999</v>
      </c>
      <c r="D696">
        <f>0.9757</f>
        <v>0.97570000000000001</v>
      </c>
      <c r="E696">
        <f>1.4592</f>
        <v>1.4592000000000001</v>
      </c>
      <c r="F696">
        <f>3.2456</f>
        <v>3.2456</v>
      </c>
    </row>
    <row r="697" spans="1:6" x14ac:dyDescent="0.25">
      <c r="A697" s="2">
        <v>43818</v>
      </c>
      <c r="B697">
        <f>1.787</f>
        <v>1.7869999999999999</v>
      </c>
      <c r="C697">
        <f>1.7119</f>
        <v>1.7119</v>
      </c>
      <c r="D697">
        <f>0.9834</f>
        <v>0.98340000000000005</v>
      </c>
      <c r="E697">
        <f>1.4835</f>
        <v>1.4835</v>
      </c>
      <c r="F697">
        <f>3.2668</f>
        <v>3.2667999999999999</v>
      </c>
    </row>
    <row r="698" spans="1:6" x14ac:dyDescent="0.25">
      <c r="A698" s="2">
        <v>43817</v>
      </c>
      <c r="B698">
        <f>1.7714</f>
        <v>1.7714000000000001</v>
      </c>
      <c r="C698">
        <f>1.6891</f>
        <v>1.6891</v>
      </c>
      <c r="D698">
        <f>0.9749</f>
        <v>0.97489999999999999</v>
      </c>
      <c r="E698">
        <f>1.4544</f>
        <v>1.4543999999999999</v>
      </c>
      <c r="F698">
        <f>3.3102</f>
        <v>3.3102</v>
      </c>
    </row>
    <row r="699" spans="1:6" x14ac:dyDescent="0.25">
      <c r="A699" s="2">
        <v>43816</v>
      </c>
      <c r="B699">
        <f>1.7578</f>
        <v>1.7578</v>
      </c>
      <c r="C699">
        <f>1.6733</f>
        <v>1.6733</v>
      </c>
      <c r="D699">
        <f>0.9632</f>
        <v>0.96319999999999995</v>
      </c>
      <c r="E699">
        <f>1.4574</f>
        <v>1.4574</v>
      </c>
      <c r="F699">
        <f>3.2496</f>
        <v>3.2496</v>
      </c>
    </row>
    <row r="700" spans="1:6" x14ac:dyDescent="0.25">
      <c r="A700" s="2">
        <v>43815</v>
      </c>
      <c r="B700">
        <f>1.7369</f>
        <v>1.7369000000000001</v>
      </c>
      <c r="C700">
        <f>1.6512</f>
        <v>1.6512</v>
      </c>
      <c r="D700">
        <f>0.9557</f>
        <v>0.95569999999999999</v>
      </c>
      <c r="E700">
        <f>1.4341</f>
        <v>1.4340999999999999</v>
      </c>
      <c r="F700">
        <f>3.1802</f>
        <v>3.1802000000000001</v>
      </c>
    </row>
    <row r="701" spans="1:6" x14ac:dyDescent="0.25">
      <c r="A701" s="2">
        <v>43812</v>
      </c>
      <c r="B701">
        <f>1.7186</f>
        <v>1.7185999999999999</v>
      </c>
      <c r="C701">
        <f>1.6346</f>
        <v>1.6346000000000001</v>
      </c>
      <c r="D701">
        <f>0.964</f>
        <v>0.96399999999999997</v>
      </c>
      <c r="E701">
        <f>1.4238</f>
        <v>1.4238</v>
      </c>
      <c r="F701">
        <f>3.2202</f>
        <v>3.2202000000000002</v>
      </c>
    </row>
    <row r="702" spans="1:6" x14ac:dyDescent="0.25">
      <c r="A702" s="2">
        <v>43811</v>
      </c>
      <c r="B702">
        <f>1.7316</f>
        <v>1.7316</v>
      </c>
      <c r="C702">
        <f>1.6395</f>
        <v>1.6395</v>
      </c>
      <c r="D702">
        <f>0.9527</f>
        <v>0.95269999999999999</v>
      </c>
      <c r="E702">
        <f>1.407</f>
        <v>1.407</v>
      </c>
      <c r="F702">
        <f>3.357</f>
        <v>3.3570000000000002</v>
      </c>
    </row>
    <row r="703" spans="1:6" x14ac:dyDescent="0.25">
      <c r="A703" s="2">
        <v>43810</v>
      </c>
      <c r="B703">
        <f>1.7054</f>
        <v>1.7054</v>
      </c>
      <c r="C703">
        <f>1.6141</f>
        <v>1.6141000000000001</v>
      </c>
      <c r="D703">
        <f>0.9376</f>
        <v>0.93759999999999999</v>
      </c>
      <c r="E703">
        <f>1.4042</f>
        <v>1.4041999999999999</v>
      </c>
      <c r="F703">
        <f>3.3267</f>
        <v>3.3267000000000002</v>
      </c>
    </row>
    <row r="704" spans="1:6" x14ac:dyDescent="0.25">
      <c r="A704" s="2">
        <v>43809</v>
      </c>
      <c r="B704">
        <f>1.7135</f>
        <v>1.7135</v>
      </c>
      <c r="C704">
        <f>1.6158</f>
        <v>1.6157999999999999</v>
      </c>
      <c r="D704">
        <f>0.9293</f>
        <v>0.92930000000000001</v>
      </c>
      <c r="E704">
        <f>1.3944</f>
        <v>1.3944000000000001</v>
      </c>
      <c r="F704">
        <f>3.2892</f>
        <v>3.2892000000000001</v>
      </c>
    </row>
    <row r="705" spans="1:6" x14ac:dyDescent="0.25">
      <c r="A705" s="2">
        <v>43808</v>
      </c>
      <c r="B705">
        <f>1.7024</f>
        <v>1.7023999999999999</v>
      </c>
      <c r="C705">
        <f>1.6041</f>
        <v>1.6041000000000001</v>
      </c>
      <c r="D705">
        <f>0.9246</f>
        <v>0.92459999999999998</v>
      </c>
      <c r="E705">
        <f>1.3542</f>
        <v>1.3542000000000001</v>
      </c>
      <c r="F705">
        <f>3.2503</f>
        <v>3.2503000000000002</v>
      </c>
    </row>
    <row r="706" spans="1:6" x14ac:dyDescent="0.25">
      <c r="A706" s="2">
        <v>43805</v>
      </c>
      <c r="B706">
        <f>1.7155</f>
        <v>1.7155</v>
      </c>
      <c r="C706">
        <f>1.6041</f>
        <v>1.6041000000000001</v>
      </c>
      <c r="D706">
        <f>0.9174</f>
        <v>0.91739999999999999</v>
      </c>
      <c r="E706">
        <f>1.3499</f>
        <v>1.3499000000000001</v>
      </c>
      <c r="F706">
        <f>3.2084</f>
        <v>3.2084000000000001</v>
      </c>
    </row>
    <row r="707" spans="1:6" x14ac:dyDescent="0.25">
      <c r="A707" s="2">
        <v>43804</v>
      </c>
      <c r="B707">
        <f>1.6862</f>
        <v>1.6861999999999999</v>
      </c>
      <c r="C707">
        <f>1.5705</f>
        <v>1.5705</v>
      </c>
      <c r="D707">
        <f>0.9028</f>
        <v>0.90280000000000005</v>
      </c>
      <c r="E707">
        <f>1.2977</f>
        <v>1.2977000000000001</v>
      </c>
      <c r="F707">
        <f>3.1951</f>
        <v>3.1951000000000001</v>
      </c>
    </row>
    <row r="708" spans="1:6" x14ac:dyDescent="0.25">
      <c r="A708" s="2">
        <v>43803</v>
      </c>
      <c r="B708">
        <f>1.6807</f>
        <v>1.6807000000000001</v>
      </c>
      <c r="C708">
        <f>1.5603</f>
        <v>1.5603</v>
      </c>
      <c r="D708">
        <f>0.9175</f>
        <v>0.91749999999999998</v>
      </c>
      <c r="E708">
        <f>1.2934</f>
        <v>1.2934000000000001</v>
      </c>
      <c r="F708">
        <f>3.1922</f>
        <v>3.1922000000000001</v>
      </c>
    </row>
    <row r="709" spans="1:6" x14ac:dyDescent="0.25">
      <c r="A709" s="2">
        <v>43802</v>
      </c>
      <c r="B709">
        <f>1.6423</f>
        <v>1.6423000000000001</v>
      </c>
      <c r="C709">
        <f>1.5221</f>
        <v>1.5221</v>
      </c>
      <c r="D709">
        <f>0.9032</f>
        <v>0.9032</v>
      </c>
      <c r="E709">
        <f>1.2501</f>
        <v>1.2501</v>
      </c>
      <c r="F709">
        <f>3.1889</f>
        <v>3.1888999999999998</v>
      </c>
    </row>
    <row r="710" spans="1:6" x14ac:dyDescent="0.25">
      <c r="A710" s="2">
        <v>43801</v>
      </c>
      <c r="B710">
        <f>1.6709</f>
        <v>1.6709000000000001</v>
      </c>
      <c r="C710">
        <f>1.557</f>
        <v>1.5569999999999999</v>
      </c>
      <c r="D710">
        <f>0.9084</f>
        <v>0.90839999999999999</v>
      </c>
      <c r="E710">
        <f>1.259</f>
        <v>1.2589999999999999</v>
      </c>
      <c r="F710">
        <f>3.2151</f>
        <v>3.2151000000000001</v>
      </c>
    </row>
    <row r="711" spans="1:6" x14ac:dyDescent="0.25">
      <c r="A711" s="2">
        <v>43798</v>
      </c>
      <c r="B711">
        <f>1.633</f>
        <v>1.633</v>
      </c>
      <c r="C711">
        <f>1.5273</f>
        <v>1.5273000000000001</v>
      </c>
      <c r="D711">
        <f>0.9011</f>
        <v>0.90110000000000001</v>
      </c>
      <c r="E711">
        <f>1.2418</f>
        <v>1.2418</v>
      </c>
      <c r="F711">
        <f>3.1573</f>
        <v>3.1573000000000002</v>
      </c>
    </row>
    <row r="712" spans="1:6" x14ac:dyDescent="0.25">
      <c r="A712" s="2">
        <v>43797</v>
      </c>
      <c r="B712">
        <f>1.6456</f>
        <v>1.6456</v>
      </c>
      <c r="C712">
        <f>1.5496</f>
        <v>1.5496000000000001</v>
      </c>
      <c r="D712">
        <f>0.8732</f>
        <v>0.87319999999999998</v>
      </c>
      <c r="E712">
        <f>1.2812</f>
        <v>1.2811999999999999</v>
      </c>
      <c r="F712">
        <f>3.1073</f>
        <v>3.1073</v>
      </c>
    </row>
    <row r="713" spans="1:6" x14ac:dyDescent="0.25">
      <c r="A713" s="2">
        <v>43796</v>
      </c>
      <c r="B713">
        <f>1.6456</f>
        <v>1.6456</v>
      </c>
      <c r="C713">
        <f>1.5488</f>
        <v>1.5488</v>
      </c>
      <c r="D713">
        <f>0.8637</f>
        <v>0.86370000000000002</v>
      </c>
      <c r="E713">
        <f>1.2812</f>
        <v>1.2811999999999999</v>
      </c>
      <c r="F713">
        <f>3.1282</f>
        <v>3.1282000000000001</v>
      </c>
    </row>
    <row r="714" spans="1:6" x14ac:dyDescent="0.25">
      <c r="A714" s="2">
        <v>43795</v>
      </c>
      <c r="B714">
        <f>1.6415</f>
        <v>1.6415</v>
      </c>
      <c r="C714">
        <f>1.5439</f>
        <v>1.5439000000000001</v>
      </c>
      <c r="D714">
        <f>0.8556</f>
        <v>0.85560000000000003</v>
      </c>
      <c r="E714">
        <f>1.2783</f>
        <v>1.2783</v>
      </c>
      <c r="F714">
        <f>3.1341</f>
        <v>3.1341000000000001</v>
      </c>
    </row>
    <row r="715" spans="1:6" x14ac:dyDescent="0.25">
      <c r="A715" s="2">
        <v>43794</v>
      </c>
      <c r="B715">
        <f>1.6408</f>
        <v>1.6408</v>
      </c>
      <c r="C715">
        <f>1.5363</f>
        <v>1.5363</v>
      </c>
      <c r="D715">
        <f>0.8639</f>
        <v>0.8639</v>
      </c>
      <c r="E715">
        <f>1.2797</f>
        <v>1.2797000000000001</v>
      </c>
      <c r="F715">
        <f>3.1528</f>
        <v>3.1528</v>
      </c>
    </row>
    <row r="716" spans="1:6" x14ac:dyDescent="0.25">
      <c r="A716" s="2">
        <v>43791</v>
      </c>
      <c r="B716">
        <f>1.6352</f>
        <v>1.6352</v>
      </c>
      <c r="C716">
        <f>1.5295</f>
        <v>1.5295000000000001</v>
      </c>
      <c r="D716">
        <f>0.8781</f>
        <v>0.87809999999999999</v>
      </c>
      <c r="E716">
        <f>1.2756</f>
        <v>1.2756000000000001</v>
      </c>
      <c r="F716">
        <f>3.1646</f>
        <v>3.1646000000000001</v>
      </c>
    </row>
    <row r="717" spans="1:6" x14ac:dyDescent="0.25">
      <c r="A717" s="2">
        <v>43790</v>
      </c>
      <c r="B717">
        <f>1.6371</f>
        <v>1.6371</v>
      </c>
      <c r="C717">
        <f>1.5355</f>
        <v>1.5355000000000001</v>
      </c>
      <c r="D717">
        <f>0.897</f>
        <v>0.89700000000000002</v>
      </c>
      <c r="E717">
        <f>1.2796</f>
        <v>1.2796000000000001</v>
      </c>
      <c r="F717">
        <f>3.156</f>
        <v>3.1560000000000001</v>
      </c>
    </row>
    <row r="718" spans="1:6" x14ac:dyDescent="0.25">
      <c r="A718" s="2">
        <v>43789</v>
      </c>
      <c r="B718">
        <f>1.6226</f>
        <v>1.6226</v>
      </c>
      <c r="C718">
        <f>1.5208</f>
        <v>1.5207999999999999</v>
      </c>
      <c r="D718">
        <f>0.8931</f>
        <v>0.8931</v>
      </c>
      <c r="E718">
        <f>1.2571</f>
        <v>1.2571000000000001</v>
      </c>
      <c r="F718">
        <f>3.1381</f>
        <v>3.1381000000000001</v>
      </c>
    </row>
    <row r="719" spans="1:6" x14ac:dyDescent="0.25">
      <c r="A719" s="2">
        <v>43788</v>
      </c>
      <c r="B719">
        <f>1.6396</f>
        <v>1.6395999999999999</v>
      </c>
      <c r="C719">
        <f>1.5298</f>
        <v>1.5298</v>
      </c>
      <c r="D719">
        <f>0.8929</f>
        <v>0.89290000000000003</v>
      </c>
      <c r="E719">
        <f>1.2512</f>
        <v>1.2512000000000001</v>
      </c>
      <c r="F719">
        <f>3.1292</f>
        <v>3.1292</v>
      </c>
    </row>
    <row r="720" spans="1:6" x14ac:dyDescent="0.25">
      <c r="A720" s="2">
        <v>43787</v>
      </c>
      <c r="B720">
        <f>1.6463</f>
        <v>1.6463000000000001</v>
      </c>
      <c r="C720">
        <f>1.539</f>
        <v>1.5389999999999999</v>
      </c>
      <c r="D720">
        <f>0.904</f>
        <v>0.90400000000000003</v>
      </c>
      <c r="E720">
        <f>1.2489</f>
        <v>1.2488999999999999</v>
      </c>
      <c r="F720">
        <f>3.1221</f>
        <v>3.1221000000000001</v>
      </c>
    </row>
    <row r="721" spans="1:6" x14ac:dyDescent="0.25">
      <c r="A721" s="2">
        <v>43784</v>
      </c>
      <c r="B721">
        <f>1.6373</f>
        <v>1.6373</v>
      </c>
      <c r="C721">
        <f>1.5354</f>
        <v>1.5354000000000001</v>
      </c>
      <c r="D721">
        <f>0.9027</f>
        <v>0.90269999999999995</v>
      </c>
      <c r="E721">
        <f>1.2467</f>
        <v>1.2466999999999999</v>
      </c>
      <c r="F721">
        <f>3.1064</f>
        <v>3.1063999999999998</v>
      </c>
    </row>
    <row r="722" spans="1:6" x14ac:dyDescent="0.25">
      <c r="A722" s="2">
        <v>43783</v>
      </c>
      <c r="B722">
        <f>1.6415</f>
        <v>1.6415</v>
      </c>
      <c r="C722">
        <f>1.5377</f>
        <v>1.5377000000000001</v>
      </c>
      <c r="D722">
        <f>0.9007</f>
        <v>0.90069999999999995</v>
      </c>
      <c r="E722">
        <f>1.2362</f>
        <v>1.2362</v>
      </c>
      <c r="F722">
        <f>3.118</f>
        <v>3.1179999999999999</v>
      </c>
    </row>
    <row r="723" spans="1:6" x14ac:dyDescent="0.25">
      <c r="A723" s="2">
        <v>43782</v>
      </c>
      <c r="B723">
        <f>1.676</f>
        <v>1.6759999999999999</v>
      </c>
      <c r="C723">
        <f>1.5773</f>
        <v>1.5772999999999999</v>
      </c>
      <c r="D723">
        <f>0.9089</f>
        <v>0.90890000000000004</v>
      </c>
      <c r="E723">
        <f>1.2631</f>
        <v>1.2630999999999999</v>
      </c>
      <c r="F723">
        <f>3.1205</f>
        <v>3.1204999999999998</v>
      </c>
    </row>
    <row r="724" spans="1:6" x14ac:dyDescent="0.25">
      <c r="A724" s="2">
        <v>43781</v>
      </c>
      <c r="B724">
        <f>1.7038</f>
        <v>1.7038</v>
      </c>
      <c r="C724">
        <f>1.6006</f>
        <v>1.6006</v>
      </c>
      <c r="D724">
        <f>0.9415</f>
        <v>0.9415</v>
      </c>
      <c r="E724">
        <f>1.2573</f>
        <v>1.2573000000000001</v>
      </c>
      <c r="F724">
        <f>3.1517</f>
        <v>3.1516999999999999</v>
      </c>
    </row>
    <row r="725" spans="1:6" x14ac:dyDescent="0.25">
      <c r="A725" s="2">
        <v>43780</v>
      </c>
      <c r="B725">
        <f>1.7271</f>
        <v>1.7271000000000001</v>
      </c>
      <c r="C725">
        <f>1.6342</f>
        <v>1.6342000000000001</v>
      </c>
      <c r="D725">
        <f>0.936</f>
        <v>0.93600000000000005</v>
      </c>
      <c r="E725">
        <f>1.2876</f>
        <v>1.2876000000000001</v>
      </c>
      <c r="F725">
        <f>3.1487</f>
        <v>3.1486999999999998</v>
      </c>
    </row>
    <row r="726" spans="1:6" x14ac:dyDescent="0.25">
      <c r="A726" s="2">
        <v>43777</v>
      </c>
      <c r="B726">
        <f>1.7267</f>
        <v>1.7266999999999999</v>
      </c>
      <c r="C726">
        <f>1.635</f>
        <v>1.635</v>
      </c>
      <c r="D726">
        <f>0.9326</f>
        <v>0.93259999999999998</v>
      </c>
      <c r="E726">
        <f>1.2876</f>
        <v>1.2876000000000001</v>
      </c>
      <c r="F726">
        <f>3.1544</f>
        <v>3.1543999999999999</v>
      </c>
    </row>
    <row r="727" spans="1:6" x14ac:dyDescent="0.25">
      <c r="A727" s="2">
        <v>43776</v>
      </c>
      <c r="B727">
        <f>1.7066</f>
        <v>1.7065999999999999</v>
      </c>
      <c r="C727">
        <f>1.6117</f>
        <v>1.6116999999999999</v>
      </c>
      <c r="D727">
        <f>0.9502</f>
        <v>0.95020000000000004</v>
      </c>
      <c r="E727">
        <f>1.2749</f>
        <v>1.2748999999999999</v>
      </c>
      <c r="F727">
        <f>3.1478</f>
        <v>3.1478000000000002</v>
      </c>
    </row>
    <row r="728" spans="1:6" x14ac:dyDescent="0.25">
      <c r="A728" s="2">
        <v>43775</v>
      </c>
      <c r="B728">
        <f>1.6852</f>
        <v>1.6852</v>
      </c>
      <c r="C728">
        <f>1.5909</f>
        <v>1.5909</v>
      </c>
      <c r="D728">
        <f>0.9311</f>
        <v>0.93110000000000004</v>
      </c>
      <c r="E728">
        <f>1.2725</f>
        <v>1.2725</v>
      </c>
      <c r="F728">
        <f>3.1389</f>
        <v>3.1389</v>
      </c>
    </row>
    <row r="729" spans="1:6" x14ac:dyDescent="0.25">
      <c r="A729" s="2">
        <v>43774</v>
      </c>
      <c r="B729">
        <f>1.6744</f>
        <v>1.6744000000000001</v>
      </c>
      <c r="C729">
        <f>1.5818</f>
        <v>1.5818000000000001</v>
      </c>
      <c r="D729">
        <f>0.9219</f>
        <v>0.92190000000000005</v>
      </c>
      <c r="E729">
        <f>1.2612</f>
        <v>1.2612000000000001</v>
      </c>
      <c r="F729">
        <f>3.1524</f>
        <v>3.1524000000000001</v>
      </c>
    </row>
    <row r="730" spans="1:6" x14ac:dyDescent="0.25">
      <c r="A730" s="2">
        <v>43773</v>
      </c>
      <c r="B730">
        <f>1.6431</f>
        <v>1.6431</v>
      </c>
      <c r="C730">
        <f>1.5624</f>
        <v>1.5624</v>
      </c>
      <c r="D730">
        <f>0.8995</f>
        <v>0.89949999999999997</v>
      </c>
      <c r="E730">
        <f>1.2517</f>
        <v>1.2517</v>
      </c>
      <c r="F730">
        <f>3.1238</f>
        <v>3.1238000000000001</v>
      </c>
    </row>
    <row r="731" spans="1:6" x14ac:dyDescent="0.25">
      <c r="A731" s="2">
        <v>43770</v>
      </c>
      <c r="B731">
        <f>1.5933</f>
        <v>1.5932999999999999</v>
      </c>
      <c r="C731">
        <f>1.5037</f>
        <v>1.5037</v>
      </c>
      <c r="D731">
        <f>0.8702</f>
        <v>0.87019999999999997</v>
      </c>
      <c r="E731">
        <f>1.1975</f>
        <v>1.1975</v>
      </c>
      <c r="F731">
        <f>3.0758</f>
        <v>3.0758000000000001</v>
      </c>
    </row>
    <row r="732" spans="1:6" x14ac:dyDescent="0.25">
      <c r="A732" s="2">
        <v>43769</v>
      </c>
      <c r="B732">
        <f>1.5501</f>
        <v>1.5501</v>
      </c>
      <c r="C732">
        <f>1.4498</f>
        <v>1.4498</v>
      </c>
      <c r="D732">
        <f>0.8741</f>
        <v>0.87409999999999999</v>
      </c>
      <c r="E732">
        <f>1.1248</f>
        <v>1.1248</v>
      </c>
      <c r="F732">
        <f>3.0539</f>
        <v>3.0539000000000001</v>
      </c>
    </row>
    <row r="733" spans="1:6" x14ac:dyDescent="0.25">
      <c r="A733" s="2">
        <v>43768</v>
      </c>
      <c r="B733">
        <f>1.5878</f>
        <v>1.5878000000000001</v>
      </c>
      <c r="C733">
        <f>1.4867</f>
        <v>1.4866999999999999</v>
      </c>
      <c r="D733">
        <f>0.8899</f>
        <v>0.88990000000000002</v>
      </c>
      <c r="E733">
        <f>1.1799</f>
        <v>1.1798999999999999</v>
      </c>
      <c r="F733">
        <f>3.0192</f>
        <v>3.0192000000000001</v>
      </c>
    </row>
    <row r="734" spans="1:6" x14ac:dyDescent="0.25">
      <c r="A734" s="2">
        <v>43767</v>
      </c>
      <c r="B734">
        <f>1.6135</f>
        <v>1.6134999999999999</v>
      </c>
      <c r="C734">
        <f>1.5108</f>
        <v>1.5107999999999999</v>
      </c>
      <c r="D734">
        <f>0.8969</f>
        <v>0.89690000000000003</v>
      </c>
      <c r="E734">
        <f>1.2081</f>
        <v>1.2081</v>
      </c>
      <c r="F734">
        <f>3.0077</f>
        <v>3.0076999999999998</v>
      </c>
    </row>
    <row r="735" spans="1:6" x14ac:dyDescent="0.25">
      <c r="A735" s="2">
        <v>43766</v>
      </c>
      <c r="B735">
        <f>1.6485</f>
        <v>1.6485000000000001</v>
      </c>
      <c r="C735">
        <f>1.5432</f>
        <v>1.5431999999999999</v>
      </c>
      <c r="D735">
        <f>0.8901</f>
        <v>0.8901</v>
      </c>
      <c r="E735">
        <f>1.2381</f>
        <v>1.2381</v>
      </c>
      <c r="F735">
        <f>3.0766</f>
        <v>3.0766</v>
      </c>
    </row>
    <row r="736" spans="1:6" x14ac:dyDescent="0.25">
      <c r="A736" s="2">
        <v>43763</v>
      </c>
      <c r="B736">
        <f>1.6582</f>
        <v>1.6581999999999999</v>
      </c>
      <c r="C736">
        <f>1.5582</f>
        <v>1.5582</v>
      </c>
      <c r="D736">
        <f>0.8759</f>
        <v>0.87590000000000001</v>
      </c>
      <c r="E736">
        <f>1.2608</f>
        <v>1.2607999999999999</v>
      </c>
      <c r="F736">
        <f>3.1228</f>
        <v>3.1227999999999998</v>
      </c>
    </row>
    <row r="737" spans="1:6" x14ac:dyDescent="0.25">
      <c r="A737" s="2">
        <v>43762</v>
      </c>
      <c r="B737">
        <f>1.625</f>
        <v>1.625</v>
      </c>
      <c r="C737">
        <f>1.5369</f>
        <v>1.5368999999999999</v>
      </c>
      <c r="D737">
        <f>0.8683</f>
        <v>0.86829999999999996</v>
      </c>
      <c r="E737">
        <f>1.2168</f>
        <v>1.2168000000000001</v>
      </c>
      <c r="F737">
        <f>3.1016</f>
        <v>3.1015999999999999</v>
      </c>
    </row>
    <row r="738" spans="1:6" x14ac:dyDescent="0.25">
      <c r="A738" s="2">
        <v>43761</v>
      </c>
      <c r="B738">
        <f>1.6167</f>
        <v>1.6167</v>
      </c>
      <c r="C738">
        <f>1.5337</f>
        <v>1.5337000000000001</v>
      </c>
      <c r="D738">
        <f>0.8597</f>
        <v>0.85970000000000002</v>
      </c>
      <c r="E738">
        <f>1.2005</f>
        <v>1.2004999999999999</v>
      </c>
      <c r="F738">
        <f>3.0915</f>
        <v>3.0914999999999999</v>
      </c>
    </row>
    <row r="739" spans="1:6" x14ac:dyDescent="0.25">
      <c r="A739" s="2">
        <v>43760</v>
      </c>
      <c r="B739">
        <f>1.6063</f>
        <v>1.6063000000000001</v>
      </c>
      <c r="C739">
        <f>1.5248</f>
        <v>1.5247999999999999</v>
      </c>
      <c r="D739">
        <f>0.8823</f>
        <v>0.88229999999999997</v>
      </c>
      <c r="E739">
        <f>1.1807</f>
        <v>1.1807000000000001</v>
      </c>
      <c r="F739">
        <f>3.0791</f>
        <v>3.0790999999999999</v>
      </c>
    </row>
    <row r="740" spans="1:6" x14ac:dyDescent="0.25">
      <c r="A740" s="2">
        <v>43759</v>
      </c>
      <c r="B740">
        <f>1.61</f>
        <v>1.61</v>
      </c>
      <c r="C740">
        <f>1.5284</f>
        <v>1.5284</v>
      </c>
      <c r="D740">
        <f>0.898</f>
        <v>0.89800000000000002</v>
      </c>
      <c r="E740">
        <f>1.1626</f>
        <v>1.1626000000000001</v>
      </c>
      <c r="F740">
        <f>3.072</f>
        <v>3.0720000000000001</v>
      </c>
    </row>
    <row r="741" spans="1:6" x14ac:dyDescent="0.25">
      <c r="A741" s="2">
        <v>43756</v>
      </c>
      <c r="B741">
        <f>1.598</f>
        <v>1.5980000000000001</v>
      </c>
      <c r="C741">
        <f>1.5372</f>
        <v>1.5371999999999999</v>
      </c>
      <c r="D741">
        <f>0.9036</f>
        <v>0.90359999999999996</v>
      </c>
      <c r="E741">
        <f>1.1623</f>
        <v>1.1623000000000001</v>
      </c>
      <c r="F741">
        <f>3.1372</f>
        <v>3.1372</v>
      </c>
    </row>
    <row r="742" spans="1:6" x14ac:dyDescent="0.25">
      <c r="A742" s="2">
        <v>43755</v>
      </c>
      <c r="B742">
        <f>1.5896</f>
        <v>1.5895999999999999</v>
      </c>
      <c r="C742">
        <f>1.3919</f>
        <v>1.3918999999999999</v>
      </c>
      <c r="D742">
        <f>0.8975</f>
        <v>0.89749999999999996</v>
      </c>
      <c r="E742">
        <f>1.3937</f>
        <v>1.3936999999999999</v>
      </c>
      <c r="F742">
        <f>3.1512</f>
        <v>3.1511999999999998</v>
      </c>
    </row>
    <row r="743" spans="1:6" x14ac:dyDescent="0.25">
      <c r="A743" s="2">
        <v>43754</v>
      </c>
      <c r="B743">
        <f>1.5656</f>
        <v>1.5656000000000001</v>
      </c>
      <c r="C743">
        <f>1.3571</f>
        <v>1.3571</v>
      </c>
      <c r="D743">
        <f>0.8981</f>
        <v>0.89810000000000001</v>
      </c>
      <c r="E743">
        <f>1.3241</f>
        <v>1.3241000000000001</v>
      </c>
      <c r="F743">
        <f>3.1509</f>
        <v>3.1509</v>
      </c>
    </row>
    <row r="744" spans="1:6" x14ac:dyDescent="0.25">
      <c r="A744" s="2">
        <v>43753</v>
      </c>
      <c r="B744">
        <f>1.5656</f>
        <v>1.5656000000000001</v>
      </c>
      <c r="C744">
        <f>1.344</f>
        <v>1.3440000000000001</v>
      </c>
      <c r="D744">
        <f>0.8821</f>
        <v>0.8821</v>
      </c>
      <c r="E744">
        <f>1.293</f>
        <v>1.2929999999999999</v>
      </c>
      <c r="F744">
        <f>3.1358</f>
        <v>3.1358000000000001</v>
      </c>
    </row>
    <row r="745" spans="1:6" x14ac:dyDescent="0.25">
      <c r="A745" s="2">
        <v>43752</v>
      </c>
      <c r="B745">
        <f>1.5599</f>
        <v>1.5599000000000001</v>
      </c>
      <c r="C745">
        <f>1.3471</f>
        <v>1.3471</v>
      </c>
      <c r="D745">
        <f>0.844</f>
        <v>0.84399999999999997</v>
      </c>
      <c r="E745">
        <f>1.3084</f>
        <v>1.3084</v>
      </c>
      <c r="F745">
        <f>3.2065</f>
        <v>3.2065000000000001</v>
      </c>
    </row>
    <row r="746" spans="1:6" x14ac:dyDescent="0.25">
      <c r="A746" s="2">
        <v>43749</v>
      </c>
      <c r="B746">
        <f>1.5599</f>
        <v>1.5599000000000001</v>
      </c>
      <c r="C746">
        <f>1.3471</f>
        <v>1.3471</v>
      </c>
      <c r="D746">
        <f>0.8548</f>
        <v>0.8548</v>
      </c>
      <c r="E746">
        <f>1.3084</f>
        <v>1.3084</v>
      </c>
      <c r="F746">
        <f>3.2217</f>
        <v>3.2216999999999998</v>
      </c>
    </row>
    <row r="747" spans="1:6" x14ac:dyDescent="0.25">
      <c r="A747" s="2">
        <v>43748</v>
      </c>
      <c r="B747">
        <f>1.523</f>
        <v>1.5229999999999999</v>
      </c>
      <c r="C747">
        <f>1.3091</f>
        <v>1.3090999999999999</v>
      </c>
      <c r="D747">
        <f>0.8318</f>
        <v>0.83179999999999998</v>
      </c>
      <c r="E747">
        <f>1.2579</f>
        <v>1.2579</v>
      </c>
      <c r="F747">
        <f>3.2732</f>
        <v>3.2732000000000001</v>
      </c>
    </row>
    <row r="748" spans="1:6" x14ac:dyDescent="0.25">
      <c r="A748" s="2">
        <v>43747</v>
      </c>
      <c r="B748">
        <f>1.4873</f>
        <v>1.4873000000000001</v>
      </c>
      <c r="C748">
        <f>1.2592</f>
        <v>1.2592000000000001</v>
      </c>
      <c r="D748">
        <f>0.8201</f>
        <v>0.82010000000000005</v>
      </c>
      <c r="E748">
        <f>1.201</f>
        <v>1.2010000000000001</v>
      </c>
      <c r="F748">
        <f>3.2837</f>
        <v>3.2837000000000001</v>
      </c>
    </row>
    <row r="749" spans="1:6" x14ac:dyDescent="0.25">
      <c r="A749" s="2">
        <v>43746</v>
      </c>
      <c r="B749">
        <f>1.4719</f>
        <v>1.4719</v>
      </c>
      <c r="C749">
        <f>1.2512</f>
        <v>1.2512000000000001</v>
      </c>
      <c r="D749">
        <f>0.7944</f>
        <v>0.7944</v>
      </c>
      <c r="E749">
        <f>1.2031</f>
        <v>1.2031000000000001</v>
      </c>
      <c r="F749">
        <f>3.2971</f>
        <v>3.2970999999999999</v>
      </c>
    </row>
    <row r="750" spans="1:6" x14ac:dyDescent="0.25">
      <c r="A750" s="2">
        <v>43745</v>
      </c>
      <c r="B750">
        <f>1.5121</f>
        <v>1.5121</v>
      </c>
      <c r="C750">
        <f>1.2922</f>
        <v>1.2922</v>
      </c>
      <c r="D750">
        <f>0.7866</f>
        <v>0.78659999999999997</v>
      </c>
      <c r="E750">
        <f>1.2387</f>
        <v>1.2386999999999999</v>
      </c>
      <c r="F750">
        <f>3.2995</f>
        <v>3.2995000000000001</v>
      </c>
    </row>
    <row r="751" spans="1:6" x14ac:dyDescent="0.25">
      <c r="A751" s="2">
        <v>43742</v>
      </c>
      <c r="B751">
        <f>1.4968</f>
        <v>1.4967999999999999</v>
      </c>
      <c r="C751">
        <f>1.2791</f>
        <v>1.2790999999999999</v>
      </c>
      <c r="D751">
        <f>0.7936</f>
        <v>0.79359999999999997</v>
      </c>
      <c r="E751">
        <f>1.2208</f>
        <v>1.2208000000000001</v>
      </c>
      <c r="F751">
        <f>3.3114</f>
        <v>3.3113999999999999</v>
      </c>
    </row>
    <row r="752" spans="1:6" x14ac:dyDescent="0.25">
      <c r="A752" s="2">
        <v>43741</v>
      </c>
      <c r="B752">
        <f>1.4793</f>
        <v>1.4793000000000001</v>
      </c>
      <c r="C752">
        <f>1.2678</f>
        <v>1.2678</v>
      </c>
      <c r="D752">
        <f>0.7734</f>
        <v>0.77339999999999998</v>
      </c>
      <c r="E752">
        <f>1.1913</f>
        <v>1.1913</v>
      </c>
      <c r="F752">
        <f>3.2864</f>
        <v>3.2864</v>
      </c>
    </row>
    <row r="753" spans="1:6" x14ac:dyDescent="0.25">
      <c r="A753" s="2">
        <v>43740</v>
      </c>
      <c r="B753">
        <f>1.5053</f>
        <v>1.5053000000000001</v>
      </c>
      <c r="C753">
        <f>1.3041</f>
        <v>1.3041</v>
      </c>
      <c r="D753">
        <f>0.8071</f>
        <v>0.80710000000000004</v>
      </c>
      <c r="E753">
        <f>1.2323</f>
        <v>1.2323</v>
      </c>
      <c r="F753">
        <f>3.2935</f>
        <v>3.2934999999999999</v>
      </c>
    </row>
    <row r="754" spans="1:6" x14ac:dyDescent="0.25">
      <c r="A754" s="2">
        <v>43739</v>
      </c>
      <c r="B754">
        <f>1.5255</f>
        <v>1.5255000000000001</v>
      </c>
      <c r="C754">
        <f>1.3368</f>
        <v>1.3368</v>
      </c>
      <c r="D754">
        <f>0.8166</f>
        <v>0.81659999999999999</v>
      </c>
      <c r="E754">
        <f>1.2677</f>
        <v>1.2677</v>
      </c>
      <c r="F754">
        <f>3.2858</f>
        <v>3.2858000000000001</v>
      </c>
    </row>
    <row r="755" spans="1:6" x14ac:dyDescent="0.25">
      <c r="A755" s="2">
        <v>43738</v>
      </c>
      <c r="B755">
        <f>1.5204</f>
        <v>1.5204</v>
      </c>
      <c r="C755">
        <f>1.3472</f>
        <v>1.3472</v>
      </c>
      <c r="D755">
        <f>0.8294</f>
        <v>0.82940000000000003</v>
      </c>
      <c r="E755">
        <f>1.3042</f>
        <v>1.3042</v>
      </c>
      <c r="F755">
        <f>3.2784</f>
        <v>3.2784</v>
      </c>
    </row>
    <row r="756" spans="1:6" x14ac:dyDescent="0.25">
      <c r="A756" s="2">
        <v>43735</v>
      </c>
      <c r="B756">
        <f>1.5333</f>
        <v>1.5333000000000001</v>
      </c>
      <c r="C756">
        <f>1.3665</f>
        <v>1.3665</v>
      </c>
      <c r="D756">
        <f>0.8564</f>
        <v>0.85640000000000005</v>
      </c>
      <c r="E756">
        <f>1.3271</f>
        <v>1.3270999999999999</v>
      </c>
      <c r="F756">
        <f>3.2953</f>
        <v>3.2953000000000001</v>
      </c>
    </row>
    <row r="757" spans="1:6" x14ac:dyDescent="0.25">
      <c r="A757" s="2">
        <v>43734</v>
      </c>
      <c r="B757">
        <f>1.5734</f>
        <v>1.5733999999999999</v>
      </c>
      <c r="C757">
        <f>1.4043</f>
        <v>1.4043000000000001</v>
      </c>
      <c r="D757">
        <f>0.8627</f>
        <v>0.86270000000000002</v>
      </c>
      <c r="E757">
        <f>1.3738</f>
        <v>1.3737999999999999</v>
      </c>
      <c r="F757">
        <f>3.2971</f>
        <v>3.2970999999999999</v>
      </c>
    </row>
    <row r="758" spans="1:6" x14ac:dyDescent="0.25">
      <c r="A758" s="2">
        <v>43733</v>
      </c>
      <c r="B758">
        <f>1.5999</f>
        <v>1.5999000000000001</v>
      </c>
      <c r="C758">
        <f>1.4291</f>
        <v>1.4291</v>
      </c>
      <c r="D758">
        <f>0.8643</f>
        <v>0.86429999999999996</v>
      </c>
      <c r="E758">
        <f>1.3803</f>
        <v>1.3803000000000001</v>
      </c>
      <c r="F758">
        <f>3.2994</f>
        <v>3.2993999999999999</v>
      </c>
    </row>
    <row r="759" spans="1:6" x14ac:dyDescent="0.25">
      <c r="A759" s="2">
        <v>43732</v>
      </c>
      <c r="B759">
        <f>1.5807</f>
        <v>1.5807</v>
      </c>
      <c r="C759">
        <f>1.4065</f>
        <v>1.4065000000000001</v>
      </c>
      <c r="D759">
        <f>0.8832</f>
        <v>0.88319999999999999</v>
      </c>
      <c r="E759">
        <f>1.3752</f>
        <v>1.3752</v>
      </c>
      <c r="F759">
        <f>3.2942</f>
        <v>3.2942</v>
      </c>
    </row>
    <row r="760" spans="1:6" x14ac:dyDescent="0.25">
      <c r="A760" s="2">
        <v>43731</v>
      </c>
      <c r="B760">
        <f>1.623</f>
        <v>1.623</v>
      </c>
      <c r="C760">
        <f>1.4541</f>
        <v>1.4540999999999999</v>
      </c>
      <c r="D760">
        <f>0.8755</f>
        <v>0.87549999999999994</v>
      </c>
      <c r="E760">
        <f>1.4274</f>
        <v>1.4274</v>
      </c>
      <c r="F760">
        <f>3.3088</f>
        <v>3.3088000000000002</v>
      </c>
    </row>
    <row r="761" spans="1:6" x14ac:dyDescent="0.25">
      <c r="A761" s="2">
        <v>43728</v>
      </c>
      <c r="B761">
        <f>1.6066</f>
        <v>1.6066</v>
      </c>
      <c r="C761">
        <f>1.4406</f>
        <v>1.4406000000000001</v>
      </c>
      <c r="D761">
        <f>0.9034</f>
        <v>0.90339999999999998</v>
      </c>
      <c r="E761">
        <f>1.412</f>
        <v>1.4119999999999999</v>
      </c>
      <c r="F761">
        <f>3.2799</f>
        <v>3.2799</v>
      </c>
    </row>
    <row r="762" spans="1:6" x14ac:dyDescent="0.25">
      <c r="A762" s="2">
        <v>43727</v>
      </c>
      <c r="B762">
        <f>1.6192</f>
        <v>1.6192</v>
      </c>
      <c r="C762">
        <f>1.4482</f>
        <v>1.4481999999999999</v>
      </c>
      <c r="D762">
        <f>0.9197</f>
        <v>0.91969999999999996</v>
      </c>
      <c r="E762">
        <f>1.4291</f>
        <v>1.4291</v>
      </c>
      <c r="F762">
        <f>3.291</f>
        <v>3.2909999999999999</v>
      </c>
    </row>
    <row r="763" spans="1:6" x14ac:dyDescent="0.25">
      <c r="A763" s="2">
        <v>43726</v>
      </c>
      <c r="B763">
        <f>1.6149</f>
        <v>1.6149</v>
      </c>
      <c r="C763">
        <f>1.4375</f>
        <v>1.4375</v>
      </c>
      <c r="D763">
        <f>0.918</f>
        <v>0.91800000000000004</v>
      </c>
      <c r="E763">
        <f>1.4043</f>
        <v>1.4043000000000001</v>
      </c>
      <c r="F763">
        <f>3.2734</f>
        <v>3.2734000000000001</v>
      </c>
    </row>
    <row r="764" spans="1:6" x14ac:dyDescent="0.25">
      <c r="A764" s="2">
        <v>43725</v>
      </c>
      <c r="B764">
        <f>1.662</f>
        <v>1.6619999999999999</v>
      </c>
      <c r="C764">
        <f>1.4816</f>
        <v>1.4816</v>
      </c>
      <c r="D764">
        <f>0.9379</f>
        <v>0.93789999999999996</v>
      </c>
      <c r="E764">
        <f>1.4326</f>
        <v>1.4326000000000001</v>
      </c>
      <c r="F764">
        <f>3.2756</f>
        <v>3.2755999999999998</v>
      </c>
    </row>
    <row r="765" spans="1:6" x14ac:dyDescent="0.25">
      <c r="A765" s="2">
        <v>43724</v>
      </c>
      <c r="B765">
        <f>1.675</f>
        <v>1.675</v>
      </c>
      <c r="C765">
        <f>1.5082</f>
        <v>1.5082</v>
      </c>
      <c r="D765">
        <f>0.9429</f>
        <v>0.94289999999999996</v>
      </c>
      <c r="E765">
        <f>1.4916</f>
        <v>1.4916</v>
      </c>
      <c r="F765">
        <f>3.3114</f>
        <v>3.3113999999999999</v>
      </c>
    </row>
    <row r="766" spans="1:6" x14ac:dyDescent="0.25">
      <c r="A766" s="2">
        <v>43721</v>
      </c>
      <c r="B766">
        <f>1.6773</f>
        <v>1.6773</v>
      </c>
      <c r="C766">
        <f>1.4932</f>
        <v>1.4932000000000001</v>
      </c>
      <c r="D766">
        <f>0.9365</f>
        <v>0.9365</v>
      </c>
      <c r="E766">
        <f>1.42</f>
        <v>1.42</v>
      </c>
      <c r="F766">
        <f>3.2889</f>
        <v>3.2888999999999999</v>
      </c>
    </row>
    <row r="767" spans="1:6" x14ac:dyDescent="0.25">
      <c r="A767" s="2">
        <v>43720</v>
      </c>
      <c r="B767">
        <f>1.6232</f>
        <v>1.6232</v>
      </c>
      <c r="C767">
        <f>1.4393</f>
        <v>1.4393</v>
      </c>
      <c r="D767">
        <f>0.942</f>
        <v>0.94199999999999995</v>
      </c>
      <c r="E767">
        <f>1.394</f>
        <v>1.3939999999999999</v>
      </c>
      <c r="F767">
        <f>3.2985</f>
        <v>3.2985000000000002</v>
      </c>
    </row>
    <row r="768" spans="1:6" x14ac:dyDescent="0.25">
      <c r="A768" s="2">
        <v>43719</v>
      </c>
      <c r="B768">
        <f>1.5986</f>
        <v>1.5986</v>
      </c>
      <c r="C768">
        <f>1.4191</f>
        <v>1.4191</v>
      </c>
      <c r="D768">
        <f>0.8678</f>
        <v>0.86780000000000002</v>
      </c>
      <c r="E768">
        <f>1.3807</f>
        <v>1.3807</v>
      </c>
      <c r="F768">
        <f>3.3141</f>
        <v>3.3140999999999998</v>
      </c>
    </row>
    <row r="769" spans="1:6" x14ac:dyDescent="0.25">
      <c r="A769" s="2">
        <v>43718</v>
      </c>
      <c r="B769">
        <f>1.6071</f>
        <v>1.6071</v>
      </c>
      <c r="C769">
        <f>1.4269</f>
        <v>1.4269000000000001</v>
      </c>
      <c r="D769">
        <f>0.8704</f>
        <v>0.87039999999999995</v>
      </c>
      <c r="E769">
        <f>1.3933</f>
        <v>1.3933</v>
      </c>
      <c r="F769">
        <f>3.3168</f>
        <v>3.3168000000000002</v>
      </c>
    </row>
    <row r="770" spans="1:6" x14ac:dyDescent="0.25">
      <c r="A770" s="2">
        <v>43717</v>
      </c>
      <c r="B770">
        <f>1.5817</f>
        <v>1.5817000000000001</v>
      </c>
      <c r="C770">
        <f>1.4025</f>
        <v>1.4025000000000001</v>
      </c>
      <c r="D770">
        <f>0.8882</f>
        <v>0.88819999999999999</v>
      </c>
      <c r="E770">
        <f>1.3564</f>
        <v>1.3564000000000001</v>
      </c>
      <c r="F770">
        <f>3.3179</f>
        <v>3.3178999999999998</v>
      </c>
    </row>
    <row r="771" spans="1:6" x14ac:dyDescent="0.25">
      <c r="A771" s="2">
        <v>43714</v>
      </c>
      <c r="B771">
        <f>1.5508</f>
        <v>1.5508</v>
      </c>
      <c r="C771">
        <f>1.3687</f>
        <v>1.3687</v>
      </c>
      <c r="D771">
        <f>0.8654</f>
        <v>0.86539999999999995</v>
      </c>
      <c r="E771">
        <f>1.322</f>
        <v>1.3220000000000001</v>
      </c>
      <c r="F771">
        <f>3.2989</f>
        <v>3.2989000000000002</v>
      </c>
    </row>
    <row r="772" spans="1:6" x14ac:dyDescent="0.25">
      <c r="A772" s="2">
        <v>43713</v>
      </c>
      <c r="B772">
        <f>1.5587</f>
        <v>1.5587</v>
      </c>
      <c r="C772">
        <f>1.3683</f>
        <v>1.3683000000000001</v>
      </c>
      <c r="D772">
        <f>0.8861</f>
        <v>0.8861</v>
      </c>
      <c r="E772">
        <f>1.2985</f>
        <v>1.2985</v>
      </c>
      <c r="F772">
        <f>3.2926</f>
        <v>3.2926000000000002</v>
      </c>
    </row>
    <row r="773" spans="1:6" x14ac:dyDescent="0.25">
      <c r="A773" s="2">
        <v>43712</v>
      </c>
      <c r="B773">
        <f>1.5141</f>
        <v>1.5141</v>
      </c>
      <c r="C773">
        <f>1.3224</f>
        <v>1.3224</v>
      </c>
      <c r="D773">
        <f>0.8197</f>
        <v>0.81969999999999998</v>
      </c>
      <c r="E773">
        <f>1.2411</f>
        <v>1.2411000000000001</v>
      </c>
      <c r="F773">
        <f>3.27</f>
        <v>3.27</v>
      </c>
    </row>
    <row r="774" spans="1:6" x14ac:dyDescent="0.25">
      <c r="A774" s="2">
        <v>43711</v>
      </c>
      <c r="B774">
        <f>1.5108</f>
        <v>1.5107999999999999</v>
      </c>
      <c r="C774">
        <f>1.3094</f>
        <v>1.3093999999999999</v>
      </c>
      <c r="D774">
        <f>0.781</f>
        <v>0.78100000000000003</v>
      </c>
      <c r="E774">
        <f>1.2035</f>
        <v>1.2035</v>
      </c>
      <c r="F774">
        <f>3.2829</f>
        <v>3.2829000000000002</v>
      </c>
    </row>
    <row r="775" spans="1:6" x14ac:dyDescent="0.25">
      <c r="A775" s="2">
        <v>43710</v>
      </c>
      <c r="B775">
        <f>1.5417</f>
        <v>1.5417000000000001</v>
      </c>
      <c r="C775">
        <f>1.3557</f>
        <v>1.3556999999999999</v>
      </c>
      <c r="D775">
        <f>0.7939</f>
        <v>0.79390000000000005</v>
      </c>
      <c r="E775">
        <f>1.251</f>
        <v>1.2509999999999999</v>
      </c>
      <c r="F775">
        <f>3.2634</f>
        <v>3.2633999999999999</v>
      </c>
    </row>
    <row r="776" spans="1:6" x14ac:dyDescent="0.25">
      <c r="A776" s="2">
        <v>43707</v>
      </c>
      <c r="B776">
        <f>1.5417</f>
        <v>1.5417000000000001</v>
      </c>
      <c r="C776">
        <f>1.3557</f>
        <v>1.3556999999999999</v>
      </c>
      <c r="D776">
        <f>0.8082</f>
        <v>0.80820000000000003</v>
      </c>
      <c r="E776">
        <f>1.251</f>
        <v>1.2509999999999999</v>
      </c>
      <c r="F776">
        <f>3.2801</f>
        <v>3.2801</v>
      </c>
    </row>
    <row r="777" spans="1:6" x14ac:dyDescent="0.25">
      <c r="A777" s="2">
        <v>43706</v>
      </c>
      <c r="B777">
        <f>1.5929</f>
        <v>1.5929</v>
      </c>
      <c r="C777">
        <f>1.4077</f>
        <v>1.4077</v>
      </c>
      <c r="D777">
        <f>0.8323</f>
        <v>0.83230000000000004</v>
      </c>
      <c r="E777">
        <f>1.3396</f>
        <v>1.3395999999999999</v>
      </c>
      <c r="F777">
        <f>3.304</f>
        <v>3.3039999999999998</v>
      </c>
    </row>
    <row r="778" spans="1:6" x14ac:dyDescent="0.25">
      <c r="A778" s="2">
        <v>43705</v>
      </c>
      <c r="B778">
        <f>1.5632</f>
        <v>1.5631999999999999</v>
      </c>
      <c r="C778">
        <f>1.3833</f>
        <v>1.3833</v>
      </c>
      <c r="D778">
        <f>0.8277</f>
        <v>0.82769999999999999</v>
      </c>
      <c r="E778">
        <f>1.2936</f>
        <v>1.2936000000000001</v>
      </c>
      <c r="F778">
        <f>3.2993</f>
        <v>3.2993000000000001</v>
      </c>
    </row>
    <row r="779" spans="1:6" x14ac:dyDescent="0.25">
      <c r="A779" s="2">
        <v>43704</v>
      </c>
      <c r="B779">
        <f>1.5426</f>
        <v>1.5426</v>
      </c>
      <c r="C779">
        <f>1.3634</f>
        <v>1.3633999999999999</v>
      </c>
      <c r="D779">
        <f>0.8645</f>
        <v>0.86450000000000005</v>
      </c>
      <c r="E779">
        <f>1.2759</f>
        <v>1.2759</v>
      </c>
      <c r="F779">
        <f>3.2838</f>
        <v>3.2837999999999998</v>
      </c>
    </row>
    <row r="780" spans="1:6" x14ac:dyDescent="0.25">
      <c r="A780" s="2">
        <v>43703</v>
      </c>
      <c r="B780">
        <f>1.5466</f>
        <v>1.5466</v>
      </c>
      <c r="C780">
        <f>1.3592</f>
        <v>1.3592</v>
      </c>
      <c r="D780">
        <f>0.9012</f>
        <v>0.9012</v>
      </c>
      <c r="E780">
        <f>1.2511</f>
        <v>1.2511000000000001</v>
      </c>
      <c r="F780" t="e">
        <f>NA()</f>
        <v>#N/A</v>
      </c>
    </row>
    <row r="781" spans="1:6" x14ac:dyDescent="0.25">
      <c r="A781" s="2">
        <v>43700</v>
      </c>
      <c r="B781">
        <f>1.5419</f>
        <v>1.5419</v>
      </c>
      <c r="C781">
        <f>1.3619</f>
        <v>1.3619000000000001</v>
      </c>
      <c r="D781">
        <f>0.8818</f>
        <v>0.88180000000000003</v>
      </c>
      <c r="E781">
        <f>1.2417</f>
        <v>1.2417</v>
      </c>
      <c r="F781">
        <f>3.287</f>
        <v>3.2869999999999999</v>
      </c>
    </row>
    <row r="782" spans="1:6" x14ac:dyDescent="0.25">
      <c r="A782" s="2">
        <v>43699</v>
      </c>
      <c r="B782">
        <f>1.5588</f>
        <v>1.5588</v>
      </c>
      <c r="C782">
        <f>1.3797</f>
        <v>1.3796999999999999</v>
      </c>
      <c r="D782">
        <f>0.8922</f>
        <v>0.89219999999999999</v>
      </c>
      <c r="E782">
        <f>1.2742</f>
        <v>1.2742</v>
      </c>
      <c r="F782">
        <f>3.3332</f>
        <v>3.3332000000000002</v>
      </c>
    </row>
    <row r="783" spans="1:6" x14ac:dyDescent="0.25">
      <c r="A783" s="2">
        <v>43698</v>
      </c>
      <c r="B783">
        <f>1.5431</f>
        <v>1.5430999999999999</v>
      </c>
      <c r="C783">
        <f>1.3677</f>
        <v>1.3676999999999999</v>
      </c>
      <c r="D783">
        <f>0.884</f>
        <v>0.88400000000000001</v>
      </c>
      <c r="E783">
        <f>1.2596</f>
        <v>1.2596000000000001</v>
      </c>
      <c r="F783">
        <f>3.3565</f>
        <v>3.3565</v>
      </c>
    </row>
    <row r="784" spans="1:6" x14ac:dyDescent="0.25">
      <c r="A784" s="2">
        <v>43697</v>
      </c>
      <c r="B784">
        <f>1.5302</f>
        <v>1.5302</v>
      </c>
      <c r="C784">
        <f>1.3489</f>
        <v>1.3489</v>
      </c>
      <c r="D784">
        <f>0.8841</f>
        <v>0.8841</v>
      </c>
      <c r="E784">
        <f>1.2211</f>
        <v>1.2211000000000001</v>
      </c>
      <c r="F784">
        <f>3.3359</f>
        <v>3.3359000000000001</v>
      </c>
    </row>
    <row r="785" spans="1:6" x14ac:dyDescent="0.25">
      <c r="A785" s="2">
        <v>43696</v>
      </c>
      <c r="B785">
        <f>1.5624</f>
        <v>1.5624</v>
      </c>
      <c r="C785">
        <f>1.3756</f>
        <v>1.3755999999999999</v>
      </c>
      <c r="D785">
        <f>0.9043</f>
        <v>0.90429999999999999</v>
      </c>
      <c r="E785">
        <f>1.244</f>
        <v>1.244</v>
      </c>
      <c r="F785">
        <f>3.3745</f>
        <v>3.3744999999999998</v>
      </c>
    </row>
    <row r="786" spans="1:6" x14ac:dyDescent="0.25">
      <c r="A786" s="2">
        <v>43693</v>
      </c>
      <c r="B786">
        <f>1.55</f>
        <v>1.55</v>
      </c>
      <c r="C786">
        <f>1.3607</f>
        <v>1.3607</v>
      </c>
      <c r="D786">
        <f>0.9012</f>
        <v>0.9012</v>
      </c>
      <c r="E786">
        <f>1.2129</f>
        <v>1.2129000000000001</v>
      </c>
      <c r="F786">
        <f>3.351</f>
        <v>3.351</v>
      </c>
    </row>
    <row r="787" spans="1:6" x14ac:dyDescent="0.25">
      <c r="A787" s="2">
        <v>43692</v>
      </c>
      <c r="B787">
        <f>1.5502</f>
        <v>1.5502</v>
      </c>
      <c r="C787">
        <f>1.3539</f>
        <v>1.3539000000000001</v>
      </c>
      <c r="D787">
        <f>0.8855</f>
        <v>0.88549999999999995</v>
      </c>
      <c r="E787">
        <f>1.2162</f>
        <v>1.2161999999999999</v>
      </c>
      <c r="F787">
        <f>3.2992</f>
        <v>3.2991999999999999</v>
      </c>
    </row>
    <row r="788" spans="1:6" x14ac:dyDescent="0.25">
      <c r="A788" s="2">
        <v>43691</v>
      </c>
      <c r="B788">
        <f>1.5744</f>
        <v>1.5744</v>
      </c>
      <c r="C788">
        <f>1.3793</f>
        <v>1.3793</v>
      </c>
      <c r="D788">
        <f>0.8619</f>
        <v>0.8619</v>
      </c>
      <c r="E788">
        <f>1.2554</f>
        <v>1.2554000000000001</v>
      </c>
      <c r="F788">
        <f>3.2647</f>
        <v>3.2646999999999999</v>
      </c>
    </row>
    <row r="789" spans="1:6" x14ac:dyDescent="0.25">
      <c r="A789" s="2">
        <v>43690</v>
      </c>
      <c r="B789">
        <f>1.6276</f>
        <v>1.6275999999999999</v>
      </c>
      <c r="C789">
        <f>1.4384</f>
        <v>1.4383999999999999</v>
      </c>
      <c r="D789">
        <f>0.9007</f>
        <v>0.90069999999999995</v>
      </c>
      <c r="E789">
        <f>1.3376</f>
        <v>1.3375999999999999</v>
      </c>
      <c r="F789">
        <f>3.2391</f>
        <v>3.2391000000000001</v>
      </c>
    </row>
    <row r="790" spans="1:6" x14ac:dyDescent="0.25">
      <c r="A790" s="2">
        <v>43689</v>
      </c>
      <c r="B790">
        <f>1.6077</f>
        <v>1.6076999999999999</v>
      </c>
      <c r="C790">
        <f>1.397</f>
        <v>1.397</v>
      </c>
      <c r="D790">
        <f>0.9073</f>
        <v>0.9073</v>
      </c>
      <c r="E790">
        <f>1.2799</f>
        <v>1.2799</v>
      </c>
      <c r="F790">
        <f>3.2283</f>
        <v>3.2282999999999999</v>
      </c>
    </row>
    <row r="791" spans="1:6" x14ac:dyDescent="0.25">
      <c r="A791" s="2">
        <v>43686</v>
      </c>
      <c r="B791">
        <f>1.654</f>
        <v>1.6539999999999999</v>
      </c>
      <c r="C791">
        <f>1.4428</f>
        <v>1.4428000000000001</v>
      </c>
      <c r="D791">
        <f>0.8917</f>
        <v>0.89170000000000005</v>
      </c>
      <c r="E791">
        <f>1.3056</f>
        <v>1.3056000000000001</v>
      </c>
      <c r="F791">
        <f>3.2138</f>
        <v>3.2138</v>
      </c>
    </row>
    <row r="792" spans="1:6" x14ac:dyDescent="0.25">
      <c r="A792" s="2">
        <v>43685</v>
      </c>
      <c r="B792">
        <f>1.6531</f>
        <v>1.6531</v>
      </c>
      <c r="C792">
        <f>1.4418</f>
        <v>1.4418</v>
      </c>
      <c r="D792">
        <f>0.8686</f>
        <v>0.86860000000000004</v>
      </c>
      <c r="E792">
        <f>1.3022</f>
        <v>1.3022</v>
      </c>
      <c r="F792">
        <f>3.2064</f>
        <v>3.2063999999999999</v>
      </c>
    </row>
    <row r="793" spans="1:6" x14ac:dyDescent="0.25">
      <c r="A793" s="2">
        <v>43684</v>
      </c>
      <c r="B793">
        <f>1.6282</f>
        <v>1.6282000000000001</v>
      </c>
      <c r="C793">
        <f>1.4189</f>
        <v>1.4189000000000001</v>
      </c>
      <c r="D793">
        <f>0.8398</f>
        <v>0.83979999999999999</v>
      </c>
      <c r="E793">
        <f>1.2505</f>
        <v>1.2504999999999999</v>
      </c>
      <c r="F793">
        <f>3.189</f>
        <v>3.1890000000000001</v>
      </c>
    </row>
    <row r="794" spans="1:6" x14ac:dyDescent="0.25">
      <c r="A794" s="2">
        <v>43683</v>
      </c>
      <c r="B794">
        <f>1.6159</f>
        <v>1.6158999999999999</v>
      </c>
      <c r="C794">
        <f>1.4059</f>
        <v>1.4058999999999999</v>
      </c>
      <c r="D794">
        <f>0.8641</f>
        <v>0.86409999999999998</v>
      </c>
      <c r="E794">
        <f>1.2615</f>
        <v>1.2615000000000001</v>
      </c>
      <c r="F794">
        <f>3.2284</f>
        <v>3.2284000000000002</v>
      </c>
    </row>
    <row r="795" spans="1:6" x14ac:dyDescent="0.25">
      <c r="A795" s="2">
        <v>43682</v>
      </c>
      <c r="B795">
        <f>1.5979</f>
        <v>1.5979000000000001</v>
      </c>
      <c r="C795">
        <f>1.392</f>
        <v>1.3919999999999999</v>
      </c>
      <c r="D795">
        <f>0.8346</f>
        <v>0.83460000000000001</v>
      </c>
      <c r="E795">
        <f>1.2584</f>
        <v>1.2584</v>
      </c>
      <c r="F795">
        <f>3.2345</f>
        <v>3.2345000000000002</v>
      </c>
    </row>
    <row r="796" spans="1:6" x14ac:dyDescent="0.25">
      <c r="A796" s="2">
        <v>43679</v>
      </c>
      <c r="B796">
        <f>1.6575</f>
        <v>1.6575</v>
      </c>
      <c r="C796">
        <f>1.4629</f>
        <v>1.4629000000000001</v>
      </c>
      <c r="D796">
        <f>0.8482</f>
        <v>0.84819999999999995</v>
      </c>
      <c r="E796">
        <f>1.3328</f>
        <v>1.3328</v>
      </c>
      <c r="F796">
        <f>3.2354</f>
        <v>3.2353999999999998</v>
      </c>
    </row>
    <row r="797" spans="1:6" x14ac:dyDescent="0.25">
      <c r="A797" s="2">
        <v>43678</v>
      </c>
      <c r="B797">
        <f>1.6887</f>
        <v>1.6887000000000001</v>
      </c>
      <c r="C797">
        <f>1.4804</f>
        <v>1.4803999999999999</v>
      </c>
      <c r="D797">
        <f>0.9025</f>
        <v>0.90249999999999997</v>
      </c>
      <c r="E797">
        <f>1.3648</f>
        <v>1.3648</v>
      </c>
      <c r="F797">
        <f>3.2638</f>
        <v>3.2637999999999998</v>
      </c>
    </row>
    <row r="798" spans="1:6" x14ac:dyDescent="0.25">
      <c r="A798" s="2">
        <v>43677</v>
      </c>
      <c r="B798">
        <f>1.7497</f>
        <v>1.7497</v>
      </c>
      <c r="C798">
        <f>1.5479</f>
        <v>1.5479000000000001</v>
      </c>
      <c r="D798">
        <f>0.9312</f>
        <v>0.93120000000000003</v>
      </c>
      <c r="E798">
        <f>1.4392</f>
        <v>1.4392</v>
      </c>
      <c r="F798">
        <f>3.2782</f>
        <v>3.2782</v>
      </c>
    </row>
    <row r="799" spans="1:6" x14ac:dyDescent="0.25">
      <c r="A799" s="2">
        <v>43676</v>
      </c>
      <c r="B799">
        <f>1.7762</f>
        <v>1.7762</v>
      </c>
      <c r="C799">
        <f>1.5858</f>
        <v>1.5858000000000001</v>
      </c>
      <c r="D799">
        <f>0.9352</f>
        <v>0.93520000000000003</v>
      </c>
      <c r="E799">
        <f>1.4476</f>
        <v>1.4476</v>
      </c>
      <c r="F799">
        <f>3.2423</f>
        <v>3.2423000000000002</v>
      </c>
    </row>
    <row r="800" spans="1:6" x14ac:dyDescent="0.25">
      <c r="A800" s="2">
        <v>43675</v>
      </c>
      <c r="B800">
        <f>1.7677</f>
        <v>1.7677</v>
      </c>
      <c r="C800">
        <f>1.5768</f>
        <v>1.5768</v>
      </c>
      <c r="D800">
        <f>0.9592</f>
        <v>0.95920000000000005</v>
      </c>
      <c r="E800">
        <f>1.4555</f>
        <v>1.4555</v>
      </c>
      <c r="F800">
        <f>3.2291</f>
        <v>3.2290999999999999</v>
      </c>
    </row>
    <row r="801" spans="1:6" x14ac:dyDescent="0.25">
      <c r="A801" s="2">
        <v>43672</v>
      </c>
      <c r="B801">
        <f>1.7794</f>
        <v>1.7794000000000001</v>
      </c>
      <c r="C801">
        <f>1.5819</f>
        <v>1.5819000000000001</v>
      </c>
      <c r="D801">
        <f>0.9833</f>
        <v>0.98329999999999995</v>
      </c>
      <c r="E801">
        <f>1.4612</f>
        <v>1.4612000000000001</v>
      </c>
      <c r="F801">
        <f>3.2164</f>
        <v>3.2164000000000001</v>
      </c>
    </row>
    <row r="802" spans="1:6" x14ac:dyDescent="0.25">
      <c r="A802" s="2">
        <v>43671</v>
      </c>
      <c r="B802">
        <f>1.796</f>
        <v>1.796</v>
      </c>
      <c r="C802">
        <f>1.5956</f>
        <v>1.5955999999999999</v>
      </c>
      <c r="D802">
        <f>0.8312</f>
        <v>0.83120000000000005</v>
      </c>
      <c r="E802">
        <f>1.4844</f>
        <v>1.4843999999999999</v>
      </c>
      <c r="F802">
        <f>3.199</f>
        <v>3.1989999999999998</v>
      </c>
    </row>
    <row r="803" spans="1:6" x14ac:dyDescent="0.25">
      <c r="A803" s="2">
        <v>43670</v>
      </c>
      <c r="B803">
        <f>1.7901</f>
        <v>1.7901</v>
      </c>
      <c r="C803">
        <f>1.591</f>
        <v>1.591</v>
      </c>
      <c r="D803">
        <f>0.8238</f>
        <v>0.82379999999999998</v>
      </c>
      <c r="E803">
        <f>1.4736</f>
        <v>1.4736</v>
      </c>
      <c r="F803">
        <f>3.2203</f>
        <v>3.2202999999999999</v>
      </c>
    </row>
    <row r="804" spans="1:6" x14ac:dyDescent="0.25">
      <c r="A804" s="2">
        <v>43669</v>
      </c>
      <c r="B804">
        <f>1.8074</f>
        <v>1.8073999999999999</v>
      </c>
      <c r="C804">
        <f>1.61</f>
        <v>1.61</v>
      </c>
      <c r="D804">
        <f>0.8181</f>
        <v>0.81810000000000005</v>
      </c>
      <c r="E804">
        <f>1.4833</f>
        <v>1.4833000000000001</v>
      </c>
      <c r="F804">
        <f>3.226</f>
        <v>3.226</v>
      </c>
    </row>
    <row r="805" spans="1:6" x14ac:dyDescent="0.25">
      <c r="A805" s="2">
        <v>43668</v>
      </c>
      <c r="B805">
        <f>1.7953</f>
        <v>1.7952999999999999</v>
      </c>
      <c r="C805">
        <f>1.5976</f>
        <v>1.5975999999999999</v>
      </c>
      <c r="D805">
        <f>0.8353</f>
        <v>0.83530000000000004</v>
      </c>
      <c r="E805">
        <f>1.4748</f>
        <v>1.4748000000000001</v>
      </c>
      <c r="F805">
        <f>3.2136</f>
        <v>3.2136</v>
      </c>
    </row>
    <row r="806" spans="1:6" x14ac:dyDescent="0.25">
      <c r="A806" s="2">
        <v>43665</v>
      </c>
      <c r="B806">
        <f>1.7909</f>
        <v>1.7908999999999999</v>
      </c>
      <c r="C806">
        <f>1.6037</f>
        <v>1.6036999999999999</v>
      </c>
      <c r="D806">
        <f>0.8421</f>
        <v>0.84209999999999996</v>
      </c>
      <c r="E806">
        <f>1.4677</f>
        <v>1.4677</v>
      </c>
      <c r="F806">
        <f>3.2012</f>
        <v>3.2012</v>
      </c>
    </row>
    <row r="807" spans="1:6" x14ac:dyDescent="0.25">
      <c r="A807" s="2">
        <v>43664</v>
      </c>
      <c r="B807">
        <f>1.7637</f>
        <v>1.7637</v>
      </c>
      <c r="C807">
        <f>1.6173</f>
        <v>1.6173</v>
      </c>
      <c r="D807">
        <f>0.7976</f>
        <v>0.79759999999999998</v>
      </c>
      <c r="E807">
        <f>1.474</f>
        <v>1.474</v>
      </c>
      <c r="F807">
        <f>3.2038</f>
        <v>3.2038000000000002</v>
      </c>
    </row>
    <row r="808" spans="1:6" x14ac:dyDescent="0.25">
      <c r="A808" s="2">
        <v>43663</v>
      </c>
      <c r="B808">
        <f>1.7514</f>
        <v>1.7514000000000001</v>
      </c>
      <c r="C808">
        <f>1.6016</f>
        <v>1.6015999999999999</v>
      </c>
      <c r="D808">
        <f>0.7694</f>
        <v>0.76939999999999997</v>
      </c>
      <c r="E808">
        <f>1.4812</f>
        <v>1.4812000000000001</v>
      </c>
      <c r="F808">
        <f>3.2089</f>
        <v>3.2088999999999999</v>
      </c>
    </row>
    <row r="809" spans="1:6" x14ac:dyDescent="0.25">
      <c r="A809" s="2">
        <v>43662</v>
      </c>
      <c r="B809">
        <f>1.7932</f>
        <v>1.7931999999999999</v>
      </c>
      <c r="C809">
        <f>1.6419</f>
        <v>1.6418999999999999</v>
      </c>
      <c r="D809">
        <f>0.785</f>
        <v>0.78500000000000003</v>
      </c>
      <c r="E809">
        <f>1.5225</f>
        <v>1.5225</v>
      </c>
      <c r="F809">
        <f>3.1778</f>
        <v>3.1778</v>
      </c>
    </row>
    <row r="810" spans="1:6" x14ac:dyDescent="0.25">
      <c r="A810" s="2">
        <v>43661</v>
      </c>
      <c r="B810">
        <f>1.7848</f>
        <v>1.7847999999999999</v>
      </c>
      <c r="C810">
        <f>1.6346</f>
        <v>1.6346000000000001</v>
      </c>
      <c r="D810">
        <f>0.8013</f>
        <v>0.80130000000000001</v>
      </c>
      <c r="E810">
        <f>1.5405</f>
        <v>1.5405</v>
      </c>
      <c r="F810">
        <f>3.1525</f>
        <v>3.1524999999999999</v>
      </c>
    </row>
    <row r="811" spans="1:6" x14ac:dyDescent="0.25">
      <c r="A811" s="2">
        <v>43658</v>
      </c>
      <c r="B811">
        <f>1.7756</f>
        <v>1.7756000000000001</v>
      </c>
      <c r="C811">
        <f>1.6388</f>
        <v>1.6388</v>
      </c>
      <c r="D811">
        <f>0.812</f>
        <v>0.81200000000000006</v>
      </c>
      <c r="E811">
        <f>1.245</f>
        <v>1.2450000000000001</v>
      </c>
      <c r="F811">
        <f>3.1603</f>
        <v>3.1602999999999999</v>
      </c>
    </row>
    <row r="812" spans="1:6" x14ac:dyDescent="0.25">
      <c r="A812" s="2">
        <v>43657</v>
      </c>
      <c r="B812">
        <f>1.769</f>
        <v>1.7689999999999999</v>
      </c>
      <c r="C812">
        <f>1.6362</f>
        <v>1.6362000000000001</v>
      </c>
      <c r="D812">
        <f>0.7887</f>
        <v>0.78869999999999996</v>
      </c>
      <c r="E812">
        <f>1.2497</f>
        <v>1.2497</v>
      </c>
      <c r="F812">
        <f>3.1502</f>
        <v>3.1501999999999999</v>
      </c>
    </row>
    <row r="813" spans="1:6" x14ac:dyDescent="0.25">
      <c r="A813" s="2">
        <v>43656</v>
      </c>
      <c r="B813">
        <f>1.743</f>
        <v>1.7430000000000001</v>
      </c>
      <c r="C813">
        <f>1.6023</f>
        <v>1.6023000000000001</v>
      </c>
      <c r="D813">
        <f>0.7676</f>
        <v>0.76759999999999995</v>
      </c>
      <c r="E813">
        <f>1.2242</f>
        <v>1.2242</v>
      </c>
      <c r="F813">
        <f>3.1215</f>
        <v>3.1215000000000002</v>
      </c>
    </row>
    <row r="814" spans="1:6" x14ac:dyDescent="0.25">
      <c r="A814" s="2">
        <v>43655</v>
      </c>
      <c r="B814">
        <f>1.7262</f>
        <v>1.7262</v>
      </c>
      <c r="C814">
        <f>1.5809</f>
        <v>1.5809</v>
      </c>
      <c r="D814">
        <f>0.73</f>
        <v>0.73</v>
      </c>
      <c r="E814">
        <f>1.1843</f>
        <v>1.1842999999999999</v>
      </c>
      <c r="F814">
        <f>3.1386</f>
        <v>3.1385999999999998</v>
      </c>
    </row>
    <row r="815" spans="1:6" x14ac:dyDescent="0.25">
      <c r="A815" s="2">
        <v>43654</v>
      </c>
      <c r="B815">
        <f>1.7054</f>
        <v>1.7054</v>
      </c>
      <c r="C815">
        <f>1.554</f>
        <v>1.554</v>
      </c>
      <c r="D815">
        <f>0.732</f>
        <v>0.73199999999999998</v>
      </c>
      <c r="E815">
        <f>1.1646</f>
        <v>1.1646000000000001</v>
      </c>
      <c r="F815">
        <f>3.1345</f>
        <v>3.1345000000000001</v>
      </c>
    </row>
    <row r="816" spans="1:6" x14ac:dyDescent="0.25">
      <c r="A816" s="2">
        <v>43651</v>
      </c>
      <c r="B816">
        <f>1.6995</f>
        <v>1.6995</v>
      </c>
      <c r="C816">
        <f>1.5559</f>
        <v>1.5559000000000001</v>
      </c>
      <c r="D816">
        <f>0.7432</f>
        <v>0.74319999999999997</v>
      </c>
      <c r="E816">
        <f>1.1797</f>
        <v>1.1797</v>
      </c>
      <c r="F816">
        <f>3.1412</f>
        <v>3.1412</v>
      </c>
    </row>
    <row r="817" spans="1:6" x14ac:dyDescent="0.25">
      <c r="A817" s="2">
        <v>43650</v>
      </c>
      <c r="B817">
        <f>1.6531</f>
        <v>1.6531</v>
      </c>
      <c r="C817">
        <f>1.5112</f>
        <v>1.5112000000000001</v>
      </c>
      <c r="D817">
        <f>0.6954</f>
        <v>0.69540000000000002</v>
      </c>
      <c r="E817">
        <f>1.14</f>
        <v>1.1399999999999999</v>
      </c>
      <c r="F817">
        <f>3.1183</f>
        <v>3.1183000000000001</v>
      </c>
    </row>
    <row r="818" spans="1:6" x14ac:dyDescent="0.25">
      <c r="A818" s="2">
        <v>43649</v>
      </c>
      <c r="B818">
        <f>1.6531</f>
        <v>1.6531</v>
      </c>
      <c r="C818">
        <f>1.5112</f>
        <v>1.5112000000000001</v>
      </c>
      <c r="D818">
        <f>0.6886</f>
        <v>0.68859999999999999</v>
      </c>
      <c r="E818">
        <f>1.14</f>
        <v>1.1399999999999999</v>
      </c>
      <c r="F818">
        <f>3.1386</f>
        <v>3.1385999999999998</v>
      </c>
    </row>
    <row r="819" spans="1:6" x14ac:dyDescent="0.25">
      <c r="A819" s="2">
        <v>43648</v>
      </c>
      <c r="B819">
        <f>1.6515</f>
        <v>1.6515</v>
      </c>
      <c r="C819">
        <f>1.4978</f>
        <v>1.4978</v>
      </c>
      <c r="D819">
        <f>0.6898</f>
        <v>0.68979999999999997</v>
      </c>
      <c r="E819">
        <f>1.1234</f>
        <v>1.1234</v>
      </c>
      <c r="F819">
        <f>3.1497</f>
        <v>3.1497000000000002</v>
      </c>
    </row>
    <row r="820" spans="1:6" x14ac:dyDescent="0.25">
      <c r="A820" s="2">
        <v>43647</v>
      </c>
      <c r="B820">
        <f>1.6933</f>
        <v>1.6933</v>
      </c>
      <c r="C820">
        <f>1.5366</f>
        <v>1.5366</v>
      </c>
      <c r="D820">
        <f>0.7091</f>
        <v>0.70909999999999995</v>
      </c>
      <c r="E820">
        <f>1.1617</f>
        <v>1.1617</v>
      </c>
      <c r="F820">
        <f>3.1585</f>
        <v>3.1585000000000001</v>
      </c>
    </row>
    <row r="821" spans="1:6" x14ac:dyDescent="0.25">
      <c r="A821" s="2">
        <v>43644</v>
      </c>
      <c r="B821">
        <f>1.7003</f>
        <v>1.7002999999999999</v>
      </c>
      <c r="C821">
        <f>1.5369</f>
        <v>1.5368999999999999</v>
      </c>
      <c r="D821">
        <f>0.7189</f>
        <v>0.71889999999999998</v>
      </c>
      <c r="E821">
        <f>1.1644</f>
        <v>1.1644000000000001</v>
      </c>
      <c r="F821">
        <f>3.1508</f>
        <v>3.1507999999999998</v>
      </c>
    </row>
    <row r="822" spans="1:6" x14ac:dyDescent="0.25">
      <c r="A822" s="2">
        <v>43643</v>
      </c>
      <c r="B822">
        <f>1.6938</f>
        <v>1.6938</v>
      </c>
      <c r="C822">
        <f>1.543</f>
        <v>1.5429999999999999</v>
      </c>
      <c r="D822">
        <f>0.7156</f>
        <v>0.71560000000000001</v>
      </c>
      <c r="E822">
        <f>1.1539</f>
        <v>1.1538999999999999</v>
      </c>
      <c r="F822">
        <f>3.1844</f>
        <v>3.1844000000000001</v>
      </c>
    </row>
    <row r="823" spans="1:6" x14ac:dyDescent="0.25">
      <c r="A823" s="2">
        <v>43642</v>
      </c>
      <c r="B823">
        <f>1.716</f>
        <v>1.716</v>
      </c>
      <c r="C823">
        <f>1.5725</f>
        <v>1.5725</v>
      </c>
      <c r="D823">
        <f>0.7327</f>
        <v>0.73270000000000002</v>
      </c>
      <c r="E823">
        <f>1.1599</f>
        <v>1.1598999999999999</v>
      </c>
      <c r="F823">
        <f>3.1999</f>
        <v>3.1999</v>
      </c>
    </row>
    <row r="824" spans="1:6" x14ac:dyDescent="0.25">
      <c r="A824" s="2">
        <v>43641</v>
      </c>
      <c r="B824">
        <f>1.6914</f>
        <v>1.6914</v>
      </c>
      <c r="C824">
        <f>1.5536</f>
        <v>1.5536000000000001</v>
      </c>
      <c r="D824">
        <f>0.7282</f>
        <v>0.72819999999999996</v>
      </c>
      <c r="E824">
        <f>1.1275</f>
        <v>1.1274999999999999</v>
      </c>
      <c r="F824">
        <f>3.2032</f>
        <v>3.2031999999999998</v>
      </c>
    </row>
    <row r="825" spans="1:6" x14ac:dyDescent="0.25">
      <c r="A825" s="2">
        <v>43640</v>
      </c>
      <c r="B825">
        <f>1.7197</f>
        <v>1.7197</v>
      </c>
      <c r="C825">
        <f>1.5899</f>
        <v>1.5899000000000001</v>
      </c>
      <c r="D825">
        <f>0.7736</f>
        <v>0.77359999999999995</v>
      </c>
      <c r="E825">
        <f>1.1468</f>
        <v>1.1468</v>
      </c>
      <c r="F825">
        <f>3.2044</f>
        <v>3.2044000000000001</v>
      </c>
    </row>
    <row r="826" spans="1:6" x14ac:dyDescent="0.25">
      <c r="A826" s="2">
        <v>43637</v>
      </c>
      <c r="B826">
        <f>1.735</f>
        <v>1.7350000000000001</v>
      </c>
      <c r="C826">
        <f>1.6106</f>
        <v>1.6106</v>
      </c>
      <c r="D826">
        <f>0.8088</f>
        <v>0.80879999999999996</v>
      </c>
      <c r="E826">
        <f>1.1769</f>
        <v>1.1769000000000001</v>
      </c>
      <c r="F826">
        <f>3.204</f>
        <v>3.2040000000000002</v>
      </c>
    </row>
    <row r="827" spans="1:6" x14ac:dyDescent="0.25">
      <c r="A827" s="2">
        <v>43636</v>
      </c>
      <c r="B827">
        <f>1.7463</f>
        <v>1.7463</v>
      </c>
      <c r="C827">
        <f>1.6259</f>
        <v>1.6258999999999999</v>
      </c>
      <c r="D827">
        <f>0.8085</f>
        <v>0.8085</v>
      </c>
      <c r="E827">
        <f>1.2263</f>
        <v>1.2262999999999999</v>
      </c>
      <c r="F827">
        <f>3.2213</f>
        <v>3.2212999999999998</v>
      </c>
    </row>
    <row r="828" spans="1:6" x14ac:dyDescent="0.25">
      <c r="A828" s="2">
        <v>43635</v>
      </c>
      <c r="B828">
        <f>1.6893</f>
        <v>1.6893</v>
      </c>
      <c r="C828">
        <f>1.5501</f>
        <v>1.5501</v>
      </c>
      <c r="D828">
        <f>0.776</f>
        <v>0.77600000000000002</v>
      </c>
      <c r="E828">
        <f>1.1321</f>
        <v>1.1321000000000001</v>
      </c>
      <c r="F828">
        <f>3.24</f>
        <v>3.24</v>
      </c>
    </row>
    <row r="829" spans="1:6" x14ac:dyDescent="0.25">
      <c r="A829" s="2">
        <v>43634</v>
      </c>
      <c r="B829">
        <f>1.645</f>
        <v>1.645</v>
      </c>
      <c r="C829">
        <f>1.5067</f>
        <v>1.5066999999999999</v>
      </c>
      <c r="D829">
        <f>0.7461</f>
        <v>0.74609999999999999</v>
      </c>
      <c r="E829">
        <f>1.1534</f>
        <v>1.1534</v>
      </c>
      <c r="F829">
        <f>3.245</f>
        <v>3.2450000000000001</v>
      </c>
    </row>
    <row r="830" spans="1:6" x14ac:dyDescent="0.25">
      <c r="A830" s="2">
        <v>43633</v>
      </c>
      <c r="B830">
        <f>1.6224</f>
        <v>1.6224000000000001</v>
      </c>
      <c r="C830">
        <f>1.4625</f>
        <v>1.4624999999999999</v>
      </c>
      <c r="D830">
        <f>0.6821</f>
        <v>0.68210000000000004</v>
      </c>
      <c r="E830">
        <f>1.1169</f>
        <v>1.1169</v>
      </c>
      <c r="F830">
        <f>3.253</f>
        <v>3.2530000000000001</v>
      </c>
    </row>
    <row r="831" spans="1:6" x14ac:dyDescent="0.25">
      <c r="A831" s="2">
        <v>43630</v>
      </c>
      <c r="B831">
        <f>1.6399</f>
        <v>1.6398999999999999</v>
      </c>
      <c r="C831">
        <f>1.4817</f>
        <v>1.4817</v>
      </c>
      <c r="D831">
        <f>0.6916</f>
        <v>0.69159999999999999</v>
      </c>
      <c r="E831">
        <f>1.1501</f>
        <v>1.1500999999999999</v>
      </c>
      <c r="F831">
        <f>3.2597</f>
        <v>3.2597</v>
      </c>
    </row>
    <row r="832" spans="1:6" x14ac:dyDescent="0.25">
      <c r="A832" s="2">
        <v>43629</v>
      </c>
      <c r="B832">
        <f>1.6821</f>
        <v>1.6820999999999999</v>
      </c>
      <c r="C832">
        <f>1.5187</f>
        <v>1.5186999999999999</v>
      </c>
      <c r="D832">
        <f>0.7251</f>
        <v>0.72509999999999997</v>
      </c>
      <c r="E832">
        <f>1.1884</f>
        <v>1.1883999999999999</v>
      </c>
      <c r="F832">
        <f>3.2808</f>
        <v>3.2808000000000002</v>
      </c>
    </row>
    <row r="833" spans="1:6" x14ac:dyDescent="0.25">
      <c r="A833" s="2">
        <v>43628</v>
      </c>
      <c r="B833">
        <f>1.7034</f>
        <v>1.7034</v>
      </c>
      <c r="C833">
        <f>1.5326</f>
        <v>1.5326</v>
      </c>
      <c r="D833">
        <f>0.7413</f>
        <v>0.74129999999999996</v>
      </c>
      <c r="E833">
        <f>1.217</f>
        <v>1.2170000000000001</v>
      </c>
      <c r="F833">
        <f>3.2868</f>
        <v>3.2867999999999999</v>
      </c>
    </row>
    <row r="834" spans="1:6" x14ac:dyDescent="0.25">
      <c r="A834" s="2">
        <v>43627</v>
      </c>
      <c r="B834">
        <f>1.7222</f>
        <v>1.7222</v>
      </c>
      <c r="C834">
        <f>1.5753</f>
        <v>1.5752999999999999</v>
      </c>
      <c r="D834">
        <f>0.7702</f>
        <v>0.7702</v>
      </c>
      <c r="E834">
        <f>1.2918</f>
        <v>1.2918000000000001</v>
      </c>
      <c r="F834">
        <f>3.3547</f>
        <v>3.3546999999999998</v>
      </c>
    </row>
    <row r="835" spans="1:6" x14ac:dyDescent="0.25">
      <c r="A835" s="2">
        <v>43626</v>
      </c>
      <c r="B835">
        <f>1.7411</f>
        <v>1.7411000000000001</v>
      </c>
      <c r="C835">
        <f>1.6005</f>
        <v>1.6005</v>
      </c>
      <c r="D835">
        <f>0.7853</f>
        <v>0.7853</v>
      </c>
      <c r="E835">
        <f>1.2964</f>
        <v>1.2964</v>
      </c>
      <c r="F835">
        <f>3.3266</f>
        <v>3.3266</v>
      </c>
    </row>
    <row r="836" spans="1:6" x14ac:dyDescent="0.25">
      <c r="A836" s="2">
        <v>43623</v>
      </c>
      <c r="B836">
        <f>1.7494</f>
        <v>1.7494000000000001</v>
      </c>
      <c r="C836">
        <f>1.619</f>
        <v>1.619</v>
      </c>
      <c r="D836">
        <f>0.7643</f>
        <v>0.76429999999999998</v>
      </c>
      <c r="E836">
        <f>1.3179</f>
        <v>1.3179000000000001</v>
      </c>
      <c r="F836">
        <f>3.2879</f>
        <v>3.2879</v>
      </c>
    </row>
    <row r="837" spans="1:6" x14ac:dyDescent="0.25">
      <c r="A837" s="2">
        <v>43622</v>
      </c>
      <c r="B837">
        <f>1.7594</f>
        <v>1.7594000000000001</v>
      </c>
      <c r="C837">
        <f>1.6153</f>
        <v>1.6153</v>
      </c>
      <c r="D837">
        <f>0.7732</f>
        <v>0.7732</v>
      </c>
      <c r="E837">
        <f>1.3178</f>
        <v>1.3178000000000001</v>
      </c>
      <c r="F837">
        <f>3.2825</f>
        <v>3.2825000000000002</v>
      </c>
    </row>
    <row r="838" spans="1:6" x14ac:dyDescent="0.25">
      <c r="A838" s="2">
        <v>43621</v>
      </c>
      <c r="B838">
        <f>1.7704</f>
        <v>1.7704</v>
      </c>
      <c r="C838">
        <f>1.6047</f>
        <v>1.6047</v>
      </c>
      <c r="D838">
        <f>0.8193</f>
        <v>0.81930000000000003</v>
      </c>
      <c r="E838">
        <f>1.2787</f>
        <v>1.2786999999999999</v>
      </c>
      <c r="F838">
        <f>3.2558</f>
        <v>3.2557999999999998</v>
      </c>
    </row>
    <row r="839" spans="1:6" x14ac:dyDescent="0.25">
      <c r="A839" s="2">
        <v>43620</v>
      </c>
      <c r="B839">
        <f>1.7625</f>
        <v>1.7625</v>
      </c>
      <c r="C839">
        <f>1.6014</f>
        <v>1.6013999999999999</v>
      </c>
      <c r="D839">
        <f>0.8264</f>
        <v>0.82640000000000002</v>
      </c>
      <c r="E839">
        <f>1.2951</f>
        <v>1.2950999999999999</v>
      </c>
      <c r="F839">
        <f>3.2347</f>
        <v>3.2347000000000001</v>
      </c>
    </row>
    <row r="840" spans="1:6" x14ac:dyDescent="0.25">
      <c r="A840" s="2">
        <v>43619</v>
      </c>
      <c r="B840">
        <f>1.7328</f>
        <v>1.7327999999999999</v>
      </c>
      <c r="C840">
        <f>1.5723</f>
        <v>1.5723</v>
      </c>
      <c r="D840">
        <f>0.8323</f>
        <v>0.83230000000000004</v>
      </c>
      <c r="E840">
        <f>1.2804</f>
        <v>1.2804</v>
      </c>
      <c r="F840">
        <f>3.2166</f>
        <v>3.2166000000000001</v>
      </c>
    </row>
    <row r="841" spans="1:6" x14ac:dyDescent="0.25">
      <c r="A841" s="2">
        <v>43616</v>
      </c>
      <c r="B841">
        <f>1.742</f>
        <v>1.742</v>
      </c>
      <c r="C841">
        <f>1.5875</f>
        <v>1.5874999999999999</v>
      </c>
      <c r="D841">
        <f>0.8427</f>
        <v>0.8427</v>
      </c>
      <c r="E841">
        <f>1.3097</f>
        <v>1.3097000000000001</v>
      </c>
      <c r="F841">
        <f>3.1975</f>
        <v>3.1974999999999998</v>
      </c>
    </row>
    <row r="842" spans="1:6" x14ac:dyDescent="0.25">
      <c r="A842" s="2">
        <v>43615</v>
      </c>
      <c r="B842">
        <f>1.7498</f>
        <v>1.7498</v>
      </c>
      <c r="C842">
        <f>1.603</f>
        <v>1.603</v>
      </c>
      <c r="D842">
        <f>0.8618</f>
        <v>0.86180000000000001</v>
      </c>
      <c r="E842">
        <f>1.3757</f>
        <v>1.3756999999999999</v>
      </c>
      <c r="F842">
        <f>3.2312</f>
        <v>3.2311999999999999</v>
      </c>
    </row>
    <row r="843" spans="1:6" x14ac:dyDescent="0.25">
      <c r="A843" s="2">
        <v>43614</v>
      </c>
      <c r="B843">
        <f>1.7554</f>
        <v>1.7554000000000001</v>
      </c>
      <c r="C843">
        <f>1.6119</f>
        <v>1.6119000000000001</v>
      </c>
      <c r="D843">
        <f>0.8665</f>
        <v>0.86650000000000005</v>
      </c>
      <c r="E843">
        <f>1.41</f>
        <v>1.41</v>
      </c>
      <c r="F843">
        <f>3.2169</f>
        <v>3.2168999999999999</v>
      </c>
    </row>
    <row r="844" spans="1:6" x14ac:dyDescent="0.25">
      <c r="A844" s="2">
        <v>43613</v>
      </c>
      <c r="B844">
        <f>1.7365</f>
        <v>1.7364999999999999</v>
      </c>
      <c r="C844">
        <f>1.5914</f>
        <v>1.5913999999999999</v>
      </c>
      <c r="D844">
        <f>0.8791</f>
        <v>0.87909999999999999</v>
      </c>
      <c r="E844">
        <f>1.4145</f>
        <v>1.4145000000000001</v>
      </c>
      <c r="F844">
        <f>3.192</f>
        <v>3.1920000000000002</v>
      </c>
    </row>
    <row r="845" spans="1:6" x14ac:dyDescent="0.25">
      <c r="A845" s="2">
        <v>43612</v>
      </c>
      <c r="B845">
        <f>1.771</f>
        <v>1.7709999999999999</v>
      </c>
      <c r="C845">
        <f>1.6279</f>
        <v>1.6278999999999999</v>
      </c>
      <c r="D845">
        <f>0.8765</f>
        <v>0.87649999999999995</v>
      </c>
      <c r="E845">
        <f>1.4455</f>
        <v>1.4455</v>
      </c>
      <c r="F845" t="e">
        <f>NA()</f>
        <v>#N/A</v>
      </c>
    </row>
    <row r="846" spans="1:6" x14ac:dyDescent="0.25">
      <c r="A846" s="2">
        <v>43609</v>
      </c>
      <c r="B846">
        <f>1.771</f>
        <v>1.7709999999999999</v>
      </c>
      <c r="C846">
        <f>1.6279</f>
        <v>1.6278999999999999</v>
      </c>
      <c r="D846">
        <f>0.8788</f>
        <v>0.87880000000000003</v>
      </c>
      <c r="E846">
        <f>1.4444</f>
        <v>1.4443999999999999</v>
      </c>
      <c r="F846">
        <f>3.1653</f>
        <v>3.1652999999999998</v>
      </c>
    </row>
    <row r="847" spans="1:6" x14ac:dyDescent="0.25">
      <c r="A847" s="2">
        <v>43608</v>
      </c>
      <c r="B847">
        <f>1.7634</f>
        <v>1.7634000000000001</v>
      </c>
      <c r="C847">
        <f>1.632</f>
        <v>1.6319999999999999</v>
      </c>
      <c r="D847">
        <f>0.868</f>
        <v>0.86799999999999999</v>
      </c>
      <c r="E847">
        <f>1.4573</f>
        <v>1.4573</v>
      </c>
      <c r="F847">
        <f>3.1523</f>
        <v>3.1522999999999999</v>
      </c>
    </row>
    <row r="848" spans="1:6" x14ac:dyDescent="0.25">
      <c r="A848" s="2">
        <v>43607</v>
      </c>
      <c r="B848">
        <f>1.8007</f>
        <v>1.8007</v>
      </c>
      <c r="C848">
        <f>1.6859</f>
        <v>1.6859</v>
      </c>
      <c r="D848">
        <f>0.9193</f>
        <v>0.91930000000000001</v>
      </c>
      <c r="E848">
        <f>1.5574</f>
        <v>1.5573999999999999</v>
      </c>
      <c r="F848">
        <f>3.1913</f>
        <v>3.1913</v>
      </c>
    </row>
    <row r="849" spans="1:6" x14ac:dyDescent="0.25">
      <c r="A849" s="2">
        <v>43606</v>
      </c>
      <c r="B849">
        <f>1.84</f>
        <v>1.84</v>
      </c>
      <c r="C849">
        <f>1.7248</f>
        <v>1.7248000000000001</v>
      </c>
      <c r="D849">
        <f>0.9153</f>
        <v>0.9153</v>
      </c>
      <c r="E849">
        <f>1.6026</f>
        <v>1.6026</v>
      </c>
      <c r="F849">
        <f>3.1784</f>
        <v>3.1783999999999999</v>
      </c>
    </row>
    <row r="850" spans="1:6" x14ac:dyDescent="0.25">
      <c r="A850" s="2">
        <v>43605</v>
      </c>
      <c r="B850">
        <f>1.8231</f>
        <v>1.8230999999999999</v>
      </c>
      <c r="C850">
        <f>1.7127</f>
        <v>1.7126999999999999</v>
      </c>
      <c r="D850">
        <f>0.9152</f>
        <v>0.91520000000000001</v>
      </c>
      <c r="E850">
        <f>1.5927</f>
        <v>1.5927</v>
      </c>
      <c r="F850">
        <f>3.1727</f>
        <v>3.1726999999999999</v>
      </c>
    </row>
    <row r="851" spans="1:6" x14ac:dyDescent="0.25">
      <c r="A851" s="2">
        <v>43602</v>
      </c>
      <c r="B851">
        <f>1.8244</f>
        <v>1.8244</v>
      </c>
      <c r="C851">
        <f>1.7181</f>
        <v>1.7181</v>
      </c>
      <c r="D851">
        <f>0.908</f>
        <v>0.90800000000000003</v>
      </c>
      <c r="E851">
        <f>1.6122</f>
        <v>1.6122000000000001</v>
      </c>
      <c r="F851">
        <f>3.1557</f>
        <v>3.1556999999999999</v>
      </c>
    </row>
    <row r="852" spans="1:6" x14ac:dyDescent="0.25">
      <c r="A852" s="2">
        <v>43601</v>
      </c>
      <c r="B852">
        <f>1.8503</f>
        <v>1.8503000000000001</v>
      </c>
      <c r="C852">
        <f>1.7533</f>
        <v>1.7533000000000001</v>
      </c>
      <c r="D852">
        <f>0.9201</f>
        <v>0.92010000000000003</v>
      </c>
      <c r="E852">
        <f>1.6499</f>
        <v>1.6498999999999999</v>
      </c>
      <c r="F852">
        <f>3.1682</f>
        <v>3.1682000000000001</v>
      </c>
    </row>
    <row r="853" spans="1:6" x14ac:dyDescent="0.25">
      <c r="A853" s="2">
        <v>43600</v>
      </c>
      <c r="B853">
        <f>1.8448</f>
        <v>1.8448</v>
      </c>
      <c r="C853">
        <f>1.7445</f>
        <v>1.7444999999999999</v>
      </c>
      <c r="D853">
        <f>0.9305</f>
        <v>0.93049999999999999</v>
      </c>
      <c r="E853">
        <f>1.6164</f>
        <v>1.6164000000000001</v>
      </c>
      <c r="F853">
        <f>3.1629</f>
        <v>3.1629</v>
      </c>
    </row>
    <row r="854" spans="1:6" x14ac:dyDescent="0.25">
      <c r="A854" s="2">
        <v>43599</v>
      </c>
      <c r="B854">
        <f>1.8672</f>
        <v>1.8672</v>
      </c>
      <c r="C854">
        <f>1.7556</f>
        <v>1.7556</v>
      </c>
      <c r="D854">
        <f>0.9449</f>
        <v>0.94489999999999996</v>
      </c>
      <c r="E854">
        <f>1.6136</f>
        <v>1.6135999999999999</v>
      </c>
      <c r="F854">
        <f>3.17</f>
        <v>3.17</v>
      </c>
    </row>
    <row r="855" spans="1:6" x14ac:dyDescent="0.25">
      <c r="A855" s="2">
        <v>43598</v>
      </c>
      <c r="B855">
        <f>1.8541</f>
        <v>1.8541000000000001</v>
      </c>
      <c r="C855">
        <f>1.7322</f>
        <v>1.7322</v>
      </c>
      <c r="D855">
        <f>0.9647</f>
        <v>0.9647</v>
      </c>
      <c r="E855">
        <f>1.5701</f>
        <v>1.5701000000000001</v>
      </c>
      <c r="F855">
        <f>3.1679</f>
        <v>3.1678999999999999</v>
      </c>
    </row>
    <row r="856" spans="1:6" x14ac:dyDescent="0.25">
      <c r="A856" s="2">
        <v>43595</v>
      </c>
      <c r="B856">
        <f>1.8859</f>
        <v>1.8858999999999999</v>
      </c>
      <c r="C856">
        <f>1.7641</f>
        <v>1.7641</v>
      </c>
      <c r="D856">
        <f>0.979</f>
        <v>0.97899999999999998</v>
      </c>
      <c r="E856">
        <f>1.5976</f>
        <v>1.5975999999999999</v>
      </c>
      <c r="F856">
        <f>3.1888</f>
        <v>3.1888000000000001</v>
      </c>
    </row>
    <row r="857" spans="1:6" x14ac:dyDescent="0.25">
      <c r="A857" s="2">
        <v>43594</v>
      </c>
      <c r="B857">
        <f>1.8558</f>
        <v>1.8557999999999999</v>
      </c>
      <c r="C857">
        <f>1.7313</f>
        <v>1.7313000000000001</v>
      </c>
      <c r="D857">
        <f>0.9682</f>
        <v>0.96819999999999995</v>
      </c>
      <c r="E857">
        <f>1.5644</f>
        <v>1.5644</v>
      </c>
      <c r="F857">
        <f>3.2114</f>
        <v>3.2113999999999998</v>
      </c>
    </row>
    <row r="858" spans="1:6" x14ac:dyDescent="0.25">
      <c r="A858" s="2">
        <v>43593</v>
      </c>
      <c r="B858">
        <f>1.8654</f>
        <v>1.8653999999999999</v>
      </c>
      <c r="C858">
        <f>1.7545</f>
        <v>1.7544999999999999</v>
      </c>
      <c r="D858">
        <f>0.9882</f>
        <v>0.98819999999999997</v>
      </c>
      <c r="E858">
        <f>1.5987</f>
        <v>1.5987</v>
      </c>
      <c r="F858">
        <f>3.2484</f>
        <v>3.2484000000000002</v>
      </c>
    </row>
    <row r="859" spans="1:6" x14ac:dyDescent="0.25">
      <c r="A859" s="2">
        <v>43592</v>
      </c>
      <c r="B859">
        <f>1.8737</f>
        <v>1.8736999999999999</v>
      </c>
      <c r="C859">
        <f>1.7647</f>
        <v>1.7646999999999999</v>
      </c>
      <c r="D859">
        <f>0.9967</f>
        <v>0.99670000000000003</v>
      </c>
      <c r="E859">
        <f>1.623</f>
        <v>1.623</v>
      </c>
      <c r="F859">
        <f>3.2078</f>
        <v>3.2078000000000002</v>
      </c>
    </row>
    <row r="860" spans="1:6" x14ac:dyDescent="0.25">
      <c r="A860" s="2">
        <v>43591</v>
      </c>
      <c r="B860">
        <f>1.9079</f>
        <v>1.9078999999999999</v>
      </c>
      <c r="C860">
        <f>1.8067</f>
        <v>1.8067</v>
      </c>
      <c r="D860">
        <f>1.0126</f>
        <v>1.0125999999999999</v>
      </c>
      <c r="E860">
        <f>1.6975</f>
        <v>1.6975</v>
      </c>
      <c r="F860" t="e">
        <f>NA()</f>
        <v>#N/A</v>
      </c>
    </row>
    <row r="861" spans="1:6" x14ac:dyDescent="0.25">
      <c r="A861" s="2">
        <v>43588</v>
      </c>
      <c r="B861">
        <f>1.9108</f>
        <v>1.9108000000000001</v>
      </c>
      <c r="C861">
        <f>1.8098</f>
        <v>1.8098000000000001</v>
      </c>
      <c r="D861">
        <f>1.0278</f>
        <v>1.0278</v>
      </c>
      <c r="E861">
        <f>1.7039</f>
        <v>1.7039</v>
      </c>
      <c r="F861">
        <f>3.1929</f>
        <v>3.1928999999999998</v>
      </c>
    </row>
    <row r="862" spans="1:6" x14ac:dyDescent="0.25">
      <c r="A862" s="2">
        <v>43587</v>
      </c>
      <c r="B862">
        <f>1.8953</f>
        <v>1.8953</v>
      </c>
      <c r="C862">
        <f>1.7962</f>
        <v>1.7962</v>
      </c>
      <c r="D862">
        <f>1.0306</f>
        <v>1.0306</v>
      </c>
      <c r="E862">
        <f>1.6911</f>
        <v>1.6911</v>
      </c>
      <c r="F862">
        <f>3.2292</f>
        <v>3.2292000000000001</v>
      </c>
    </row>
    <row r="863" spans="1:6" x14ac:dyDescent="0.25">
      <c r="A863" s="2">
        <v>43586</v>
      </c>
      <c r="B863">
        <f>1.9132</f>
        <v>1.9132</v>
      </c>
      <c r="C863">
        <f>1.8247</f>
        <v>1.8247</v>
      </c>
      <c r="D863">
        <f>1.0707</f>
        <v>1.0707</v>
      </c>
      <c r="E863">
        <f>1.741</f>
        <v>1.7410000000000001</v>
      </c>
      <c r="F863">
        <f>3.2041</f>
        <v>3.2040999999999999</v>
      </c>
    </row>
    <row r="864" spans="1:6" x14ac:dyDescent="0.25">
      <c r="A864" s="2">
        <v>43585</v>
      </c>
      <c r="B864">
        <f>1.9497</f>
        <v>1.9497</v>
      </c>
      <c r="C864">
        <f>1.8572</f>
        <v>1.8572</v>
      </c>
      <c r="D864">
        <f>1.0707</f>
        <v>1.0707</v>
      </c>
      <c r="E864">
        <f>1.7573</f>
        <v>1.7573000000000001</v>
      </c>
      <c r="F864">
        <f>3.1927</f>
        <v>3.1926999999999999</v>
      </c>
    </row>
    <row r="865" spans="1:6" x14ac:dyDescent="0.25">
      <c r="A865" s="2">
        <v>43584</v>
      </c>
      <c r="B865">
        <f>1.9617</f>
        <v>1.9617</v>
      </c>
      <c r="C865">
        <f>1.8578</f>
        <v>1.8577999999999999</v>
      </c>
      <c r="D865">
        <f>1.0404</f>
        <v>1.0404</v>
      </c>
      <c r="E865">
        <f>1.7684</f>
        <v>1.7684</v>
      </c>
      <c r="F865">
        <f>3.1634</f>
        <v>3.1634000000000002</v>
      </c>
    </row>
    <row r="866" spans="1:6" x14ac:dyDescent="0.25">
      <c r="A866" s="2">
        <v>43581</v>
      </c>
      <c r="B866">
        <f>1.9712</f>
        <v>1.9712000000000001</v>
      </c>
      <c r="C866">
        <f>1.866</f>
        <v>1.8660000000000001</v>
      </c>
      <c r="D866">
        <f>1.0258</f>
        <v>1.0258</v>
      </c>
      <c r="E866">
        <f>1.7891</f>
        <v>1.7890999999999999</v>
      </c>
      <c r="F866">
        <f>3.1291</f>
        <v>3.1291000000000002</v>
      </c>
    </row>
    <row r="867" spans="1:6" x14ac:dyDescent="0.25">
      <c r="A867" s="2">
        <v>43580</v>
      </c>
      <c r="B867">
        <f>1.9755</f>
        <v>1.9755</v>
      </c>
      <c r="C867">
        <f>1.8771</f>
        <v>1.8771</v>
      </c>
      <c r="D867">
        <f>1.0683</f>
        <v>1.0683</v>
      </c>
      <c r="E867">
        <f>1.8199</f>
        <v>1.8199000000000001</v>
      </c>
      <c r="F867">
        <f>3.145</f>
        <v>3.145</v>
      </c>
    </row>
    <row r="868" spans="1:6" x14ac:dyDescent="0.25">
      <c r="A868" s="2">
        <v>43579</v>
      </c>
      <c r="B868">
        <f>1.9639</f>
        <v>1.9639</v>
      </c>
      <c r="C868">
        <f>1.8686</f>
        <v>1.8686</v>
      </c>
      <c r="D868">
        <f>1.0766</f>
        <v>1.0766</v>
      </c>
      <c r="E868">
        <f>1.8254</f>
        <v>1.8253999999999999</v>
      </c>
      <c r="F868">
        <f>3.1678</f>
        <v>3.1678000000000002</v>
      </c>
    </row>
    <row r="869" spans="1:6" x14ac:dyDescent="0.25">
      <c r="A869" s="2">
        <v>43578</v>
      </c>
      <c r="B869">
        <f>1.9614</f>
        <v>1.9614</v>
      </c>
      <c r="C869">
        <f>1.8753</f>
        <v>1.8753</v>
      </c>
      <c r="D869">
        <f>1.0983</f>
        <v>1.0983000000000001</v>
      </c>
      <c r="E869">
        <f>1.8386</f>
        <v>1.8386</v>
      </c>
      <c r="F869">
        <f>3.1645</f>
        <v>3.1644999999999999</v>
      </c>
    </row>
    <row r="870" spans="1:6" x14ac:dyDescent="0.25">
      <c r="A870" s="2">
        <v>43577</v>
      </c>
      <c r="B870">
        <f>1.9553</f>
        <v>1.9553</v>
      </c>
      <c r="C870">
        <f>1.872</f>
        <v>1.8720000000000001</v>
      </c>
      <c r="D870">
        <f>1.0832</f>
        <v>1.0831999999999999</v>
      </c>
      <c r="E870">
        <f>1.8386</f>
        <v>1.8386</v>
      </c>
      <c r="F870" t="e">
        <f>NA()</f>
        <v>#N/A</v>
      </c>
    </row>
    <row r="871" spans="1:6" x14ac:dyDescent="0.25">
      <c r="A871" s="2">
        <v>43574</v>
      </c>
      <c r="B871">
        <f>1.951</f>
        <v>1.9510000000000001</v>
      </c>
      <c r="C871">
        <f>1.8681</f>
        <v>1.8681000000000001</v>
      </c>
      <c r="D871">
        <f>1.0832</f>
        <v>1.0831999999999999</v>
      </c>
      <c r="E871">
        <f>1.8938</f>
        <v>1.8937999999999999</v>
      </c>
      <c r="F871" t="e">
        <f>NA()</f>
        <v>#N/A</v>
      </c>
    </row>
    <row r="872" spans="1:6" x14ac:dyDescent="0.25">
      <c r="A872" s="2">
        <v>43573</v>
      </c>
      <c r="B872">
        <f>1.951</f>
        <v>1.9510000000000001</v>
      </c>
      <c r="C872">
        <f>1.864</f>
        <v>1.8640000000000001</v>
      </c>
      <c r="D872">
        <f>1.083</f>
        <v>1.083</v>
      </c>
      <c r="E872">
        <f>1.8938</f>
        <v>1.8937999999999999</v>
      </c>
      <c r="F872">
        <f>3.1562</f>
        <v>3.1562000000000001</v>
      </c>
    </row>
    <row r="873" spans="1:6" x14ac:dyDescent="0.25">
      <c r="A873" s="2">
        <v>43572</v>
      </c>
      <c r="B873">
        <f>1.9482</f>
        <v>1.9481999999999999</v>
      </c>
      <c r="C873">
        <f>1.8614</f>
        <v>1.8613999999999999</v>
      </c>
      <c r="D873">
        <f>1.0829</f>
        <v>1.0829</v>
      </c>
      <c r="E873">
        <f>1.8844</f>
        <v>1.8844000000000001</v>
      </c>
      <c r="F873">
        <f>3.1568</f>
        <v>3.1568000000000001</v>
      </c>
    </row>
    <row r="874" spans="1:6" x14ac:dyDescent="0.25">
      <c r="A874" s="2">
        <v>43571</v>
      </c>
      <c r="B874">
        <f>1.9544</f>
        <v>1.9543999999999999</v>
      </c>
      <c r="C874">
        <f>1.8676</f>
        <v>1.8675999999999999</v>
      </c>
      <c r="D874">
        <f>1.0821</f>
        <v>1.0821000000000001</v>
      </c>
      <c r="E874">
        <f>1.8632</f>
        <v>1.8632</v>
      </c>
      <c r="F874">
        <f>3.1528</f>
        <v>3.1528</v>
      </c>
    </row>
    <row r="875" spans="1:6" x14ac:dyDescent="0.25">
      <c r="A875" s="2">
        <v>43570</v>
      </c>
      <c r="B875">
        <f>1.9529</f>
        <v>1.9529000000000001</v>
      </c>
      <c r="C875">
        <f>1.8679</f>
        <v>1.8678999999999999</v>
      </c>
      <c r="D875">
        <f>1.0794</f>
        <v>1.0793999999999999</v>
      </c>
      <c r="E875">
        <f>1.8678</f>
        <v>1.8677999999999999</v>
      </c>
      <c r="F875">
        <f>3.1585</f>
        <v>3.1585000000000001</v>
      </c>
    </row>
    <row r="876" spans="1:6" x14ac:dyDescent="0.25">
      <c r="A876" s="2">
        <v>43567</v>
      </c>
      <c r="B876">
        <f>1.9637</f>
        <v>1.9637</v>
      </c>
      <c r="C876">
        <f>1.8752</f>
        <v>1.8752</v>
      </c>
      <c r="D876">
        <f>1.0715</f>
        <v>1.0714999999999999</v>
      </c>
      <c r="E876">
        <f>1.8784</f>
        <v>1.8784000000000001</v>
      </c>
      <c r="F876">
        <f>3.1585</f>
        <v>3.1585000000000001</v>
      </c>
    </row>
    <row r="877" spans="1:6" x14ac:dyDescent="0.25">
      <c r="A877" s="2">
        <v>43566</v>
      </c>
      <c r="B877">
        <f>1.9359</f>
        <v>1.9359</v>
      </c>
      <c r="C877">
        <f>1.8425</f>
        <v>1.8425</v>
      </c>
      <c r="D877">
        <f>1.0479</f>
        <v>1.0479000000000001</v>
      </c>
      <c r="E877">
        <f>1.8545</f>
        <v>1.8545</v>
      </c>
      <c r="F877">
        <f>3.1649</f>
        <v>3.1648999999999998</v>
      </c>
    </row>
    <row r="878" spans="1:6" x14ac:dyDescent="0.25">
      <c r="A878" s="2">
        <v>43565</v>
      </c>
      <c r="B878">
        <f>1.9346</f>
        <v>1.9346000000000001</v>
      </c>
      <c r="C878">
        <f>1.8475</f>
        <v>1.8474999999999999</v>
      </c>
      <c r="D878">
        <f>1.0512</f>
        <v>1.0511999999999999</v>
      </c>
      <c r="E878">
        <f>1.8978</f>
        <v>1.8977999999999999</v>
      </c>
      <c r="F878">
        <f>3.233</f>
        <v>3.2330000000000001</v>
      </c>
    </row>
    <row r="879" spans="1:6" x14ac:dyDescent="0.25">
      <c r="A879" s="2">
        <v>43564</v>
      </c>
      <c r="B879">
        <f>1.9139</f>
        <v>1.9138999999999999</v>
      </c>
      <c r="C879">
        <f>1.8132</f>
        <v>1.8131999999999999</v>
      </c>
      <c r="D879">
        <f>1.0614</f>
        <v>1.0613999999999999</v>
      </c>
      <c r="E879">
        <f>1.8091</f>
        <v>1.8090999999999999</v>
      </c>
      <c r="F879">
        <f>3.2343</f>
        <v>3.2343000000000002</v>
      </c>
    </row>
    <row r="880" spans="1:6" x14ac:dyDescent="0.25">
      <c r="A880" s="2">
        <v>43563</v>
      </c>
      <c r="B880">
        <f>1.9247</f>
        <v>1.9247000000000001</v>
      </c>
      <c r="C880">
        <f>1.8316</f>
        <v>1.8315999999999999</v>
      </c>
      <c r="D880">
        <f>1.0747</f>
        <v>1.0747</v>
      </c>
      <c r="E880">
        <f>1.8236</f>
        <v>1.8236000000000001</v>
      </c>
      <c r="F880">
        <f>3.2399</f>
        <v>3.2399</v>
      </c>
    </row>
    <row r="881" spans="1:6" x14ac:dyDescent="0.25">
      <c r="A881" s="2">
        <v>43560</v>
      </c>
      <c r="B881">
        <f>1.9117</f>
        <v>1.9117</v>
      </c>
      <c r="C881">
        <f>1.8195</f>
        <v>1.8194999999999999</v>
      </c>
      <c r="D881">
        <f>1.0539</f>
        <v>1.0539000000000001</v>
      </c>
      <c r="E881">
        <f>1.8125</f>
        <v>1.8125</v>
      </c>
      <c r="F881">
        <f>3.2158</f>
        <v>3.2158000000000002</v>
      </c>
    </row>
    <row r="882" spans="1:6" x14ac:dyDescent="0.25">
      <c r="A882" s="2">
        <v>43559</v>
      </c>
      <c r="B882">
        <f>1.9064</f>
        <v>1.9064000000000001</v>
      </c>
      <c r="C882">
        <f>1.8203</f>
        <v>1.8203</v>
      </c>
      <c r="D882">
        <f>1.05</f>
        <v>1.05</v>
      </c>
      <c r="E882">
        <f>1.8167</f>
        <v>1.8167</v>
      </c>
      <c r="F882">
        <f>3.2087</f>
        <v>3.2086999999999999</v>
      </c>
    </row>
    <row r="883" spans="1:6" x14ac:dyDescent="0.25">
      <c r="A883" s="2">
        <v>43558</v>
      </c>
      <c r="B883">
        <f>1.9096</f>
        <v>1.9096</v>
      </c>
      <c r="C883">
        <f>1.8264</f>
        <v>1.8264</v>
      </c>
      <c r="D883">
        <f>1.0543</f>
        <v>1.0543</v>
      </c>
      <c r="E883">
        <f>1.8231</f>
        <v>1.8230999999999999</v>
      </c>
      <c r="F883">
        <f>3.1735</f>
        <v>3.1735000000000002</v>
      </c>
    </row>
    <row r="884" spans="1:6" x14ac:dyDescent="0.25">
      <c r="A884" s="2">
        <v>43557</v>
      </c>
      <c r="B884">
        <f>1.9034</f>
        <v>1.9034</v>
      </c>
      <c r="C884">
        <f>1.8256</f>
        <v>1.8255999999999999</v>
      </c>
      <c r="D884">
        <f>1.056</f>
        <v>1.056</v>
      </c>
      <c r="E884">
        <f>1.8524</f>
        <v>1.8524</v>
      </c>
      <c r="F884">
        <f>3.1803</f>
        <v>3.1802999999999999</v>
      </c>
    </row>
    <row r="885" spans="1:6" x14ac:dyDescent="0.25">
      <c r="A885" s="2">
        <v>43556</v>
      </c>
      <c r="B885">
        <f>1.9094</f>
        <v>1.9094</v>
      </c>
      <c r="C885">
        <f>1.8344</f>
        <v>1.8344</v>
      </c>
      <c r="D885">
        <f>1.0553</f>
        <v>1.0552999999999999</v>
      </c>
      <c r="E885">
        <f>1.8187</f>
        <v>1.8187</v>
      </c>
      <c r="F885">
        <f>3.1628</f>
        <v>3.1627999999999998</v>
      </c>
    </row>
    <row r="886" spans="1:6" x14ac:dyDescent="0.25">
      <c r="A886" s="2">
        <v>43553</v>
      </c>
      <c r="B886">
        <f>1.8749</f>
        <v>1.8749</v>
      </c>
      <c r="C886">
        <f>1.7908</f>
        <v>1.7907999999999999</v>
      </c>
      <c r="D886">
        <f>1.0293</f>
        <v>1.0293000000000001</v>
      </c>
      <c r="E886">
        <f>1.8309</f>
        <v>1.8309</v>
      </c>
      <c r="F886">
        <f>3.1607</f>
        <v>3.1606999999999998</v>
      </c>
    </row>
    <row r="887" spans="1:6" x14ac:dyDescent="0.25">
      <c r="A887" s="2">
        <v>43552</v>
      </c>
      <c r="B887">
        <f>1.8615</f>
        <v>1.8614999999999999</v>
      </c>
      <c r="C887">
        <f>1.7687</f>
        <v>1.7686999999999999</v>
      </c>
      <c r="D887">
        <f>1.0095</f>
        <v>1.0095000000000001</v>
      </c>
      <c r="E887">
        <f>1.8063</f>
        <v>1.8063</v>
      </c>
      <c r="F887">
        <f>3.1516</f>
        <v>3.1516000000000002</v>
      </c>
    </row>
    <row r="888" spans="1:6" x14ac:dyDescent="0.25">
      <c r="A888" s="2">
        <v>43551</v>
      </c>
      <c r="B888">
        <f>1.8268</f>
        <v>1.8268</v>
      </c>
      <c r="C888">
        <f>1.7456</f>
        <v>1.7456</v>
      </c>
      <c r="D888">
        <f>0.9932</f>
        <v>0.99319999999999997</v>
      </c>
      <c r="E888">
        <f>1.8447</f>
        <v>1.8447</v>
      </c>
      <c r="F888">
        <f>3.1765</f>
        <v>3.1764999999999999</v>
      </c>
    </row>
    <row r="889" spans="1:6" x14ac:dyDescent="0.25">
      <c r="A889" s="2">
        <v>43550</v>
      </c>
      <c r="B889">
        <f>1.8646</f>
        <v>1.8646</v>
      </c>
      <c r="C889">
        <f>1.7904</f>
        <v>1.7904</v>
      </c>
      <c r="D889">
        <f>1.037</f>
        <v>1.0369999999999999</v>
      </c>
      <c r="E889">
        <f>1.9116</f>
        <v>1.9116</v>
      </c>
      <c r="F889">
        <f>3.2222</f>
        <v>3.2222</v>
      </c>
    </row>
    <row r="890" spans="1:6" x14ac:dyDescent="0.25">
      <c r="A890" s="2">
        <v>43549</v>
      </c>
      <c r="B890">
        <f>1.8681</f>
        <v>1.8681000000000001</v>
      </c>
      <c r="C890">
        <f>1.7939</f>
        <v>1.7939000000000001</v>
      </c>
      <c r="D890">
        <f>1.0444</f>
        <v>1.0444</v>
      </c>
      <c r="E890">
        <f>1.9214</f>
        <v>1.9214</v>
      </c>
      <c r="F890">
        <f>3.2673</f>
        <v>3.2673000000000001</v>
      </c>
    </row>
    <row r="891" spans="1:6" x14ac:dyDescent="0.25">
      <c r="A891" s="2">
        <v>43546</v>
      </c>
      <c r="B891">
        <f>1.9047</f>
        <v>1.9047000000000001</v>
      </c>
      <c r="C891">
        <f>1.8363</f>
        <v>1.8363</v>
      </c>
      <c r="D891">
        <f>1.0406</f>
        <v>1.0406</v>
      </c>
      <c r="E891">
        <f>1.9523</f>
        <v>1.9522999999999999</v>
      </c>
      <c r="F891">
        <f>3.2627</f>
        <v>3.2627000000000002</v>
      </c>
    </row>
    <row r="892" spans="1:6" x14ac:dyDescent="0.25">
      <c r="A892" s="2">
        <v>43545</v>
      </c>
      <c r="B892">
        <f>1.9593</f>
        <v>1.9593</v>
      </c>
      <c r="C892">
        <f>1.9021</f>
        <v>1.9020999999999999</v>
      </c>
      <c r="D892">
        <f>1.1004</f>
        <v>1.1004</v>
      </c>
      <c r="E892">
        <f>2.0077</f>
        <v>2.0076999999999998</v>
      </c>
      <c r="F892">
        <f>3.275</f>
        <v>3.2749999999999999</v>
      </c>
    </row>
    <row r="893" spans="1:6" x14ac:dyDescent="0.25">
      <c r="A893" s="2">
        <v>43544</v>
      </c>
      <c r="B893">
        <f>1.9561</f>
        <v>1.9560999999999999</v>
      </c>
      <c r="C893">
        <f>1.9067</f>
        <v>1.9067000000000001</v>
      </c>
      <c r="D893">
        <f>1.0791</f>
        <v>1.0790999999999999</v>
      </c>
      <c r="E893">
        <f>2.0227</f>
        <v>2.0226999999999999</v>
      </c>
      <c r="F893">
        <f>3.2123</f>
        <v>3.2122999999999999</v>
      </c>
    </row>
    <row r="894" spans="1:6" x14ac:dyDescent="0.25">
      <c r="A894" s="2">
        <v>43543</v>
      </c>
      <c r="B894">
        <f>1.9537</f>
        <v>1.9537</v>
      </c>
      <c r="C894">
        <f>1.8872</f>
        <v>1.8872</v>
      </c>
      <c r="D894">
        <f>1.0697</f>
        <v>1.0697000000000001</v>
      </c>
      <c r="E894">
        <f>1.9557</f>
        <v>1.9557</v>
      </c>
      <c r="F894">
        <f>3.1791</f>
        <v>3.1791</v>
      </c>
    </row>
    <row r="895" spans="1:6" x14ac:dyDescent="0.25">
      <c r="A895" s="2">
        <v>43542</v>
      </c>
      <c r="B895">
        <f>1.9606</f>
        <v>1.9605999999999999</v>
      </c>
      <c r="C895">
        <f>1.9005</f>
        <v>1.9005000000000001</v>
      </c>
      <c r="D895">
        <f>1.0537</f>
        <v>1.0537000000000001</v>
      </c>
      <c r="E895">
        <f>1.9798</f>
        <v>1.9798</v>
      </c>
      <c r="F895">
        <f>3.1811</f>
        <v>3.1810999999999998</v>
      </c>
    </row>
    <row r="896" spans="1:6" x14ac:dyDescent="0.25">
      <c r="A896" s="2">
        <v>43539</v>
      </c>
      <c r="B896">
        <f>1.9448</f>
        <v>1.9448000000000001</v>
      </c>
      <c r="C896">
        <f>1.8856</f>
        <v>1.8855999999999999</v>
      </c>
      <c r="D896">
        <f>1.049</f>
        <v>1.0489999999999999</v>
      </c>
      <c r="E896">
        <f>1.9655</f>
        <v>1.9655</v>
      </c>
      <c r="F896">
        <f>3.1789</f>
        <v>3.1789000000000001</v>
      </c>
    </row>
    <row r="897" spans="1:6" x14ac:dyDescent="0.25">
      <c r="A897" s="2">
        <v>43538</v>
      </c>
      <c r="B897">
        <f>1.9397</f>
        <v>1.9397</v>
      </c>
      <c r="C897">
        <f>1.8831</f>
        <v>1.8831</v>
      </c>
      <c r="D897">
        <f>1.0645</f>
        <v>1.0645</v>
      </c>
      <c r="E897">
        <f>1.9523</f>
        <v>1.9522999999999999</v>
      </c>
      <c r="F897">
        <f>3.2152</f>
        <v>3.2151999999999998</v>
      </c>
    </row>
    <row r="898" spans="1:6" x14ac:dyDescent="0.25">
      <c r="A898" s="2">
        <v>43537</v>
      </c>
      <c r="B898">
        <f>1.9209</f>
        <v>1.9209000000000001</v>
      </c>
      <c r="C898">
        <f>1.8698</f>
        <v>1.8697999999999999</v>
      </c>
      <c r="D898">
        <f>1.0467</f>
        <v>1.0467</v>
      </c>
      <c r="E898">
        <f>1.9474</f>
        <v>1.9474</v>
      </c>
      <c r="F898">
        <f>3.1846</f>
        <v>3.1846000000000001</v>
      </c>
    </row>
    <row r="899" spans="1:6" x14ac:dyDescent="0.25">
      <c r="A899" s="2">
        <v>43536</v>
      </c>
      <c r="B899">
        <f>1.8998</f>
        <v>1.8997999999999999</v>
      </c>
      <c r="C899">
        <f>1.8433</f>
        <v>1.8432999999999999</v>
      </c>
      <c r="D899">
        <f>1.0306</f>
        <v>1.0306</v>
      </c>
      <c r="E899">
        <f>1.9024</f>
        <v>1.9024000000000001</v>
      </c>
      <c r="F899">
        <f>3.1769</f>
        <v>3.1768999999999998</v>
      </c>
    </row>
    <row r="900" spans="1:6" x14ac:dyDescent="0.25">
      <c r="A900" s="2">
        <v>43535</v>
      </c>
      <c r="B900">
        <f>1.9102</f>
        <v>1.9101999999999999</v>
      </c>
      <c r="C900">
        <f>1.8559</f>
        <v>1.8559000000000001</v>
      </c>
      <c r="D900">
        <f>1.0124</f>
        <v>1.0124</v>
      </c>
      <c r="E900">
        <f>1.8976</f>
        <v>1.8976</v>
      </c>
      <c r="F900">
        <f>3.1553</f>
        <v>3.1553</v>
      </c>
    </row>
    <row r="901" spans="1:6" x14ac:dyDescent="0.25">
      <c r="A901" s="2">
        <v>43532</v>
      </c>
      <c r="B901">
        <f>1.9027</f>
        <v>1.9027000000000001</v>
      </c>
      <c r="C901">
        <f>1.8364</f>
        <v>1.8364</v>
      </c>
      <c r="D901">
        <f>0.9756</f>
        <v>0.97560000000000002</v>
      </c>
      <c r="E901">
        <f>1.8604</f>
        <v>1.8604000000000001</v>
      </c>
      <c r="F901">
        <f>3.1601</f>
        <v>3.1600999999999999</v>
      </c>
    </row>
    <row r="902" spans="1:6" x14ac:dyDescent="0.25">
      <c r="A902" s="2">
        <v>43531</v>
      </c>
      <c r="B902">
        <f>1.908</f>
        <v>1.9079999999999999</v>
      </c>
      <c r="C902">
        <f>1.8363</f>
        <v>1.8363</v>
      </c>
      <c r="D902">
        <f>1.0032</f>
        <v>1.0032000000000001</v>
      </c>
      <c r="E902">
        <f>1.8553</f>
        <v>1.8552999999999999</v>
      </c>
      <c r="F902">
        <f>3.1655</f>
        <v>3.1655000000000002</v>
      </c>
    </row>
    <row r="903" spans="1:6" x14ac:dyDescent="0.25">
      <c r="A903" s="2">
        <v>43530</v>
      </c>
      <c r="B903">
        <f>1.9133</f>
        <v>1.9133</v>
      </c>
      <c r="C903">
        <f>1.8378</f>
        <v>1.8378000000000001</v>
      </c>
      <c r="D903">
        <f>0.9922</f>
        <v>0.99219999999999997</v>
      </c>
      <c r="E903">
        <f>1.8172</f>
        <v>1.8171999999999999</v>
      </c>
      <c r="F903">
        <f>3.175</f>
        <v>3.1749999999999998</v>
      </c>
    </row>
    <row r="904" spans="1:6" x14ac:dyDescent="0.25">
      <c r="A904" s="2">
        <v>43529</v>
      </c>
      <c r="B904">
        <f>1.9246</f>
        <v>1.9246000000000001</v>
      </c>
      <c r="C904">
        <f>1.8483</f>
        <v>1.8483000000000001</v>
      </c>
      <c r="D904">
        <f>0.9941</f>
        <v>0.99409999999999998</v>
      </c>
      <c r="E904">
        <f>1.7914</f>
        <v>1.7914000000000001</v>
      </c>
      <c r="F904">
        <f>3.1404</f>
        <v>3.1404000000000001</v>
      </c>
    </row>
    <row r="905" spans="1:6" x14ac:dyDescent="0.25">
      <c r="A905" s="2">
        <v>43528</v>
      </c>
      <c r="B905">
        <f>1.9389</f>
        <v>1.9389000000000001</v>
      </c>
      <c r="C905">
        <f>1.8581</f>
        <v>1.8581000000000001</v>
      </c>
      <c r="D905">
        <f>0.9803</f>
        <v>0.98029999999999995</v>
      </c>
      <c r="E905">
        <f>1.7565</f>
        <v>1.7565</v>
      </c>
      <c r="F905">
        <f>3.1352</f>
        <v>3.1352000000000002</v>
      </c>
    </row>
    <row r="906" spans="1:6" x14ac:dyDescent="0.25">
      <c r="A906" s="2">
        <v>43525</v>
      </c>
      <c r="B906">
        <f>1.9583</f>
        <v>1.9582999999999999</v>
      </c>
      <c r="C906">
        <f>1.8764</f>
        <v>1.8764000000000001</v>
      </c>
      <c r="D906">
        <f>0.9539</f>
        <v>0.95389999999999997</v>
      </c>
      <c r="E906">
        <f>1.7361</f>
        <v>1.7361</v>
      </c>
      <c r="F906">
        <f>3.112</f>
        <v>3.1120000000000001</v>
      </c>
    </row>
    <row r="907" spans="1:6" x14ac:dyDescent="0.25">
      <c r="A907" s="2">
        <v>43524</v>
      </c>
      <c r="B907">
        <f>1.9442</f>
        <v>1.9441999999999999</v>
      </c>
      <c r="C907">
        <f>1.8641</f>
        <v>1.8641000000000001</v>
      </c>
      <c r="D907">
        <f>0.9345</f>
        <v>0.9345</v>
      </c>
      <c r="E907">
        <f>1.742</f>
        <v>1.742</v>
      </c>
      <c r="F907">
        <f>3.0801</f>
        <v>3.0800999999999998</v>
      </c>
    </row>
    <row r="908" spans="1:6" x14ac:dyDescent="0.25">
      <c r="A908" s="2">
        <v>43523</v>
      </c>
      <c r="B908">
        <f>1.9374</f>
        <v>1.9374</v>
      </c>
      <c r="C908">
        <f>1.8674</f>
        <v>1.8673999999999999</v>
      </c>
      <c r="D908">
        <f>0.8936</f>
        <v>0.89359999999999995</v>
      </c>
      <c r="E908">
        <f>1.7357</f>
        <v>1.7357</v>
      </c>
      <c r="F908">
        <f>3.0497</f>
        <v>3.0497000000000001</v>
      </c>
    </row>
    <row r="909" spans="1:6" x14ac:dyDescent="0.25">
      <c r="A909" s="2">
        <v>43522</v>
      </c>
      <c r="B909">
        <f>1.9232</f>
        <v>1.9232</v>
      </c>
      <c r="C909">
        <f>1.8485</f>
        <v>1.8485</v>
      </c>
      <c r="D909">
        <f>0.9182</f>
        <v>0.91820000000000002</v>
      </c>
      <c r="E909">
        <f>1.6946</f>
        <v>1.6946000000000001</v>
      </c>
      <c r="F909">
        <f>3.0467</f>
        <v>3.0467</v>
      </c>
    </row>
    <row r="910" spans="1:6" x14ac:dyDescent="0.25">
      <c r="A910" s="2">
        <v>43521</v>
      </c>
      <c r="B910">
        <f>1.9289</f>
        <v>1.9289000000000001</v>
      </c>
      <c r="C910">
        <f>1.8417</f>
        <v>1.8416999999999999</v>
      </c>
      <c r="D910">
        <f>0.9285</f>
        <v>0.92849999999999999</v>
      </c>
      <c r="E910">
        <f>1.6818</f>
        <v>1.6818</v>
      </c>
      <c r="F910">
        <f>3.0701</f>
        <v>3.0701000000000001</v>
      </c>
    </row>
    <row r="911" spans="1:6" x14ac:dyDescent="0.25">
      <c r="A911" s="2">
        <v>43518</v>
      </c>
      <c r="B911">
        <f>1.9223</f>
        <v>1.9222999999999999</v>
      </c>
      <c r="C911">
        <f>1.8475</f>
        <v>1.8474999999999999</v>
      </c>
      <c r="D911">
        <f>0.9217</f>
        <v>0.92169999999999996</v>
      </c>
      <c r="E911">
        <f>1.7193</f>
        <v>1.7193000000000001</v>
      </c>
      <c r="F911">
        <f>3.0818</f>
        <v>3.0817999999999999</v>
      </c>
    </row>
    <row r="912" spans="1:6" x14ac:dyDescent="0.25">
      <c r="A912" s="2">
        <v>43517</v>
      </c>
      <c r="B912">
        <f>1.9132</f>
        <v>1.9132</v>
      </c>
      <c r="C912">
        <f>1.827</f>
        <v>1.827</v>
      </c>
      <c r="D912">
        <f>0.9476</f>
        <v>0.9476</v>
      </c>
      <c r="E912">
        <f>1.6653</f>
        <v>1.6653</v>
      </c>
      <c r="F912">
        <f>3.0863</f>
        <v>3.0863</v>
      </c>
    </row>
    <row r="913" spans="1:6" x14ac:dyDescent="0.25">
      <c r="A913" s="2">
        <v>43516</v>
      </c>
      <c r="B913">
        <f>1.8941</f>
        <v>1.8940999999999999</v>
      </c>
      <c r="C913">
        <f>1.8146</f>
        <v>1.8146</v>
      </c>
      <c r="D913">
        <f>0.9582</f>
        <v>0.95820000000000005</v>
      </c>
      <c r="E913">
        <f>1.6697</f>
        <v>1.6697</v>
      </c>
      <c r="F913">
        <f>3.0723</f>
        <v>3.0722999999999998</v>
      </c>
    </row>
    <row r="914" spans="1:6" x14ac:dyDescent="0.25">
      <c r="A914" s="2">
        <v>43515</v>
      </c>
      <c r="B914">
        <f>1.8768</f>
        <v>1.8768</v>
      </c>
      <c r="C914">
        <f>1.7954</f>
        <v>1.7954000000000001</v>
      </c>
      <c r="D914">
        <f>0.9598</f>
        <v>0.95979999999999999</v>
      </c>
      <c r="E914">
        <f>1.6466</f>
        <v>1.6466000000000001</v>
      </c>
      <c r="F914">
        <f>3.0605</f>
        <v>3.0605000000000002</v>
      </c>
    </row>
    <row r="915" spans="1:6" x14ac:dyDescent="0.25">
      <c r="A915" s="2">
        <v>43514</v>
      </c>
      <c r="B915">
        <f>1.865</f>
        <v>1.865</v>
      </c>
      <c r="C915">
        <f>1.7859</f>
        <v>1.7859</v>
      </c>
      <c r="D915">
        <f>0.9665</f>
        <v>0.96650000000000003</v>
      </c>
      <c r="E915">
        <f>1.6186</f>
        <v>1.6186</v>
      </c>
      <c r="F915">
        <f>3.0621</f>
        <v>3.0621</v>
      </c>
    </row>
    <row r="916" spans="1:6" x14ac:dyDescent="0.25">
      <c r="A916" s="2">
        <v>43511</v>
      </c>
      <c r="B916">
        <f>1.865</f>
        <v>1.865</v>
      </c>
      <c r="C916">
        <f>1.7869</f>
        <v>1.7868999999999999</v>
      </c>
      <c r="D916">
        <f>0.9518</f>
        <v>0.95179999999999998</v>
      </c>
      <c r="E916">
        <f>1.6186</f>
        <v>1.6186</v>
      </c>
      <c r="F916">
        <f>3.067</f>
        <v>3.0670000000000002</v>
      </c>
    </row>
    <row r="917" spans="1:6" x14ac:dyDescent="0.25">
      <c r="A917" s="2">
        <v>43510</v>
      </c>
      <c r="B917">
        <f>1.8567</f>
        <v>1.8567</v>
      </c>
      <c r="C917">
        <f>1.7662</f>
        <v>1.7662</v>
      </c>
      <c r="D917">
        <f>0.9349</f>
        <v>0.93489999999999995</v>
      </c>
      <c r="E917">
        <f>1.5225</f>
        <v>1.5225</v>
      </c>
      <c r="F917">
        <f>3.053</f>
        <v>3.0529999999999999</v>
      </c>
    </row>
    <row r="918" spans="1:6" x14ac:dyDescent="0.25">
      <c r="A918" s="2">
        <v>43509</v>
      </c>
      <c r="B918">
        <f>1.8667</f>
        <v>1.8667</v>
      </c>
      <c r="C918">
        <f>1.7742</f>
        <v>1.7742</v>
      </c>
      <c r="D918">
        <f>0.9392</f>
        <v>0.93920000000000003</v>
      </c>
      <c r="E918">
        <f>1.4884</f>
        <v>1.4883999999999999</v>
      </c>
      <c r="F918">
        <f>3.0504</f>
        <v>3.0503999999999998</v>
      </c>
    </row>
    <row r="919" spans="1:6" x14ac:dyDescent="0.25">
      <c r="A919" s="2">
        <v>43508</v>
      </c>
      <c r="B919">
        <f>1.8412</f>
        <v>1.8411999999999999</v>
      </c>
      <c r="C919">
        <f>1.7355</f>
        <v>1.7355</v>
      </c>
      <c r="D919">
        <f>0.9353</f>
        <v>0.93530000000000002</v>
      </c>
      <c r="E919">
        <f>1.3774</f>
        <v>1.3774</v>
      </c>
      <c r="F919">
        <f>3.066</f>
        <v>3.0659999999999998</v>
      </c>
    </row>
    <row r="920" spans="1:6" x14ac:dyDescent="0.25">
      <c r="A920" s="2">
        <v>43507</v>
      </c>
      <c r="B920">
        <f>1.8243</f>
        <v>1.8243</v>
      </c>
      <c r="C920">
        <f>1.7075</f>
        <v>1.7075</v>
      </c>
      <c r="D920">
        <f>0.9212</f>
        <v>0.92120000000000002</v>
      </c>
      <c r="E920">
        <f>1.3382</f>
        <v>1.3382000000000001</v>
      </c>
      <c r="F920">
        <f>3.0923</f>
        <v>3.0922999999999998</v>
      </c>
    </row>
    <row r="921" spans="1:6" x14ac:dyDescent="0.25">
      <c r="A921" s="2">
        <v>43504</v>
      </c>
      <c r="B921">
        <f>1.8276</f>
        <v>1.8275999999999999</v>
      </c>
      <c r="C921">
        <f>1.7092</f>
        <v>1.7092000000000001</v>
      </c>
      <c r="D921">
        <f>0.9148</f>
        <v>0.91479999999999995</v>
      </c>
      <c r="E921">
        <f>1.3469</f>
        <v>1.3469</v>
      </c>
      <c r="F921">
        <f>3.0603</f>
        <v>3.0602999999999998</v>
      </c>
    </row>
    <row r="922" spans="1:6" x14ac:dyDescent="0.25">
      <c r="A922" s="2">
        <v>43503</v>
      </c>
      <c r="B922">
        <f>1.8401</f>
        <v>1.8401000000000001</v>
      </c>
      <c r="C922">
        <f>1.7074</f>
        <v>1.7074</v>
      </c>
      <c r="D922">
        <f>0.9487</f>
        <v>0.94869999999999999</v>
      </c>
      <c r="E922">
        <f>1.3017</f>
        <v>1.3017000000000001</v>
      </c>
      <c r="F922">
        <f>3.0893</f>
        <v>3.0893000000000002</v>
      </c>
    </row>
    <row r="923" spans="1:6" x14ac:dyDescent="0.25">
      <c r="A923" s="2">
        <v>43502</v>
      </c>
      <c r="B923">
        <f>1.8575</f>
        <v>1.8574999999999999</v>
      </c>
      <c r="C923">
        <f>1.7313</f>
        <v>1.7313000000000001</v>
      </c>
      <c r="D923">
        <f>0.9698</f>
        <v>0.9698</v>
      </c>
      <c r="E923">
        <f>1.3308</f>
        <v>1.3308</v>
      </c>
      <c r="F923">
        <f>3.0882</f>
        <v>3.0882000000000001</v>
      </c>
    </row>
    <row r="924" spans="1:6" x14ac:dyDescent="0.25">
      <c r="A924" s="2">
        <v>43501</v>
      </c>
      <c r="B924">
        <f>1.8743</f>
        <v>1.8743000000000001</v>
      </c>
      <c r="C924">
        <f>1.7412</f>
        <v>1.7412000000000001</v>
      </c>
      <c r="D924">
        <f>0.9746</f>
        <v>0.97460000000000002</v>
      </c>
      <c r="E924">
        <f>1.3158</f>
        <v>1.3158000000000001</v>
      </c>
      <c r="F924">
        <f>3.0949</f>
        <v>3.0949</v>
      </c>
    </row>
    <row r="925" spans="1:6" x14ac:dyDescent="0.25">
      <c r="A925" s="2">
        <v>43500</v>
      </c>
      <c r="B925">
        <f>1.8729</f>
        <v>1.8729</v>
      </c>
      <c r="C925">
        <f>1.7401</f>
        <v>1.7401</v>
      </c>
      <c r="D925">
        <f>0.9748</f>
        <v>0.9748</v>
      </c>
      <c r="E925">
        <f>1.3194</f>
        <v>1.3193999999999999</v>
      </c>
      <c r="F925">
        <f>3.1279</f>
        <v>3.1278999999999999</v>
      </c>
    </row>
    <row r="926" spans="1:6" x14ac:dyDescent="0.25">
      <c r="A926" s="2">
        <v>43497</v>
      </c>
      <c r="B926">
        <f>1.8716</f>
        <v>1.8715999999999999</v>
      </c>
      <c r="C926">
        <f>1.7425</f>
        <v>1.7424999999999999</v>
      </c>
      <c r="D926">
        <f>0.9712</f>
        <v>0.97119999999999995</v>
      </c>
      <c r="E926">
        <f>1.3243</f>
        <v>1.3243</v>
      </c>
      <c r="F926">
        <f>3.1044</f>
        <v>3.1044</v>
      </c>
    </row>
    <row r="927" spans="1:6" x14ac:dyDescent="0.25">
      <c r="A927" s="2">
        <v>43496</v>
      </c>
      <c r="B927">
        <f>1.863</f>
        <v>1.863</v>
      </c>
      <c r="C927">
        <f>1.7266</f>
        <v>1.7265999999999999</v>
      </c>
      <c r="D927">
        <f>0.961</f>
        <v>0.96099999999999997</v>
      </c>
      <c r="E927">
        <f>1.2846</f>
        <v>1.2846</v>
      </c>
      <c r="F927">
        <f>3.0799</f>
        <v>3.0798999999999999</v>
      </c>
    </row>
    <row r="928" spans="1:6" x14ac:dyDescent="0.25">
      <c r="A928" s="2">
        <v>43495</v>
      </c>
      <c r="B928">
        <f>1.8288</f>
        <v>1.8288</v>
      </c>
      <c r="C928">
        <f>1.6945</f>
        <v>1.6944999999999999</v>
      </c>
      <c r="D928">
        <f>0.9488</f>
        <v>0.94879999999999998</v>
      </c>
      <c r="E928">
        <f>1.2719</f>
        <v>1.2719</v>
      </c>
      <c r="F928">
        <f>3.1005</f>
        <v>3.1004999999999998</v>
      </c>
    </row>
    <row r="929" spans="1:6" x14ac:dyDescent="0.25">
      <c r="A929" s="2">
        <v>43494</v>
      </c>
      <c r="B929">
        <f>1.7747</f>
        <v>1.7746999999999999</v>
      </c>
      <c r="C929">
        <f>1.635</f>
        <v>1.635</v>
      </c>
      <c r="D929">
        <f>0.9469</f>
        <v>0.94689999999999996</v>
      </c>
      <c r="E929">
        <f>1.17</f>
        <v>1.17</v>
      </c>
      <c r="F929">
        <f>3.0941</f>
        <v>3.0941000000000001</v>
      </c>
    </row>
    <row r="930" spans="1:6" x14ac:dyDescent="0.25">
      <c r="A930" s="2">
        <v>43493</v>
      </c>
      <c r="B930">
        <f>1.7747</f>
        <v>1.7746999999999999</v>
      </c>
      <c r="C930">
        <f>1.6282</f>
        <v>1.6282000000000001</v>
      </c>
      <c r="D930">
        <f>0.9544</f>
        <v>0.95440000000000003</v>
      </c>
      <c r="E930">
        <f>1.1359</f>
        <v>1.1358999999999999</v>
      </c>
      <c r="F930">
        <f>3.0739</f>
        <v>3.0739000000000001</v>
      </c>
    </row>
    <row r="931" spans="1:6" x14ac:dyDescent="0.25">
      <c r="A931" s="2">
        <v>43490</v>
      </c>
      <c r="B931">
        <f>1.7833</f>
        <v>1.7833000000000001</v>
      </c>
      <c r="C931">
        <f>1.6441</f>
        <v>1.6440999999999999</v>
      </c>
      <c r="D931">
        <f>0.9744</f>
        <v>0.97440000000000004</v>
      </c>
      <c r="E931">
        <f>1.1613</f>
        <v>1.1613</v>
      </c>
      <c r="F931">
        <f>3.0711</f>
        <v>3.0710999999999999</v>
      </c>
    </row>
    <row r="932" spans="1:6" x14ac:dyDescent="0.25">
      <c r="A932" s="2">
        <v>43489</v>
      </c>
      <c r="B932">
        <f>1.7732</f>
        <v>1.7732000000000001</v>
      </c>
      <c r="C932">
        <f>1.6299</f>
        <v>1.6298999999999999</v>
      </c>
      <c r="D932">
        <f>0.9702</f>
        <v>0.97019999999999995</v>
      </c>
      <c r="E932">
        <f>1.12</f>
        <v>1.1200000000000001</v>
      </c>
      <c r="F932">
        <f>3.082</f>
        <v>3.0819999999999999</v>
      </c>
    </row>
    <row r="933" spans="1:6" x14ac:dyDescent="0.25">
      <c r="A933" s="2">
        <v>43488</v>
      </c>
      <c r="B933">
        <f>1.7934</f>
        <v>1.7934000000000001</v>
      </c>
      <c r="C933">
        <f>1.6411</f>
        <v>1.6411</v>
      </c>
      <c r="D933">
        <f>0.9705</f>
        <v>0.97050000000000003</v>
      </c>
      <c r="E933">
        <f>1.106</f>
        <v>1.1060000000000001</v>
      </c>
      <c r="F933">
        <f>3.0971</f>
        <v>3.0971000000000002</v>
      </c>
    </row>
    <row r="934" spans="1:6" x14ac:dyDescent="0.25">
      <c r="A934" s="2">
        <v>43487</v>
      </c>
      <c r="B934">
        <f>1.7996</f>
        <v>1.7996000000000001</v>
      </c>
      <c r="C934">
        <f>1.6443</f>
        <v>1.6443000000000001</v>
      </c>
      <c r="D934">
        <f>0.9614</f>
        <v>0.96140000000000003</v>
      </c>
      <c r="E934">
        <f>1.1001</f>
        <v>1.1001000000000001</v>
      </c>
      <c r="F934">
        <f>3.0899</f>
        <v>3.0899000000000001</v>
      </c>
    </row>
    <row r="935" spans="1:6" x14ac:dyDescent="0.25">
      <c r="A935" s="2">
        <v>43486</v>
      </c>
      <c r="B935">
        <f>1.8231</f>
        <v>1.8230999999999999</v>
      </c>
      <c r="C935">
        <f>1.6749</f>
        <v>1.6749000000000001</v>
      </c>
      <c r="D935">
        <f>0.9802</f>
        <v>0.98019999999999996</v>
      </c>
      <c r="E935">
        <f>1.1254</f>
        <v>1.1254</v>
      </c>
      <c r="F935">
        <f>3.1104</f>
        <v>3.1103999999999998</v>
      </c>
    </row>
    <row r="936" spans="1:6" x14ac:dyDescent="0.25">
      <c r="A936" s="2">
        <v>43483</v>
      </c>
      <c r="B936">
        <f>1.8235</f>
        <v>1.8234999999999999</v>
      </c>
      <c r="C936">
        <f>1.6749</f>
        <v>1.6749000000000001</v>
      </c>
      <c r="D936">
        <f>0.977</f>
        <v>0.97699999999999998</v>
      </c>
      <c r="E936">
        <f>1.1254</f>
        <v>1.1254</v>
      </c>
      <c r="F936">
        <f>3.1005</f>
        <v>3.1004999999999998</v>
      </c>
    </row>
    <row r="937" spans="1:6" x14ac:dyDescent="0.25">
      <c r="A937" s="2">
        <v>43482</v>
      </c>
      <c r="B937">
        <f>1.8209</f>
        <v>1.8209</v>
      </c>
      <c r="C937">
        <f>1.6399</f>
        <v>1.6398999999999999</v>
      </c>
      <c r="D937">
        <f>0.9566</f>
        <v>0.95660000000000001</v>
      </c>
      <c r="E937">
        <f>1.037</f>
        <v>1.0369999999999999</v>
      </c>
      <c r="F937">
        <f>3.0631</f>
        <v>3.0630999999999999</v>
      </c>
    </row>
    <row r="938" spans="1:6" x14ac:dyDescent="0.25">
      <c r="A938" s="2">
        <v>43481</v>
      </c>
      <c r="B938">
        <f>1.8143</f>
        <v>1.8143</v>
      </c>
      <c r="C938">
        <f>1.635</f>
        <v>1.635</v>
      </c>
      <c r="D938">
        <f>0.9669</f>
        <v>0.96689999999999998</v>
      </c>
      <c r="E938">
        <f>1.0281</f>
        <v>1.0281</v>
      </c>
      <c r="F938">
        <f>3.1937</f>
        <v>3.1937000000000002</v>
      </c>
    </row>
    <row r="939" spans="1:6" x14ac:dyDescent="0.25">
      <c r="A939" s="2">
        <v>43480</v>
      </c>
      <c r="B939">
        <f>1.8126</f>
        <v>1.8126</v>
      </c>
      <c r="C939">
        <f>1.6352</f>
        <v>1.6352</v>
      </c>
      <c r="D939">
        <f>0.9627</f>
        <v>0.9627</v>
      </c>
      <c r="E939">
        <f>1.0257</f>
        <v>1.0257000000000001</v>
      </c>
      <c r="F939">
        <f>3.2379</f>
        <v>3.2378999999999998</v>
      </c>
    </row>
    <row r="940" spans="1:6" x14ac:dyDescent="0.25">
      <c r="A940" s="2">
        <v>43479</v>
      </c>
      <c r="B940">
        <f>1.8047</f>
        <v>1.8047</v>
      </c>
      <c r="C940">
        <f>1.6315</f>
        <v>1.6315</v>
      </c>
      <c r="D940">
        <f>0.9835</f>
        <v>0.98350000000000004</v>
      </c>
      <c r="E940">
        <f>0.9944</f>
        <v>0.99439999999999995</v>
      </c>
      <c r="F940">
        <f>3.2359</f>
        <v>3.2359</v>
      </c>
    </row>
    <row r="941" spans="1:6" x14ac:dyDescent="0.25">
      <c r="A941" s="2">
        <v>43476</v>
      </c>
      <c r="B941">
        <f>1.8301</f>
        <v>1.8301000000000001</v>
      </c>
      <c r="C941">
        <f>1.6734</f>
        <v>1.6734</v>
      </c>
      <c r="D941">
        <f>0.9944</f>
        <v>0.99439999999999995</v>
      </c>
      <c r="E941">
        <f>1.045</f>
        <v>1.0449999999999999</v>
      </c>
      <c r="F941">
        <f>3.2506</f>
        <v>3.2505999999999999</v>
      </c>
    </row>
    <row r="942" spans="1:6" x14ac:dyDescent="0.25">
      <c r="A942" s="2">
        <v>43475</v>
      </c>
      <c r="B942">
        <f>1.817</f>
        <v>1.8169999999999999</v>
      </c>
      <c r="C942">
        <f>1.658</f>
        <v>1.6579999999999999</v>
      </c>
      <c r="D942">
        <f>1.0055</f>
        <v>1.0055000000000001</v>
      </c>
      <c r="E942">
        <f>0.9629</f>
        <v>0.96289999999999998</v>
      </c>
      <c r="F942">
        <f>3.2396</f>
        <v>3.2395999999999998</v>
      </c>
    </row>
    <row r="943" spans="1:6" x14ac:dyDescent="0.25">
      <c r="A943" s="2">
        <v>43474</v>
      </c>
      <c r="B943">
        <f>1.8258</f>
        <v>1.8258000000000001</v>
      </c>
      <c r="C943">
        <f>1.6701</f>
        <v>1.6700999999999999</v>
      </c>
      <c r="D943">
        <f>1.0027</f>
        <v>1.0026999999999999</v>
      </c>
      <c r="E943">
        <f>0.9829</f>
        <v>0.9829</v>
      </c>
      <c r="F943">
        <f>3.204</f>
        <v>3.2040000000000002</v>
      </c>
    </row>
    <row r="944" spans="1:6" x14ac:dyDescent="0.25">
      <c r="A944" s="2">
        <v>43473</v>
      </c>
      <c r="B944">
        <f>1.821</f>
        <v>1.821</v>
      </c>
      <c r="C944">
        <f>1.6522</f>
        <v>1.6521999999999999</v>
      </c>
      <c r="D944">
        <f>0.9794</f>
        <v>0.97940000000000005</v>
      </c>
      <c r="E944">
        <f>0.8996</f>
        <v>0.89959999999999996</v>
      </c>
      <c r="F944">
        <f>3.1967</f>
        <v>3.1966999999999999</v>
      </c>
    </row>
    <row r="945" spans="1:6" x14ac:dyDescent="0.25">
      <c r="A945" s="2">
        <v>43472</v>
      </c>
      <c r="B945">
        <f>1.7807</f>
        <v>1.7806999999999999</v>
      </c>
      <c r="C945">
        <f>1.6103</f>
        <v>1.6103000000000001</v>
      </c>
      <c r="D945">
        <f>0.9624</f>
        <v>0.96240000000000003</v>
      </c>
      <c r="E945">
        <f>0.8434</f>
        <v>0.84340000000000004</v>
      </c>
      <c r="F945">
        <f>3.2163</f>
        <v>3.2162999999999999</v>
      </c>
    </row>
    <row r="946" spans="1:6" x14ac:dyDescent="0.25">
      <c r="A946" s="2">
        <v>43469</v>
      </c>
      <c r="B946">
        <f>1.761</f>
        <v>1.7609999999999999</v>
      </c>
      <c r="C946">
        <f>1.5818</f>
        <v>1.5818000000000001</v>
      </c>
      <c r="D946">
        <f>0.9473</f>
        <v>0.94730000000000003</v>
      </c>
      <c r="E946">
        <f>0.7747</f>
        <v>0.77470000000000006</v>
      </c>
      <c r="F946">
        <f>3.2324</f>
        <v>3.2324000000000002</v>
      </c>
    </row>
    <row r="947" spans="1:6" x14ac:dyDescent="0.25">
      <c r="A947" s="2">
        <v>43468</v>
      </c>
      <c r="B947">
        <f>1.6786</f>
        <v>1.6786000000000001</v>
      </c>
      <c r="C947">
        <f>1.4788</f>
        <v>1.4787999999999999</v>
      </c>
      <c r="D947">
        <f>0.9343</f>
        <v>0.93430000000000002</v>
      </c>
      <c r="E947">
        <f>0.6526</f>
        <v>0.65259999999999996</v>
      </c>
      <c r="F947">
        <f>3.1868</f>
        <v>3.1867999999999999</v>
      </c>
    </row>
    <row r="948" spans="1:6" x14ac:dyDescent="0.25">
      <c r="A948" s="2">
        <v>43467</v>
      </c>
      <c r="B948">
        <f>1.6886</f>
        <v>1.6886000000000001</v>
      </c>
      <c r="C948">
        <f>1.482</f>
        <v>1.482</v>
      </c>
      <c r="D948">
        <f>0.9314</f>
        <v>0.93140000000000001</v>
      </c>
      <c r="E948">
        <f>0.6824</f>
        <v>0.68240000000000001</v>
      </c>
      <c r="F948">
        <f>3.1538</f>
        <v>3.1537999999999999</v>
      </c>
    </row>
    <row r="949" spans="1:6" x14ac:dyDescent="0.25">
      <c r="A949" s="2">
        <v>43466</v>
      </c>
      <c r="B949">
        <f>1.7139</f>
        <v>1.7139</v>
      </c>
      <c r="C949">
        <f>1.4942</f>
        <v>1.4942</v>
      </c>
      <c r="D949">
        <f>0.958</f>
        <v>0.95799999999999996</v>
      </c>
      <c r="E949">
        <f>0.6556</f>
        <v>0.65559999999999996</v>
      </c>
      <c r="F949" t="e">
        <f>NA()</f>
        <v>#N/A</v>
      </c>
    </row>
    <row r="950" spans="1:6" x14ac:dyDescent="0.25">
      <c r="A950" s="2">
        <v>43465</v>
      </c>
      <c r="B950">
        <f>1.7139</f>
        <v>1.7139</v>
      </c>
      <c r="C950">
        <f>1.4933</f>
        <v>1.4933000000000001</v>
      </c>
      <c r="D950">
        <f>0.958</f>
        <v>0.95799999999999996</v>
      </c>
      <c r="E950">
        <f>0.6572</f>
        <v>0.65720000000000001</v>
      </c>
      <c r="F950">
        <f>3.1798</f>
        <v>3.1798000000000002</v>
      </c>
    </row>
    <row r="951" spans="1:6" x14ac:dyDescent="0.25">
      <c r="A951" s="2">
        <v>43462</v>
      </c>
      <c r="B951">
        <f>1.732</f>
        <v>1.732</v>
      </c>
      <c r="C951">
        <f>1.5058</f>
        <v>1.5058</v>
      </c>
      <c r="D951">
        <f>0.9578</f>
        <v>0.95779999999999998</v>
      </c>
      <c r="E951">
        <f>0.6729</f>
        <v>0.67290000000000005</v>
      </c>
      <c r="F951">
        <f>3.2012</f>
        <v>3.2012</v>
      </c>
    </row>
    <row r="952" spans="1:6" x14ac:dyDescent="0.25">
      <c r="A952" s="2">
        <v>43461</v>
      </c>
      <c r="B952">
        <f>1.7581</f>
        <v>1.7581</v>
      </c>
      <c r="C952">
        <f>1.535</f>
        <v>1.5349999999999999</v>
      </c>
      <c r="D952">
        <f>0.9725</f>
        <v>0.97250000000000003</v>
      </c>
      <c r="E952">
        <f>0.7116</f>
        <v>0.71160000000000001</v>
      </c>
      <c r="F952">
        <f>3.203</f>
        <v>3.2029999999999998</v>
      </c>
    </row>
    <row r="953" spans="1:6" x14ac:dyDescent="0.25">
      <c r="A953" s="2">
        <v>43460</v>
      </c>
      <c r="B953">
        <f>1.7754</f>
        <v>1.7754000000000001</v>
      </c>
      <c r="C953">
        <f>1.5502</f>
        <v>1.5502</v>
      </c>
      <c r="D953">
        <f>0.9812</f>
        <v>0.98119999999999996</v>
      </c>
      <c r="E953">
        <f>0.7426</f>
        <v>0.74260000000000004</v>
      </c>
      <c r="F953" t="e">
        <f>NA()</f>
        <v>#N/A</v>
      </c>
    </row>
    <row r="954" spans="1:6" x14ac:dyDescent="0.25">
      <c r="A954" s="2">
        <v>43459</v>
      </c>
      <c r="B954">
        <f>1.7493</f>
        <v>1.7493000000000001</v>
      </c>
      <c r="C954">
        <f>1.5102</f>
        <v>1.5102</v>
      </c>
      <c r="D954">
        <f>0.9812</f>
        <v>0.98119999999999996</v>
      </c>
      <c r="E954">
        <f>0.668</f>
        <v>0.66800000000000004</v>
      </c>
      <c r="F954" t="e">
        <f>NA()</f>
        <v>#N/A</v>
      </c>
    </row>
    <row r="955" spans="1:6" x14ac:dyDescent="0.25">
      <c r="A955" s="2">
        <v>43458</v>
      </c>
      <c r="B955">
        <f>1.7505</f>
        <v>1.7504999999999999</v>
      </c>
      <c r="C955">
        <f>1.5102</f>
        <v>1.5102</v>
      </c>
      <c r="D955">
        <f>0.9812</f>
        <v>0.98119999999999996</v>
      </c>
      <c r="E955">
        <f>0.668</f>
        <v>0.66800000000000004</v>
      </c>
      <c r="F955">
        <f>3.2037</f>
        <v>3.2037</v>
      </c>
    </row>
    <row r="956" spans="1:6" x14ac:dyDescent="0.25">
      <c r="A956" s="2">
        <v>43455</v>
      </c>
      <c r="B956">
        <f>1.7651</f>
        <v>1.7650999999999999</v>
      </c>
      <c r="C956">
        <f>1.5352</f>
        <v>1.5351999999999999</v>
      </c>
      <c r="D956">
        <f>0.9809</f>
        <v>0.98089999999999999</v>
      </c>
      <c r="E956">
        <f>0.7328</f>
        <v>0.73280000000000001</v>
      </c>
      <c r="F956">
        <f>3.2024</f>
        <v>3.2023999999999999</v>
      </c>
    </row>
    <row r="957" spans="1:6" x14ac:dyDescent="0.25">
      <c r="A957" s="2">
        <v>43454</v>
      </c>
      <c r="B957">
        <f>1.7807</f>
        <v>1.7806999999999999</v>
      </c>
      <c r="C957">
        <f>1.5414</f>
        <v>1.5414000000000001</v>
      </c>
      <c r="D957">
        <f>1.0154</f>
        <v>1.0154000000000001</v>
      </c>
      <c r="E957">
        <f>0.8137</f>
        <v>0.81369999999999998</v>
      </c>
      <c r="F957">
        <f>3.1836</f>
        <v>3.1836000000000002</v>
      </c>
    </row>
    <row r="958" spans="1:6" x14ac:dyDescent="0.25">
      <c r="A958" s="2">
        <v>43453</v>
      </c>
      <c r="B958">
        <f>1.7824</f>
        <v>1.7824</v>
      </c>
      <c r="C958">
        <f>1.5487</f>
        <v>1.5487</v>
      </c>
      <c r="D958">
        <f>1.0506</f>
        <v>1.0506</v>
      </c>
      <c r="E958">
        <f>0.873</f>
        <v>0.873</v>
      </c>
      <c r="F958">
        <f>3.2458</f>
        <v>3.2458</v>
      </c>
    </row>
    <row r="959" spans="1:6" x14ac:dyDescent="0.25">
      <c r="A959" s="2">
        <v>43452</v>
      </c>
      <c r="B959">
        <f>1.8163</f>
        <v>1.8163</v>
      </c>
      <c r="C959">
        <f>1.5822</f>
        <v>1.5822000000000001</v>
      </c>
      <c r="D959">
        <f>1.0687</f>
        <v>1.0687</v>
      </c>
      <c r="E959">
        <f>0.8984</f>
        <v>0.89839999999999998</v>
      </c>
      <c r="F959">
        <f>3.2856</f>
        <v>3.2856000000000001</v>
      </c>
    </row>
    <row r="960" spans="1:6" x14ac:dyDescent="0.25">
      <c r="A960" s="2">
        <v>43451</v>
      </c>
      <c r="B960">
        <f>1.8149</f>
        <v>1.8149</v>
      </c>
      <c r="C960">
        <f>1.5936</f>
        <v>1.5935999999999999</v>
      </c>
      <c r="D960">
        <f>1.0983</f>
        <v>1.0983000000000001</v>
      </c>
      <c r="E960">
        <f>0.9529</f>
        <v>0.95289999999999997</v>
      </c>
      <c r="F960">
        <f>3.2873</f>
        <v>3.2873000000000001</v>
      </c>
    </row>
    <row r="961" spans="1:6" x14ac:dyDescent="0.25">
      <c r="A961" s="2">
        <v>43448</v>
      </c>
      <c r="B961">
        <f>1.828</f>
        <v>1.8280000000000001</v>
      </c>
      <c r="C961">
        <f>1.6095</f>
        <v>1.6094999999999999</v>
      </c>
      <c r="D961">
        <f>1.1073</f>
        <v>1.1073</v>
      </c>
      <c r="E961">
        <f>0.9904</f>
        <v>0.99039999999999995</v>
      </c>
      <c r="F961">
        <f>3.3452</f>
        <v>3.3452000000000002</v>
      </c>
    </row>
    <row r="962" spans="1:6" x14ac:dyDescent="0.25">
      <c r="A962" s="2">
        <v>43447</v>
      </c>
      <c r="B962">
        <f>1.8425</f>
        <v>1.8425</v>
      </c>
      <c r="C962">
        <f>1.6362</f>
        <v>1.6362000000000001</v>
      </c>
      <c r="D962">
        <f>1.1144</f>
        <v>1.1144000000000001</v>
      </c>
      <c r="E962">
        <f>1.0519</f>
        <v>1.0519000000000001</v>
      </c>
      <c r="F962">
        <f>3.3356</f>
        <v>3.3355999999999999</v>
      </c>
    </row>
    <row r="963" spans="1:6" x14ac:dyDescent="0.25">
      <c r="A963" s="2">
        <v>43446</v>
      </c>
      <c r="B963">
        <f>1.8376</f>
        <v>1.8375999999999999</v>
      </c>
      <c r="C963">
        <f>1.6199</f>
        <v>1.6198999999999999</v>
      </c>
      <c r="D963">
        <f>1.1241</f>
        <v>1.1241000000000001</v>
      </c>
      <c r="E963">
        <f>1.012</f>
        <v>1.012</v>
      </c>
      <c r="F963">
        <f>3.3585</f>
        <v>3.3584999999999998</v>
      </c>
    </row>
    <row r="964" spans="1:6" x14ac:dyDescent="0.25">
      <c r="A964" s="2">
        <v>43445</v>
      </c>
      <c r="B964">
        <f>1.8291</f>
        <v>1.8290999999999999</v>
      </c>
      <c r="C964">
        <f>1.6141</f>
        <v>1.6141000000000001</v>
      </c>
      <c r="D964">
        <f>1.1265</f>
        <v>1.1265000000000001</v>
      </c>
      <c r="E964">
        <f>1.0113</f>
        <v>1.0113000000000001</v>
      </c>
      <c r="F964">
        <f>3.2937</f>
        <v>3.2936999999999999</v>
      </c>
    </row>
    <row r="965" spans="1:6" x14ac:dyDescent="0.25">
      <c r="A965" s="2">
        <v>43444</v>
      </c>
      <c r="B965">
        <f>1.8627</f>
        <v>1.8627</v>
      </c>
      <c r="C965">
        <f>1.6421</f>
        <v>1.6420999999999999</v>
      </c>
      <c r="D965">
        <f>1.1193</f>
        <v>1.1193</v>
      </c>
      <c r="E965">
        <f>1.024</f>
        <v>1.024</v>
      </c>
      <c r="F965">
        <f>3.3</f>
        <v>3.3</v>
      </c>
    </row>
    <row r="966" spans="1:6" x14ac:dyDescent="0.25">
      <c r="A966" s="2">
        <v>43441</v>
      </c>
      <c r="B966">
        <f>1.9042</f>
        <v>1.9041999999999999</v>
      </c>
      <c r="C966">
        <f>1.6978</f>
        <v>1.6978</v>
      </c>
      <c r="D966">
        <f>1.1352</f>
        <v>1.1352</v>
      </c>
      <c r="E966">
        <f>1.1456</f>
        <v>1.1456</v>
      </c>
      <c r="F966">
        <f>3.2718</f>
        <v>3.2717999999999998</v>
      </c>
    </row>
    <row r="967" spans="1:6" x14ac:dyDescent="0.25">
      <c r="A967" s="2">
        <v>43440</v>
      </c>
      <c r="B967">
        <f>1.9091</f>
        <v>1.9091</v>
      </c>
      <c r="C967">
        <f>1.7009</f>
        <v>1.7009000000000001</v>
      </c>
      <c r="D967">
        <f>1.1181</f>
        <v>1.1181000000000001</v>
      </c>
      <c r="E967">
        <f>1.1326</f>
        <v>1.1326000000000001</v>
      </c>
      <c r="F967">
        <f>3.2607</f>
        <v>3.2606999999999999</v>
      </c>
    </row>
    <row r="968" spans="1:6" x14ac:dyDescent="0.25">
      <c r="A968" s="2">
        <v>43439</v>
      </c>
      <c r="B968">
        <f>1.9425</f>
        <v>1.9424999999999999</v>
      </c>
      <c r="C968">
        <f>1.7512</f>
        <v>1.7512000000000001</v>
      </c>
      <c r="D968">
        <f>1.145</f>
        <v>1.145</v>
      </c>
      <c r="E968">
        <f>1.2295</f>
        <v>1.2295</v>
      </c>
      <c r="F968">
        <f>3.2865</f>
        <v>3.2865000000000002</v>
      </c>
    </row>
    <row r="969" spans="1:6" x14ac:dyDescent="0.25">
      <c r="A969" s="2">
        <v>43438</v>
      </c>
      <c r="B969">
        <f>1.9421</f>
        <v>1.9420999999999999</v>
      </c>
      <c r="C969">
        <f>1.7512</f>
        <v>1.7512000000000001</v>
      </c>
      <c r="D969">
        <f>1.1496</f>
        <v>1.1496</v>
      </c>
      <c r="E969">
        <f>1.2295</f>
        <v>1.2295</v>
      </c>
      <c r="F969">
        <f>3.3022</f>
        <v>3.3022</v>
      </c>
    </row>
    <row r="970" spans="1:6" x14ac:dyDescent="0.25">
      <c r="A970" s="2">
        <v>43437</v>
      </c>
      <c r="B970">
        <f>1.9624</f>
        <v>1.9623999999999999</v>
      </c>
      <c r="C970">
        <f>1.7698</f>
        <v>1.7698</v>
      </c>
      <c r="D970">
        <f>1.1559</f>
        <v>1.1558999999999999</v>
      </c>
      <c r="E970">
        <f>1.2643</f>
        <v>1.2643</v>
      </c>
      <c r="F970">
        <f>3.2828</f>
        <v>3.2827999999999999</v>
      </c>
    </row>
    <row r="971" spans="1:6" x14ac:dyDescent="0.25">
      <c r="A971" s="2">
        <v>43434</v>
      </c>
      <c r="B971">
        <f>1.9687</f>
        <v>1.9686999999999999</v>
      </c>
      <c r="C971">
        <f>1.7681</f>
        <v>1.7681</v>
      </c>
      <c r="D971">
        <f>1.1366</f>
        <v>1.1366000000000001</v>
      </c>
      <c r="E971">
        <f>1.2172</f>
        <v>1.2172000000000001</v>
      </c>
      <c r="F971">
        <f>3.2473</f>
        <v>3.2473000000000001</v>
      </c>
    </row>
    <row r="972" spans="1:6" x14ac:dyDescent="0.25">
      <c r="A972" s="2">
        <v>43433</v>
      </c>
      <c r="B972">
        <f>1.9879</f>
        <v>1.9879</v>
      </c>
      <c r="C972">
        <f>1.7973</f>
        <v>1.7972999999999999</v>
      </c>
      <c r="D972">
        <f>1.137</f>
        <v>1.137</v>
      </c>
      <c r="E972">
        <f>1.2784</f>
        <v>1.2784</v>
      </c>
      <c r="F972">
        <f>3.2053</f>
        <v>3.2052999999999998</v>
      </c>
    </row>
    <row r="973" spans="1:6" x14ac:dyDescent="0.25">
      <c r="A973" s="2">
        <v>43432</v>
      </c>
      <c r="B973">
        <f>1.9505</f>
        <v>1.9504999999999999</v>
      </c>
      <c r="C973">
        <f>1.7441</f>
        <v>1.7441</v>
      </c>
      <c r="D973">
        <f>1.1327</f>
        <v>1.1327</v>
      </c>
      <c r="E973">
        <f>1.2189</f>
        <v>1.2189000000000001</v>
      </c>
      <c r="F973">
        <f>3.1884</f>
        <v>3.1884000000000001</v>
      </c>
    </row>
    <row r="974" spans="1:6" x14ac:dyDescent="0.25">
      <c r="A974" s="2">
        <v>43431</v>
      </c>
      <c r="B974">
        <f>1.9167</f>
        <v>1.9167000000000001</v>
      </c>
      <c r="C974">
        <f>1.7301</f>
        <v>1.7301</v>
      </c>
      <c r="D974">
        <f>1.1501</f>
        <v>1.1500999999999999</v>
      </c>
      <c r="E974">
        <f>1.2267</f>
        <v>1.2266999999999999</v>
      </c>
      <c r="F974">
        <f>3.1888</f>
        <v>3.1888000000000001</v>
      </c>
    </row>
    <row r="975" spans="1:6" x14ac:dyDescent="0.25">
      <c r="A975" s="2">
        <v>43430</v>
      </c>
      <c r="B975">
        <f>1.9608</f>
        <v>1.9608000000000001</v>
      </c>
      <c r="C975">
        <f>1.7785</f>
        <v>1.7785</v>
      </c>
      <c r="D975">
        <f>1.168</f>
        <v>1.1679999999999999</v>
      </c>
      <c r="E975">
        <f>1.2735</f>
        <v>1.2735000000000001</v>
      </c>
      <c r="F975">
        <f>3.1905</f>
        <v>3.1905000000000001</v>
      </c>
    </row>
    <row r="976" spans="1:6" x14ac:dyDescent="0.25">
      <c r="A976" s="2">
        <v>43427</v>
      </c>
      <c r="B976">
        <f>1.9667</f>
        <v>1.9666999999999999</v>
      </c>
      <c r="C976">
        <f>1.7717</f>
        <v>1.7717000000000001</v>
      </c>
      <c r="D976">
        <f>1.1067</f>
        <v>1.1067</v>
      </c>
      <c r="E976">
        <f>1.2592</f>
        <v>1.2592000000000001</v>
      </c>
      <c r="F976">
        <f>3.2043</f>
        <v>3.2042999999999999</v>
      </c>
    </row>
    <row r="977" spans="1:6" x14ac:dyDescent="0.25">
      <c r="A977" s="2">
        <v>43426</v>
      </c>
      <c r="B977">
        <f>1.9892</f>
        <v>1.9892000000000001</v>
      </c>
      <c r="C977">
        <f>1.8229</f>
        <v>1.8229</v>
      </c>
      <c r="D977">
        <f>1.196</f>
        <v>1.196</v>
      </c>
      <c r="E977">
        <f>1.3522</f>
        <v>1.3522000000000001</v>
      </c>
      <c r="F977">
        <f>3.2145</f>
        <v>3.2145000000000001</v>
      </c>
    </row>
    <row r="978" spans="1:6" x14ac:dyDescent="0.25">
      <c r="A978" s="2">
        <v>43425</v>
      </c>
      <c r="B978">
        <f>1.9896</f>
        <v>1.9896</v>
      </c>
      <c r="C978">
        <f>1.8229</f>
        <v>1.8229</v>
      </c>
      <c r="D978">
        <f>1.2198</f>
        <v>1.2198</v>
      </c>
      <c r="E978">
        <f>1.3522</f>
        <v>1.3522000000000001</v>
      </c>
      <c r="F978">
        <f>3.2331</f>
        <v>3.2330999999999999</v>
      </c>
    </row>
    <row r="979" spans="1:6" x14ac:dyDescent="0.25">
      <c r="A979" s="2">
        <v>43424</v>
      </c>
      <c r="B979">
        <f>1.9818</f>
        <v>1.9818</v>
      </c>
      <c r="C979">
        <f>1.8315</f>
        <v>1.8314999999999999</v>
      </c>
      <c r="D979">
        <f>1.2465</f>
        <v>1.2464999999999999</v>
      </c>
      <c r="E979">
        <f>1.3552</f>
        <v>1.3552</v>
      </c>
      <c r="F979">
        <f>3.257</f>
        <v>3.2570000000000001</v>
      </c>
    </row>
    <row r="980" spans="1:6" x14ac:dyDescent="0.25">
      <c r="A980" s="2">
        <v>43423</v>
      </c>
      <c r="B980">
        <f>2.0023</f>
        <v>2.0023</v>
      </c>
      <c r="C980">
        <f>1.856</f>
        <v>1.8560000000000001</v>
      </c>
      <c r="D980">
        <f>1.2738</f>
        <v>1.2738</v>
      </c>
      <c r="E980">
        <f>1.4395</f>
        <v>1.4395</v>
      </c>
      <c r="F980">
        <f>3.2794</f>
        <v>3.2793999999999999</v>
      </c>
    </row>
    <row r="981" spans="1:6" x14ac:dyDescent="0.25">
      <c r="A981" s="2">
        <v>43420</v>
      </c>
      <c r="B981">
        <f>2.0288</f>
        <v>2.0287999999999999</v>
      </c>
      <c r="C981">
        <f>1.8803</f>
        <v>1.8803000000000001</v>
      </c>
      <c r="D981">
        <f>1.2764</f>
        <v>1.2764</v>
      </c>
      <c r="E981">
        <f>1.478</f>
        <v>1.478</v>
      </c>
      <c r="F981">
        <f>3.3041</f>
        <v>3.3041</v>
      </c>
    </row>
    <row r="982" spans="1:6" x14ac:dyDescent="0.25">
      <c r="A982" s="2">
        <v>43419</v>
      </c>
      <c r="B982">
        <f>2.0163</f>
        <v>2.0163000000000002</v>
      </c>
      <c r="C982">
        <f>1.8614</f>
        <v>1.8613999999999999</v>
      </c>
      <c r="D982">
        <f>1.2729</f>
        <v>1.2728999999999999</v>
      </c>
      <c r="E982">
        <f>1.4414</f>
        <v>1.4414</v>
      </c>
      <c r="F982">
        <f>3.2984</f>
        <v>3.2984</v>
      </c>
    </row>
    <row r="983" spans="1:6" x14ac:dyDescent="0.25">
      <c r="A983" s="2">
        <v>43418</v>
      </c>
      <c r="B983">
        <f>2.013</f>
        <v>2.0129999999999999</v>
      </c>
      <c r="C983">
        <f>1.8557</f>
        <v>1.8556999999999999</v>
      </c>
      <c r="D983">
        <f>1.2779</f>
        <v>1.2779</v>
      </c>
      <c r="E983">
        <f>1.413</f>
        <v>1.413</v>
      </c>
      <c r="F983">
        <f>3.2546</f>
        <v>3.2545999999999999</v>
      </c>
    </row>
    <row r="984" spans="1:6" x14ac:dyDescent="0.25">
      <c r="A984" s="2">
        <v>43417</v>
      </c>
      <c r="B984">
        <f>2.0334</f>
        <v>2.0333999999999999</v>
      </c>
      <c r="C984">
        <f>1.8777</f>
        <v>1.8776999999999999</v>
      </c>
      <c r="D984">
        <f>1.297</f>
        <v>1.2969999999999999</v>
      </c>
      <c r="E984">
        <f>1.433</f>
        <v>1.4330000000000001</v>
      </c>
      <c r="F984">
        <f>3.2577</f>
        <v>3.2576999999999998</v>
      </c>
    </row>
    <row r="985" spans="1:6" x14ac:dyDescent="0.25">
      <c r="A985" s="2">
        <v>43416</v>
      </c>
      <c r="B985">
        <f>2.0535</f>
        <v>2.0535000000000001</v>
      </c>
      <c r="C985">
        <f>1.9024</f>
        <v>1.9024000000000001</v>
      </c>
      <c r="D985">
        <f>1.3265</f>
        <v>1.3265</v>
      </c>
      <c r="E985">
        <f>1.48</f>
        <v>1.48</v>
      </c>
      <c r="F985">
        <f>3.2638</f>
        <v>3.2637999999999998</v>
      </c>
    </row>
    <row r="986" spans="1:6" x14ac:dyDescent="0.25">
      <c r="A986" s="2">
        <v>43413</v>
      </c>
      <c r="B986">
        <f>2.0535</f>
        <v>2.0535000000000001</v>
      </c>
      <c r="C986">
        <f>1.9024</f>
        <v>1.9024000000000001</v>
      </c>
      <c r="D986">
        <f>1.318</f>
        <v>1.3180000000000001</v>
      </c>
      <c r="E986">
        <f>1.48</f>
        <v>1.48</v>
      </c>
      <c r="F986">
        <f>3.2282</f>
        <v>3.2282000000000002</v>
      </c>
    </row>
    <row r="987" spans="1:6" x14ac:dyDescent="0.25">
      <c r="A987" s="2">
        <v>43412</v>
      </c>
      <c r="B987">
        <f>2.0765</f>
        <v>2.0764999999999998</v>
      </c>
      <c r="C987">
        <f>1.9268</f>
        <v>1.9268000000000001</v>
      </c>
      <c r="D987">
        <f>1.3323</f>
        <v>1.3323</v>
      </c>
      <c r="E987">
        <f>1.5024</f>
        <v>1.5024</v>
      </c>
      <c r="F987">
        <f>3.2211</f>
        <v>3.2210999999999999</v>
      </c>
    </row>
    <row r="988" spans="1:6" x14ac:dyDescent="0.25">
      <c r="A988" s="2">
        <v>43411</v>
      </c>
      <c r="B988">
        <f>2.0834</f>
        <v>2.0834000000000001</v>
      </c>
      <c r="C988">
        <f>1.9312</f>
        <v>1.9312</v>
      </c>
      <c r="D988">
        <f>1.3379</f>
        <v>1.3379000000000001</v>
      </c>
      <c r="E988">
        <f>1.5022</f>
        <v>1.5022</v>
      </c>
      <c r="F988">
        <f>3.2073</f>
        <v>3.2073</v>
      </c>
    </row>
    <row r="989" spans="1:6" x14ac:dyDescent="0.25">
      <c r="A989" s="2">
        <v>43410</v>
      </c>
      <c r="B989">
        <f>2.0743</f>
        <v>2.0743</v>
      </c>
      <c r="C989">
        <f>1.9232</f>
        <v>1.9232</v>
      </c>
      <c r="D989">
        <f>1.3315</f>
        <v>1.3314999999999999</v>
      </c>
      <c r="E989">
        <f>1.4932</f>
        <v>1.4932000000000001</v>
      </c>
      <c r="F989">
        <f>3.1961</f>
        <v>3.1960999999999999</v>
      </c>
    </row>
    <row r="990" spans="1:6" x14ac:dyDescent="0.25">
      <c r="A990" s="2">
        <v>43409</v>
      </c>
      <c r="B990">
        <f>2.0672</f>
        <v>2.0672000000000001</v>
      </c>
      <c r="C990">
        <f>1.916</f>
        <v>1.9159999999999999</v>
      </c>
      <c r="D990">
        <f>1.3271</f>
        <v>1.3270999999999999</v>
      </c>
      <c r="E990">
        <f>1.4956</f>
        <v>1.4956</v>
      </c>
      <c r="F990">
        <f>3.1727</f>
        <v>3.1726999999999999</v>
      </c>
    </row>
    <row r="991" spans="1:6" x14ac:dyDescent="0.25">
      <c r="A991" s="2">
        <v>43406</v>
      </c>
      <c r="B991">
        <f>2.0608</f>
        <v>2.0608</v>
      </c>
      <c r="C991">
        <f>1.9099</f>
        <v>1.9098999999999999</v>
      </c>
      <c r="D991">
        <f>1.312</f>
        <v>1.3120000000000001</v>
      </c>
      <c r="E991">
        <f>1.4857</f>
        <v>1.4857</v>
      </c>
      <c r="F991">
        <f>3.1624</f>
        <v>3.1623999999999999</v>
      </c>
    </row>
    <row r="992" spans="1:6" x14ac:dyDescent="0.25">
      <c r="A992" s="2">
        <v>43405</v>
      </c>
      <c r="B992">
        <f>2.0288</f>
        <v>2.0287999999999999</v>
      </c>
      <c r="C992">
        <f>1.8743</f>
        <v>1.8743000000000001</v>
      </c>
      <c r="D992">
        <f>1.3077</f>
        <v>1.3077000000000001</v>
      </c>
      <c r="E992">
        <f>1.4638</f>
        <v>1.4638</v>
      </c>
      <c r="F992">
        <f>3.1553</f>
        <v>3.1553</v>
      </c>
    </row>
    <row r="993" spans="1:6" x14ac:dyDescent="0.25">
      <c r="A993" s="2">
        <v>43404</v>
      </c>
      <c r="B993">
        <f>2.062</f>
        <v>2.0619999999999998</v>
      </c>
      <c r="C993">
        <f>1.9051</f>
        <v>1.9051</v>
      </c>
      <c r="D993">
        <f>1.3153</f>
        <v>1.3152999999999999</v>
      </c>
      <c r="E993">
        <f>1.5136</f>
        <v>1.5136000000000001</v>
      </c>
      <c r="F993">
        <f>3.1898</f>
        <v>3.1898</v>
      </c>
    </row>
    <row r="994" spans="1:6" x14ac:dyDescent="0.25">
      <c r="A994" s="2">
        <v>43403</v>
      </c>
      <c r="B994">
        <f>2.0572</f>
        <v>2.0571999999999999</v>
      </c>
      <c r="C994">
        <f>1.91</f>
        <v>1.91</v>
      </c>
      <c r="D994">
        <f>1.3104</f>
        <v>1.3104</v>
      </c>
      <c r="E994">
        <f>1.553</f>
        <v>1.5529999999999999</v>
      </c>
      <c r="F994">
        <f>3.1845</f>
        <v>3.1844999999999999</v>
      </c>
    </row>
    <row r="995" spans="1:6" x14ac:dyDescent="0.25">
      <c r="A995" s="2">
        <v>43402</v>
      </c>
      <c r="B995">
        <f>2.0631</f>
        <v>2.0630999999999999</v>
      </c>
      <c r="C995">
        <f>1.9217</f>
        <v>1.9217</v>
      </c>
      <c r="D995">
        <f>1.3061</f>
        <v>1.3061</v>
      </c>
      <c r="E995">
        <f>1.5727</f>
        <v>1.5727</v>
      </c>
      <c r="F995">
        <f>3.1552</f>
        <v>3.1551999999999998</v>
      </c>
    </row>
    <row r="996" spans="1:6" x14ac:dyDescent="0.25">
      <c r="A996" s="2">
        <v>43399</v>
      </c>
      <c r="B996">
        <f>2.0683</f>
        <v>2.0682999999999998</v>
      </c>
      <c r="C996">
        <f>1.9277</f>
        <v>1.9277</v>
      </c>
      <c r="D996">
        <f>1.3031</f>
        <v>1.3030999999999999</v>
      </c>
      <c r="E996">
        <f>1.5667</f>
        <v>1.5667</v>
      </c>
      <c r="F996">
        <f>3.1374</f>
        <v>3.1374</v>
      </c>
    </row>
    <row r="997" spans="1:6" x14ac:dyDescent="0.25">
      <c r="A997" s="2">
        <v>43398</v>
      </c>
      <c r="B997">
        <f>2.0491</f>
        <v>2.0491000000000001</v>
      </c>
      <c r="C997">
        <f>1.9036</f>
        <v>1.9036</v>
      </c>
      <c r="D997">
        <f>1.3092</f>
        <v>1.3091999999999999</v>
      </c>
      <c r="E997">
        <f>1.5337</f>
        <v>1.5337000000000001</v>
      </c>
      <c r="F997">
        <f>3.1435</f>
        <v>3.1435</v>
      </c>
    </row>
    <row r="998" spans="1:6" x14ac:dyDescent="0.25">
      <c r="A998" s="2">
        <v>43397</v>
      </c>
      <c r="B998">
        <f>2.0726</f>
        <v>2.0726</v>
      </c>
      <c r="C998">
        <f>1.9249</f>
        <v>1.9249000000000001</v>
      </c>
      <c r="D998">
        <f>1.313</f>
        <v>1.3129999999999999</v>
      </c>
      <c r="E998">
        <f>1.5617</f>
        <v>1.5617000000000001</v>
      </c>
      <c r="F998">
        <f>3.1218</f>
        <v>3.1217999999999999</v>
      </c>
    </row>
    <row r="999" spans="1:6" x14ac:dyDescent="0.25">
      <c r="A999" s="2">
        <v>43396</v>
      </c>
      <c r="B999">
        <f>2.0907</f>
        <v>2.0907</v>
      </c>
      <c r="C999">
        <f>1.9472</f>
        <v>1.9472</v>
      </c>
      <c r="D999">
        <f>1.3278</f>
        <v>1.3278000000000001</v>
      </c>
      <c r="E999">
        <f>1.6071</f>
        <v>1.6071</v>
      </c>
      <c r="F999">
        <f>3.1189</f>
        <v>3.1189</v>
      </c>
    </row>
    <row r="1000" spans="1:6" x14ac:dyDescent="0.25">
      <c r="A1000" s="2">
        <v>43395</v>
      </c>
      <c r="B1000">
        <f>2.1115</f>
        <v>2.1114999999999999</v>
      </c>
      <c r="C1000">
        <f>1.9776</f>
        <v>1.9776</v>
      </c>
      <c r="D1000">
        <f>1.3491</f>
        <v>1.3491</v>
      </c>
      <c r="E1000">
        <f>1.687</f>
        <v>1.6870000000000001</v>
      </c>
      <c r="F1000">
        <f>3.1357</f>
        <v>3.1356999999999999</v>
      </c>
    </row>
    <row r="1001" spans="1:6" x14ac:dyDescent="0.25">
      <c r="A1001" s="2">
        <v>43392</v>
      </c>
      <c r="B1001">
        <f>2.1145</f>
        <v>2.1145</v>
      </c>
      <c r="C1001">
        <f>1.9839</f>
        <v>1.9839</v>
      </c>
      <c r="D1001">
        <f>1.3501</f>
        <v>1.3501000000000001</v>
      </c>
      <c r="E1001">
        <f>1.6986</f>
        <v>1.6986000000000001</v>
      </c>
      <c r="F1001">
        <f>3.1412</f>
        <v>3.1412</v>
      </c>
    </row>
    <row r="1002" spans="1:6" x14ac:dyDescent="0.25">
      <c r="A1002" s="2">
        <v>43391</v>
      </c>
      <c r="B1002">
        <f>2.112</f>
        <v>2.1120000000000001</v>
      </c>
      <c r="C1002">
        <f>1.9771</f>
        <v>1.9771000000000001</v>
      </c>
      <c r="D1002">
        <f>1.3623</f>
        <v>1.3623000000000001</v>
      </c>
      <c r="E1002">
        <f>1.6683</f>
        <v>1.6682999999999999</v>
      </c>
      <c r="F1002">
        <f>3.1381</f>
        <v>3.1381000000000001</v>
      </c>
    </row>
    <row r="1003" spans="1:6" x14ac:dyDescent="0.25">
      <c r="A1003" s="2">
        <v>43390</v>
      </c>
      <c r="B1003">
        <f>2.1368</f>
        <v>2.1368</v>
      </c>
      <c r="C1003">
        <f>2.0044</f>
        <v>2.0044</v>
      </c>
      <c r="D1003">
        <f>1.371</f>
        <v>1.371</v>
      </c>
      <c r="E1003">
        <f>1.7016</f>
        <v>1.7016</v>
      </c>
      <c r="F1003">
        <f>3.1522</f>
        <v>3.1522000000000001</v>
      </c>
    </row>
    <row r="1004" spans="1:6" x14ac:dyDescent="0.25">
      <c r="A1004" s="2">
        <v>43389</v>
      </c>
      <c r="B1004">
        <f>2.13</f>
        <v>2.13</v>
      </c>
      <c r="C1004">
        <f>2.0052</f>
        <v>2.0051999999999999</v>
      </c>
      <c r="D1004">
        <f>1.3757</f>
        <v>1.3756999999999999</v>
      </c>
      <c r="E1004">
        <f>1.7274</f>
        <v>1.7274</v>
      </c>
      <c r="F1004">
        <f>3.2041</f>
        <v>3.2040999999999999</v>
      </c>
    </row>
    <row r="1005" spans="1:6" x14ac:dyDescent="0.25">
      <c r="A1005" s="2">
        <v>43388</v>
      </c>
      <c r="B1005">
        <f>2.1297</f>
        <v>2.1297000000000001</v>
      </c>
      <c r="C1005">
        <f>1.9993</f>
        <v>1.9993000000000001</v>
      </c>
      <c r="D1005">
        <f>1.3747</f>
        <v>1.3747</v>
      </c>
      <c r="E1005">
        <f>1.7094</f>
        <v>1.7094</v>
      </c>
      <c r="F1005">
        <f>3.196</f>
        <v>3.1960000000000002</v>
      </c>
    </row>
    <row r="1006" spans="1:6" x14ac:dyDescent="0.25">
      <c r="A1006" s="2">
        <v>43385</v>
      </c>
      <c r="B1006">
        <f>2.1251</f>
        <v>2.1251000000000002</v>
      </c>
      <c r="C1006">
        <f>1.9951</f>
        <v>1.9951000000000001</v>
      </c>
      <c r="D1006">
        <f>1.3724</f>
        <v>1.3724000000000001</v>
      </c>
      <c r="E1006">
        <f>1.6942</f>
        <v>1.6941999999999999</v>
      </c>
      <c r="F1006">
        <f>3.1763</f>
        <v>3.1762999999999999</v>
      </c>
    </row>
    <row r="1007" spans="1:6" x14ac:dyDescent="0.25">
      <c r="A1007" s="2">
        <v>43384</v>
      </c>
      <c r="B1007">
        <f>2.1241</f>
        <v>2.1240999999999999</v>
      </c>
      <c r="C1007">
        <f>1.9878</f>
        <v>1.9878</v>
      </c>
      <c r="D1007">
        <f>1.3717</f>
        <v>1.3716999999999999</v>
      </c>
      <c r="E1007">
        <f>1.6873</f>
        <v>1.6873</v>
      </c>
      <c r="F1007">
        <f>3.1622</f>
        <v>3.1621999999999999</v>
      </c>
    </row>
    <row r="1008" spans="1:6" x14ac:dyDescent="0.25">
      <c r="A1008" s="2">
        <v>43383</v>
      </c>
      <c r="B1008">
        <f>2.1535</f>
        <v>2.1535000000000002</v>
      </c>
      <c r="C1008">
        <f>2.0307</f>
        <v>2.0306999999999999</v>
      </c>
      <c r="D1008">
        <f>1.3771</f>
        <v>1.3771</v>
      </c>
      <c r="E1008">
        <f>1.7814</f>
        <v>1.7814000000000001</v>
      </c>
      <c r="F1008">
        <f>3.1861</f>
        <v>3.1861000000000002</v>
      </c>
    </row>
    <row r="1009" spans="1:6" x14ac:dyDescent="0.25">
      <c r="A1009" s="2">
        <v>43382</v>
      </c>
      <c r="B1009">
        <f>2.1705</f>
        <v>2.1705000000000001</v>
      </c>
      <c r="C1009">
        <f>2.0544</f>
        <v>2.0543999999999998</v>
      </c>
      <c r="D1009">
        <f>1.3722</f>
        <v>1.3722000000000001</v>
      </c>
      <c r="E1009">
        <f>1.8263</f>
        <v>1.8263</v>
      </c>
      <c r="F1009">
        <f>3.1837</f>
        <v>3.1837</v>
      </c>
    </row>
    <row r="1010" spans="1:6" x14ac:dyDescent="0.25">
      <c r="A1010" s="2">
        <v>43381</v>
      </c>
      <c r="B1010">
        <f>2.1722</f>
        <v>2.1722000000000001</v>
      </c>
      <c r="C1010">
        <f>2.0549</f>
        <v>2.0548999999999999</v>
      </c>
      <c r="D1010">
        <f>1.3576</f>
        <v>1.3575999999999999</v>
      </c>
      <c r="E1010">
        <f>1.8124</f>
        <v>1.8124</v>
      </c>
      <c r="F1010">
        <f>3.1766</f>
        <v>3.1766000000000001</v>
      </c>
    </row>
    <row r="1011" spans="1:6" x14ac:dyDescent="0.25">
      <c r="A1011" s="2">
        <v>43378</v>
      </c>
      <c r="B1011">
        <f>2.1722</f>
        <v>2.1722000000000001</v>
      </c>
      <c r="C1011">
        <f>2.0549</f>
        <v>2.0548999999999999</v>
      </c>
      <c r="D1011">
        <f>1.3577</f>
        <v>1.3576999999999999</v>
      </c>
      <c r="E1011">
        <f>1.8124</f>
        <v>1.8124</v>
      </c>
      <c r="F1011">
        <f>3.1422</f>
        <v>3.1421999999999999</v>
      </c>
    </row>
    <row r="1012" spans="1:6" x14ac:dyDescent="0.25">
      <c r="A1012" s="2">
        <v>43377</v>
      </c>
      <c r="B1012">
        <f>2.1602</f>
        <v>2.1602000000000001</v>
      </c>
      <c r="C1012">
        <f>2.0514</f>
        <v>2.0514000000000001</v>
      </c>
      <c r="D1012">
        <f>1.3565</f>
        <v>1.3565</v>
      </c>
      <c r="E1012">
        <f>1.817</f>
        <v>1.8169999999999999</v>
      </c>
      <c r="F1012">
        <f>3.1634</f>
        <v>3.1634000000000002</v>
      </c>
    </row>
    <row r="1013" spans="1:6" x14ac:dyDescent="0.25">
      <c r="A1013" s="2">
        <v>43376</v>
      </c>
      <c r="B1013">
        <f>2.1662</f>
        <v>2.1661999999999999</v>
      </c>
      <c r="C1013">
        <f>2.0667</f>
        <v>2.0667</v>
      </c>
      <c r="D1013">
        <f>1.345</f>
        <v>1.345</v>
      </c>
      <c r="E1013">
        <f>1.8345</f>
        <v>1.8345</v>
      </c>
      <c r="F1013">
        <f>3.1384</f>
        <v>3.1383999999999999</v>
      </c>
    </row>
    <row r="1014" spans="1:6" x14ac:dyDescent="0.25">
      <c r="A1014" s="2">
        <v>43375</v>
      </c>
      <c r="B1014">
        <f>2.1341</f>
        <v>2.1341000000000001</v>
      </c>
      <c r="C1014">
        <f>2.0365</f>
        <v>2.0365000000000002</v>
      </c>
      <c r="D1014">
        <f>1.3471</f>
        <v>1.3471</v>
      </c>
      <c r="E1014">
        <f>1.8118</f>
        <v>1.8118000000000001</v>
      </c>
      <c r="F1014">
        <f>3.1263</f>
        <v>3.1263000000000001</v>
      </c>
    </row>
    <row r="1015" spans="1:6" x14ac:dyDescent="0.25">
      <c r="A1015" s="2">
        <v>43374</v>
      </c>
      <c r="B1015">
        <f>2.1419</f>
        <v>2.1419000000000001</v>
      </c>
      <c r="C1015">
        <f>2.0396</f>
        <v>2.0396000000000001</v>
      </c>
      <c r="D1015">
        <f>1.3536</f>
        <v>1.3535999999999999</v>
      </c>
      <c r="E1015">
        <f>1.8268</f>
        <v>1.8268</v>
      </c>
      <c r="F1015">
        <f>3.1359</f>
        <v>3.1358999999999999</v>
      </c>
    </row>
    <row r="1016" spans="1:6" x14ac:dyDescent="0.25">
      <c r="A1016" s="2">
        <v>43371</v>
      </c>
      <c r="B1016">
        <f>2.1449</f>
        <v>2.1448999999999998</v>
      </c>
      <c r="C1016">
        <f>2.0349</f>
        <v>2.0348999999999999</v>
      </c>
      <c r="D1016">
        <f>1.3485</f>
        <v>1.3485</v>
      </c>
      <c r="E1016">
        <f>1.8092</f>
        <v>1.8091999999999999</v>
      </c>
      <c r="F1016">
        <f>3.1028</f>
        <v>3.1027999999999998</v>
      </c>
    </row>
    <row r="1017" spans="1:6" x14ac:dyDescent="0.25">
      <c r="A1017" s="2">
        <v>43370</v>
      </c>
      <c r="B1017">
        <f>2.1482</f>
        <v>2.1482000000000001</v>
      </c>
      <c r="C1017">
        <f>2.0352</f>
        <v>2.0352000000000001</v>
      </c>
      <c r="D1017">
        <f>1.363</f>
        <v>1.363</v>
      </c>
      <c r="E1017">
        <f>1.8033</f>
        <v>1.8032999999999999</v>
      </c>
      <c r="F1017">
        <f>3.0938</f>
        <v>3.0937999999999999</v>
      </c>
    </row>
    <row r="1018" spans="1:6" x14ac:dyDescent="0.25">
      <c r="A1018" s="2">
        <v>43369</v>
      </c>
      <c r="B1018">
        <f>2.1474</f>
        <v>2.1474000000000002</v>
      </c>
      <c r="C1018">
        <f>2.0277</f>
        <v>2.0276999999999998</v>
      </c>
      <c r="D1018">
        <f>1.3496</f>
        <v>1.3495999999999999</v>
      </c>
      <c r="E1018">
        <f>1.7857</f>
        <v>1.7857000000000001</v>
      </c>
      <c r="F1018">
        <f>3.1085</f>
        <v>3.1084999999999998</v>
      </c>
    </row>
    <row r="1019" spans="1:6" x14ac:dyDescent="0.25">
      <c r="A1019" s="2">
        <v>43368</v>
      </c>
      <c r="B1019">
        <f>2.1634</f>
        <v>2.1634000000000002</v>
      </c>
      <c r="C1019">
        <f>2.0391</f>
        <v>2.0390999999999999</v>
      </c>
      <c r="D1019">
        <f>1.345</f>
        <v>1.345</v>
      </c>
      <c r="E1019">
        <f>1.783</f>
        <v>1.7829999999999999</v>
      </c>
      <c r="F1019">
        <f>3.1391</f>
        <v>3.1391</v>
      </c>
    </row>
    <row r="1020" spans="1:6" x14ac:dyDescent="0.25">
      <c r="A1020" s="2">
        <v>43367</v>
      </c>
      <c r="B1020">
        <f>2.1581</f>
        <v>2.1581000000000001</v>
      </c>
      <c r="C1020">
        <f>2.0307</f>
        <v>2.0306999999999999</v>
      </c>
      <c r="D1020">
        <f>1.3349</f>
        <v>1.3349</v>
      </c>
      <c r="E1020">
        <f>1.7808</f>
        <v>1.7807999999999999</v>
      </c>
      <c r="F1020">
        <f>3.1143</f>
        <v>3.1143000000000001</v>
      </c>
    </row>
    <row r="1021" spans="1:6" x14ac:dyDescent="0.25">
      <c r="A1021" s="2">
        <v>43364</v>
      </c>
      <c r="B1021">
        <f>2.1535</f>
        <v>2.1535000000000002</v>
      </c>
      <c r="C1021">
        <f>2.023</f>
        <v>2.0230000000000001</v>
      </c>
      <c r="D1021">
        <f>1.318</f>
        <v>1.3180000000000001</v>
      </c>
      <c r="E1021">
        <f>1.7441</f>
        <v>1.7441</v>
      </c>
      <c r="F1021">
        <f>3.0821</f>
        <v>3.0821000000000001</v>
      </c>
    </row>
    <row r="1022" spans="1:6" x14ac:dyDescent="0.25">
      <c r="A1022" s="2">
        <v>43363</v>
      </c>
      <c r="B1022">
        <f>2.1497</f>
        <v>2.1497000000000002</v>
      </c>
      <c r="C1022">
        <f>2.0216</f>
        <v>2.0215999999999998</v>
      </c>
      <c r="D1022">
        <f>1.3043</f>
        <v>1.3043</v>
      </c>
      <c r="E1022">
        <f>1.7386</f>
        <v>1.7385999999999999</v>
      </c>
      <c r="F1022">
        <f>3.0535</f>
        <v>3.0535000000000001</v>
      </c>
    </row>
    <row r="1023" spans="1:6" x14ac:dyDescent="0.25">
      <c r="A1023" s="2">
        <v>43362</v>
      </c>
      <c r="B1023">
        <f>2.1459</f>
        <v>2.1459000000000001</v>
      </c>
      <c r="C1023">
        <f>2.0232</f>
        <v>2.0232000000000001</v>
      </c>
      <c r="D1023">
        <f>1.2979</f>
        <v>1.2979000000000001</v>
      </c>
      <c r="E1023">
        <f>1.743</f>
        <v>1.7430000000000001</v>
      </c>
      <c r="F1023">
        <f>3.0414</f>
        <v>3.0413999999999999</v>
      </c>
    </row>
    <row r="1024" spans="1:6" x14ac:dyDescent="0.25">
      <c r="A1024" s="2">
        <v>43361</v>
      </c>
      <c r="B1024">
        <f>2.136</f>
        <v>2.1360000000000001</v>
      </c>
      <c r="C1024">
        <f>2.0152</f>
        <v>2.0152000000000001</v>
      </c>
      <c r="D1024">
        <f>1.2958</f>
        <v>1.2958000000000001</v>
      </c>
      <c r="E1024">
        <f>1.7184</f>
        <v>1.7183999999999999</v>
      </c>
      <c r="F1024">
        <f>3.0379</f>
        <v>3.0379</v>
      </c>
    </row>
    <row r="1025" spans="1:6" x14ac:dyDescent="0.25">
      <c r="A1025" s="2">
        <v>43360</v>
      </c>
      <c r="B1025">
        <f>2.108</f>
        <v>2.1080000000000001</v>
      </c>
      <c r="C1025">
        <f>1.9905</f>
        <v>1.9904999999999999</v>
      </c>
      <c r="D1025">
        <f>1.2958</f>
        <v>1.2958000000000001</v>
      </c>
      <c r="E1025">
        <f>1.6996</f>
        <v>1.6996</v>
      </c>
      <c r="F1025">
        <f>3.0343</f>
        <v>3.0343</v>
      </c>
    </row>
    <row r="1026" spans="1:6" x14ac:dyDescent="0.25">
      <c r="A1026" s="2">
        <v>43357</v>
      </c>
      <c r="B1026">
        <f>2.1087</f>
        <v>2.1086999999999998</v>
      </c>
      <c r="C1026">
        <f>1.9954</f>
        <v>1.9954000000000001</v>
      </c>
      <c r="D1026">
        <f>1.2967</f>
        <v>1.2967</v>
      </c>
      <c r="E1026">
        <f>1.6966</f>
        <v>1.6966000000000001</v>
      </c>
      <c r="F1026">
        <f>3.0252</f>
        <v>3.0251999999999999</v>
      </c>
    </row>
    <row r="1027" spans="1:6" x14ac:dyDescent="0.25">
      <c r="A1027" s="2">
        <v>43356</v>
      </c>
      <c r="B1027">
        <f>2.1018</f>
        <v>2.1017999999999999</v>
      </c>
      <c r="C1027">
        <f>1.9893</f>
        <v>1.9893000000000001</v>
      </c>
      <c r="D1027">
        <f>1.2964</f>
        <v>1.2964</v>
      </c>
      <c r="E1027">
        <f>1.6908</f>
        <v>1.6908000000000001</v>
      </c>
      <c r="F1027">
        <f>3.0193</f>
        <v>3.0192999999999999</v>
      </c>
    </row>
    <row r="1028" spans="1:6" x14ac:dyDescent="0.25">
      <c r="A1028" s="2">
        <v>43355</v>
      </c>
      <c r="B1028">
        <f>2.1207</f>
        <v>2.1206999999999998</v>
      </c>
      <c r="C1028">
        <f>2.0188</f>
        <v>2.0188000000000001</v>
      </c>
      <c r="D1028">
        <f>1.2968</f>
        <v>1.2968</v>
      </c>
      <c r="E1028">
        <f>1.7617</f>
        <v>1.7617</v>
      </c>
      <c r="F1028">
        <f>3.0077</f>
        <v>3.0076999999999998</v>
      </c>
    </row>
    <row r="1029" spans="1:6" x14ac:dyDescent="0.25">
      <c r="A1029" s="2">
        <v>43354</v>
      </c>
      <c r="B1029">
        <f>2.1211</f>
        <v>2.1211000000000002</v>
      </c>
      <c r="C1029">
        <f>2.0165</f>
        <v>2.0165000000000002</v>
      </c>
      <c r="D1029">
        <f>1.291</f>
        <v>1.2909999999999999</v>
      </c>
      <c r="E1029">
        <f>1.7485</f>
        <v>1.7484999999999999</v>
      </c>
      <c r="F1029">
        <f>3.0183</f>
        <v>3.0183</v>
      </c>
    </row>
    <row r="1030" spans="1:6" x14ac:dyDescent="0.25">
      <c r="A1030" s="2">
        <v>43353</v>
      </c>
      <c r="B1030">
        <f>2.1</f>
        <v>2.1</v>
      </c>
      <c r="C1030">
        <f>1.9912</f>
        <v>1.9912000000000001</v>
      </c>
      <c r="D1030">
        <f>1.2764</f>
        <v>1.2764</v>
      </c>
      <c r="E1030">
        <f>1.7135</f>
        <v>1.7135</v>
      </c>
      <c r="F1030">
        <f>2.9957</f>
        <v>2.9956999999999998</v>
      </c>
    </row>
    <row r="1031" spans="1:6" x14ac:dyDescent="0.25">
      <c r="A1031" s="2">
        <v>43350</v>
      </c>
      <c r="B1031">
        <f>2.1065</f>
        <v>2.1065</v>
      </c>
      <c r="C1031">
        <f>1.9982</f>
        <v>1.9982</v>
      </c>
      <c r="D1031">
        <f>1.271</f>
        <v>1.2709999999999999</v>
      </c>
      <c r="E1031">
        <f>1.7015</f>
        <v>1.7015</v>
      </c>
      <c r="F1031">
        <f>3.0226</f>
        <v>3.0226000000000002</v>
      </c>
    </row>
    <row r="1032" spans="1:6" x14ac:dyDescent="0.25">
      <c r="A1032" s="2">
        <v>43349</v>
      </c>
      <c r="B1032">
        <f>2.0864</f>
        <v>2.0863999999999998</v>
      </c>
      <c r="C1032">
        <f>1.966</f>
        <v>1.966</v>
      </c>
      <c r="D1032">
        <f>1.274</f>
        <v>1.274</v>
      </c>
      <c r="E1032">
        <f>1.6566</f>
        <v>1.6566000000000001</v>
      </c>
      <c r="F1032">
        <f>3.0359</f>
        <v>3.0358999999999998</v>
      </c>
    </row>
    <row r="1033" spans="1:6" x14ac:dyDescent="0.25">
      <c r="A1033" s="2">
        <v>43348</v>
      </c>
      <c r="B1033">
        <f>2.1002</f>
        <v>2.1002000000000001</v>
      </c>
      <c r="C1033">
        <f>1.9853</f>
        <v>1.9853000000000001</v>
      </c>
      <c r="D1033">
        <f>1.2765</f>
        <v>1.2765</v>
      </c>
      <c r="E1033">
        <f>1.6651</f>
        <v>1.6651</v>
      </c>
      <c r="F1033">
        <f>3.0471</f>
        <v>3.0470999999999999</v>
      </c>
    </row>
    <row r="1034" spans="1:6" x14ac:dyDescent="0.25">
      <c r="A1034" s="2">
        <v>43347</v>
      </c>
      <c r="B1034">
        <f>2.1024</f>
        <v>2.1023999999999998</v>
      </c>
      <c r="C1034">
        <f>1.995</f>
        <v>1.9950000000000001</v>
      </c>
      <c r="D1034">
        <f>1.286</f>
        <v>1.286</v>
      </c>
      <c r="E1034">
        <f>1.6745</f>
        <v>1.6745000000000001</v>
      </c>
      <c r="F1034">
        <f>3.0702</f>
        <v>3.0701999999999998</v>
      </c>
    </row>
    <row r="1035" spans="1:6" x14ac:dyDescent="0.25">
      <c r="A1035" s="2">
        <v>43346</v>
      </c>
      <c r="B1035">
        <f>2.0903</f>
        <v>2.0903</v>
      </c>
      <c r="C1035">
        <f>1.9905</f>
        <v>1.9904999999999999</v>
      </c>
      <c r="D1035">
        <f>1.2893</f>
        <v>1.2892999999999999</v>
      </c>
      <c r="E1035">
        <f>1.6674</f>
        <v>1.6674</v>
      </c>
      <c r="F1035">
        <f>3.0619</f>
        <v>3.0619000000000001</v>
      </c>
    </row>
    <row r="1036" spans="1:6" x14ac:dyDescent="0.25">
      <c r="A1036" s="2">
        <v>43343</v>
      </c>
      <c r="B1036">
        <f>2.0903</f>
        <v>2.0903</v>
      </c>
      <c r="C1036">
        <f>1.9905</f>
        <v>1.9904999999999999</v>
      </c>
      <c r="D1036">
        <f>1.2898</f>
        <v>1.2898000000000001</v>
      </c>
      <c r="E1036">
        <f>1.6674</f>
        <v>1.6674</v>
      </c>
      <c r="F1036">
        <f>3.0403</f>
        <v>3.0402999999999998</v>
      </c>
    </row>
    <row r="1037" spans="1:6" x14ac:dyDescent="0.25">
      <c r="A1037" s="2">
        <v>43342</v>
      </c>
      <c r="B1037">
        <f>2.1042</f>
        <v>2.1042000000000001</v>
      </c>
      <c r="C1037">
        <f>1.9972</f>
        <v>1.9972000000000001</v>
      </c>
      <c r="D1037">
        <f>1.2976</f>
        <v>1.2976000000000001</v>
      </c>
      <c r="E1037">
        <f>1.6735</f>
        <v>1.6735</v>
      </c>
      <c r="F1037">
        <f>3.0453</f>
        <v>3.0453000000000001</v>
      </c>
    </row>
    <row r="1038" spans="1:6" x14ac:dyDescent="0.25">
      <c r="A1038" s="2">
        <v>43341</v>
      </c>
      <c r="B1038">
        <f>2.1168</f>
        <v>2.1168</v>
      </c>
      <c r="C1038">
        <f>2.008</f>
        <v>2.008</v>
      </c>
      <c r="D1038">
        <f>1.298</f>
        <v>1.298</v>
      </c>
      <c r="E1038">
        <f>1.6686</f>
        <v>1.6686000000000001</v>
      </c>
      <c r="F1038">
        <f>3.0492</f>
        <v>3.0491999999999999</v>
      </c>
    </row>
    <row r="1039" spans="1:6" x14ac:dyDescent="0.25">
      <c r="A1039" s="2">
        <v>43340</v>
      </c>
      <c r="B1039">
        <f>2.1165</f>
        <v>2.1164999999999998</v>
      </c>
      <c r="C1039">
        <f>2.0032</f>
        <v>2.0032000000000001</v>
      </c>
      <c r="D1039">
        <f>1.2903</f>
        <v>1.2903</v>
      </c>
      <c r="E1039">
        <f>1.6668</f>
        <v>1.6668000000000001</v>
      </c>
      <c r="F1039">
        <f>3.0662</f>
        <v>3.0661999999999998</v>
      </c>
    </row>
    <row r="1040" spans="1:6" x14ac:dyDescent="0.25">
      <c r="A1040" s="2">
        <v>43339</v>
      </c>
      <c r="B1040">
        <f>2.1116</f>
        <v>2.1116000000000001</v>
      </c>
      <c r="C1040">
        <f>2.0028</f>
        <v>2.0028000000000001</v>
      </c>
      <c r="D1040">
        <f>1.2897</f>
        <v>1.2897000000000001</v>
      </c>
      <c r="E1040">
        <f>1.6782</f>
        <v>1.6781999999999999</v>
      </c>
      <c r="F1040" t="e">
        <f>NA()</f>
        <v>#N/A</v>
      </c>
    </row>
    <row r="1041" spans="1:6" x14ac:dyDescent="0.25">
      <c r="A1041" s="2">
        <v>43336</v>
      </c>
      <c r="B1041">
        <f>2.1013</f>
        <v>2.1013000000000002</v>
      </c>
      <c r="C1041">
        <f>1.9967</f>
        <v>1.9966999999999999</v>
      </c>
      <c r="D1041">
        <f>1.286</f>
        <v>1.286</v>
      </c>
      <c r="E1041">
        <f>1.6663</f>
        <v>1.6662999999999999</v>
      </c>
      <c r="F1041">
        <f>3.055</f>
        <v>3.0550000000000002</v>
      </c>
    </row>
    <row r="1042" spans="1:6" x14ac:dyDescent="0.25">
      <c r="A1042" s="2">
        <v>43335</v>
      </c>
      <c r="B1042">
        <f>2.0914</f>
        <v>2.0914000000000001</v>
      </c>
      <c r="C1042">
        <f>1.9852</f>
        <v>1.9852000000000001</v>
      </c>
      <c r="D1042">
        <f>1.2737</f>
        <v>1.2737000000000001</v>
      </c>
      <c r="E1042">
        <f>1.648</f>
        <v>1.6479999999999999</v>
      </c>
      <c r="F1042">
        <f>3.0547</f>
        <v>3.0547</v>
      </c>
    </row>
    <row r="1043" spans="1:6" x14ac:dyDescent="0.25">
      <c r="A1043" s="2">
        <v>43334</v>
      </c>
      <c r="B1043">
        <f>2.0854</f>
        <v>2.0853999999999999</v>
      </c>
      <c r="C1043">
        <f>1.9734</f>
        <v>1.9734</v>
      </c>
      <c r="D1043">
        <f>1.2763</f>
        <v>1.2763</v>
      </c>
      <c r="E1043">
        <f>1.6472</f>
        <v>1.6472</v>
      </c>
      <c r="F1043">
        <f>3.0628</f>
        <v>3.0628000000000002</v>
      </c>
    </row>
    <row r="1044" spans="1:6" x14ac:dyDescent="0.25">
      <c r="A1044" s="2">
        <v>43333</v>
      </c>
      <c r="B1044">
        <f>2.084</f>
        <v>2.0840000000000001</v>
      </c>
      <c r="C1044">
        <f>1.9644</f>
        <v>1.9643999999999999</v>
      </c>
      <c r="D1044">
        <f>1.2702</f>
        <v>1.2702</v>
      </c>
      <c r="E1044">
        <f>1.6106</f>
        <v>1.6106</v>
      </c>
      <c r="F1044">
        <f>3.0679</f>
        <v>3.0678999999999998</v>
      </c>
    </row>
    <row r="1045" spans="1:6" x14ac:dyDescent="0.25">
      <c r="A1045" s="2">
        <v>43332</v>
      </c>
      <c r="B1045">
        <f>2.0764</f>
        <v>2.0764</v>
      </c>
      <c r="C1045">
        <f>1.9511</f>
        <v>1.9511000000000001</v>
      </c>
      <c r="D1045">
        <f>1.2655</f>
        <v>1.2655000000000001</v>
      </c>
      <c r="E1045">
        <f>1.6028</f>
        <v>1.6028</v>
      </c>
      <c r="F1045">
        <f>3.0619</f>
        <v>3.0619000000000001</v>
      </c>
    </row>
    <row r="1046" spans="1:6" x14ac:dyDescent="0.25">
      <c r="A1046" s="2">
        <v>43329</v>
      </c>
      <c r="B1046">
        <f>2.0882</f>
        <v>2.0882000000000001</v>
      </c>
      <c r="C1046">
        <f>1.9579</f>
        <v>1.9579</v>
      </c>
      <c r="D1046">
        <f>1.266</f>
        <v>1.266</v>
      </c>
      <c r="E1046">
        <f>1.5993</f>
        <v>1.5992999999999999</v>
      </c>
      <c r="F1046">
        <f>3.0758</f>
        <v>3.0758000000000001</v>
      </c>
    </row>
    <row r="1047" spans="1:6" x14ac:dyDescent="0.25">
      <c r="A1047" s="2">
        <v>43328</v>
      </c>
      <c r="B1047">
        <f>2.0885</f>
        <v>2.0884999999999998</v>
      </c>
      <c r="C1047">
        <f>1.9624</f>
        <v>1.9623999999999999</v>
      </c>
      <c r="D1047">
        <f>1.2606</f>
        <v>1.2605999999999999</v>
      </c>
      <c r="E1047">
        <f>1.6009</f>
        <v>1.6009</v>
      </c>
      <c r="F1047">
        <f>3.0863</f>
        <v>3.0863</v>
      </c>
    </row>
    <row r="1048" spans="1:6" x14ac:dyDescent="0.25">
      <c r="A1048" s="2">
        <v>43327</v>
      </c>
      <c r="B1048">
        <f>2.0866</f>
        <v>2.0865999999999998</v>
      </c>
      <c r="C1048">
        <f>1.9682</f>
        <v>1.9681999999999999</v>
      </c>
      <c r="D1048">
        <f>1.2596</f>
        <v>1.2596000000000001</v>
      </c>
      <c r="E1048">
        <f>1.6017</f>
        <v>1.6016999999999999</v>
      </c>
      <c r="F1048">
        <f>3.0788</f>
        <v>3.0788000000000002</v>
      </c>
    </row>
    <row r="1049" spans="1:6" x14ac:dyDescent="0.25">
      <c r="A1049" s="2">
        <v>43326</v>
      </c>
      <c r="B1049">
        <f>2.0981</f>
        <v>2.0981000000000001</v>
      </c>
      <c r="C1049">
        <f>1.9834</f>
        <v>1.9834000000000001</v>
      </c>
      <c r="D1049">
        <f>1.2716</f>
        <v>1.2716000000000001</v>
      </c>
      <c r="E1049">
        <f>1.6186</f>
        <v>1.6186</v>
      </c>
      <c r="F1049">
        <f>3.1281</f>
        <v>3.1280999999999999</v>
      </c>
    </row>
    <row r="1050" spans="1:6" x14ac:dyDescent="0.25">
      <c r="A1050" s="2">
        <v>43325</v>
      </c>
      <c r="B1050">
        <f>2.0967</f>
        <v>2.0966999999999998</v>
      </c>
      <c r="C1050">
        <f>1.9802</f>
        <v>1.9802</v>
      </c>
      <c r="D1050">
        <f>1.2641</f>
        <v>1.2641</v>
      </c>
      <c r="E1050">
        <f>1.5987</f>
        <v>1.5987</v>
      </c>
      <c r="F1050">
        <f>3.1267</f>
        <v>3.1267</v>
      </c>
    </row>
    <row r="1051" spans="1:6" x14ac:dyDescent="0.25">
      <c r="A1051" s="2">
        <v>43322</v>
      </c>
      <c r="B1051">
        <f>2.1003</f>
        <v>2.1002999999999998</v>
      </c>
      <c r="C1051">
        <f>1.9818</f>
        <v>1.9818</v>
      </c>
      <c r="D1051">
        <f>1.274</f>
        <v>1.274</v>
      </c>
      <c r="E1051">
        <f>1.603</f>
        <v>1.603</v>
      </c>
      <c r="F1051">
        <f>3.1186</f>
        <v>3.1185999999999998</v>
      </c>
    </row>
    <row r="1052" spans="1:6" x14ac:dyDescent="0.25">
      <c r="A1052" s="2">
        <v>43321</v>
      </c>
      <c r="B1052">
        <f>2.1106</f>
        <v>2.1105999999999998</v>
      </c>
      <c r="C1052">
        <f>1.9809</f>
        <v>1.9809000000000001</v>
      </c>
      <c r="D1052">
        <f>1.2764</f>
        <v>1.2764</v>
      </c>
      <c r="E1052">
        <f>1.5838</f>
        <v>1.5838000000000001</v>
      </c>
      <c r="F1052">
        <f>3.121</f>
        <v>3.121</v>
      </c>
    </row>
    <row r="1053" spans="1:6" x14ac:dyDescent="0.25">
      <c r="A1053" s="2">
        <v>43320</v>
      </c>
      <c r="B1053">
        <f>2.1276</f>
        <v>2.1276000000000002</v>
      </c>
      <c r="C1053">
        <f>1.9922</f>
        <v>1.9922</v>
      </c>
      <c r="D1053">
        <f>1.2801</f>
        <v>1.2801</v>
      </c>
      <c r="E1053">
        <f>1.6017</f>
        <v>1.6016999999999999</v>
      </c>
      <c r="F1053">
        <f>3.1176</f>
        <v>3.1175999999999999</v>
      </c>
    </row>
    <row r="1054" spans="1:6" x14ac:dyDescent="0.25">
      <c r="A1054" s="2">
        <v>43319</v>
      </c>
      <c r="B1054">
        <f>2.1323</f>
        <v>2.1322999999999999</v>
      </c>
      <c r="C1054">
        <f>2.0046</f>
        <v>2.0045999999999999</v>
      </c>
      <c r="D1054">
        <f>1.2806</f>
        <v>1.2806</v>
      </c>
      <c r="E1054">
        <f>1.6333</f>
        <v>1.6333</v>
      </c>
      <c r="F1054">
        <f>3.1202</f>
        <v>3.1202000000000001</v>
      </c>
    </row>
    <row r="1055" spans="1:6" x14ac:dyDescent="0.25">
      <c r="A1055" s="2">
        <v>43318</v>
      </c>
      <c r="B1055">
        <f>2.1154</f>
        <v>2.1154000000000002</v>
      </c>
      <c r="C1055">
        <f>1.9887</f>
        <v>1.9886999999999999</v>
      </c>
      <c r="D1055">
        <f>1.2778</f>
        <v>1.2778</v>
      </c>
      <c r="E1055">
        <f>1.6041</f>
        <v>1.6041000000000001</v>
      </c>
      <c r="F1055">
        <f>3.0831</f>
        <v>3.0831</v>
      </c>
    </row>
    <row r="1056" spans="1:6" x14ac:dyDescent="0.25">
      <c r="A1056" s="2">
        <v>43315</v>
      </c>
      <c r="B1056">
        <f>2.1205</f>
        <v>2.1204999999999998</v>
      </c>
      <c r="C1056">
        <f>1.9943</f>
        <v>1.9943</v>
      </c>
      <c r="D1056">
        <f>1.2759</f>
        <v>1.2759</v>
      </c>
      <c r="E1056">
        <f>1.5978</f>
        <v>1.5978000000000001</v>
      </c>
      <c r="F1056">
        <f>3.0858</f>
        <v>3.0857999999999999</v>
      </c>
    </row>
    <row r="1057" spans="1:6" x14ac:dyDescent="0.25">
      <c r="A1057" s="2">
        <v>43314</v>
      </c>
      <c r="B1057">
        <f>2.1301</f>
        <v>2.1301000000000001</v>
      </c>
      <c r="C1057">
        <f>1.9995</f>
        <v>1.9995000000000001</v>
      </c>
      <c r="D1057">
        <f>1.2817</f>
        <v>1.2817000000000001</v>
      </c>
      <c r="E1057">
        <f>1.5926</f>
        <v>1.5926</v>
      </c>
      <c r="F1057">
        <f>3.086</f>
        <v>3.0859999999999999</v>
      </c>
    </row>
    <row r="1058" spans="1:6" x14ac:dyDescent="0.25">
      <c r="A1058" s="2">
        <v>43313</v>
      </c>
      <c r="B1058">
        <f>2.1366</f>
        <v>2.1366000000000001</v>
      </c>
      <c r="C1058">
        <f>2.0055</f>
        <v>2.0055000000000001</v>
      </c>
      <c r="D1058">
        <f>1.2877</f>
        <v>1.2877000000000001</v>
      </c>
      <c r="E1058">
        <f>1.5843</f>
        <v>1.5843</v>
      </c>
      <c r="F1058">
        <f>3.0778</f>
        <v>3.0777999999999999</v>
      </c>
    </row>
    <row r="1059" spans="1:6" x14ac:dyDescent="0.25">
      <c r="A1059" s="2">
        <v>43312</v>
      </c>
      <c r="B1059">
        <f>2.1272</f>
        <v>2.1272000000000002</v>
      </c>
      <c r="C1059">
        <f>2.0029</f>
        <v>2.0028999999999999</v>
      </c>
      <c r="D1059">
        <f>1.3015</f>
        <v>1.3015000000000001</v>
      </c>
      <c r="E1059">
        <f>1.6085</f>
        <v>1.6085</v>
      </c>
      <c r="F1059">
        <f>3.0586</f>
        <v>3.0586000000000002</v>
      </c>
    </row>
    <row r="1060" spans="1:6" x14ac:dyDescent="0.25">
      <c r="A1060" s="2">
        <v>43311</v>
      </c>
      <c r="B1060">
        <f>2.1324</f>
        <v>2.1324000000000001</v>
      </c>
      <c r="C1060">
        <f>2.015</f>
        <v>2.0150000000000001</v>
      </c>
      <c r="D1060">
        <f>1.3042</f>
        <v>1.3042</v>
      </c>
      <c r="E1060">
        <f>1.6325</f>
        <v>1.6325000000000001</v>
      </c>
      <c r="F1060">
        <f>3.0475</f>
        <v>3.0474999999999999</v>
      </c>
    </row>
    <row r="1061" spans="1:6" x14ac:dyDescent="0.25">
      <c r="A1061" s="2">
        <v>43308</v>
      </c>
      <c r="B1061">
        <f>2.1265</f>
        <v>2.1265000000000001</v>
      </c>
      <c r="C1061">
        <f>2.007</f>
        <v>2.0070000000000001</v>
      </c>
      <c r="D1061">
        <f>1.2998</f>
        <v>1.2998000000000001</v>
      </c>
      <c r="E1061">
        <f>1.6381</f>
        <v>1.6380999999999999</v>
      </c>
      <c r="F1061">
        <f>3.0353</f>
        <v>3.0352999999999999</v>
      </c>
    </row>
    <row r="1062" spans="1:6" x14ac:dyDescent="0.25">
      <c r="A1062" s="2">
        <v>43307</v>
      </c>
      <c r="B1062">
        <f>2.1236</f>
        <v>2.1236000000000002</v>
      </c>
      <c r="C1062">
        <f>2.0105</f>
        <v>2.0105</v>
      </c>
      <c r="D1062">
        <f>1.2816</f>
        <v>1.2816000000000001</v>
      </c>
      <c r="E1062">
        <f>1.6524</f>
        <v>1.6524000000000001</v>
      </c>
      <c r="F1062">
        <f>3.0253</f>
        <v>3.0253000000000001</v>
      </c>
    </row>
    <row r="1063" spans="1:6" x14ac:dyDescent="0.25">
      <c r="A1063" s="2">
        <v>43306</v>
      </c>
      <c r="B1063">
        <f>2.1292</f>
        <v>2.1292</v>
      </c>
      <c r="C1063">
        <f>2.0128</f>
        <v>2.0127999999999999</v>
      </c>
      <c r="D1063">
        <f>1.2837</f>
        <v>1.2837000000000001</v>
      </c>
      <c r="E1063">
        <f>1.6204</f>
        <v>1.6204000000000001</v>
      </c>
      <c r="F1063">
        <f>3.0159</f>
        <v>3.0158999999999998</v>
      </c>
    </row>
    <row r="1064" spans="1:6" x14ac:dyDescent="0.25">
      <c r="A1064" s="2">
        <v>43305</v>
      </c>
      <c r="B1064">
        <f>2.1204</f>
        <v>2.1204000000000001</v>
      </c>
      <c r="C1064">
        <f>2.0007</f>
        <v>2.0007000000000001</v>
      </c>
      <c r="D1064">
        <f>1.2813</f>
        <v>1.2813000000000001</v>
      </c>
      <c r="E1064">
        <f>1.5919</f>
        <v>1.5919000000000001</v>
      </c>
      <c r="F1064">
        <f>3.0095</f>
        <v>3.0095000000000001</v>
      </c>
    </row>
    <row r="1065" spans="1:6" x14ac:dyDescent="0.25">
      <c r="A1065" s="2">
        <v>43304</v>
      </c>
      <c r="B1065">
        <f>2.1216</f>
        <v>2.1215999999999999</v>
      </c>
      <c r="C1065">
        <f>2.0092</f>
        <v>2.0091999999999999</v>
      </c>
      <c r="D1065">
        <f>1.2757</f>
        <v>1.2757000000000001</v>
      </c>
      <c r="E1065">
        <f>1.5893</f>
        <v>1.5892999999999999</v>
      </c>
      <c r="F1065">
        <f>3.0108</f>
        <v>3.0108000000000001</v>
      </c>
    </row>
    <row r="1066" spans="1:6" x14ac:dyDescent="0.25">
      <c r="A1066" s="2">
        <v>43301</v>
      </c>
      <c r="B1066">
        <f>2.115</f>
        <v>2.1150000000000002</v>
      </c>
      <c r="C1066">
        <f>2.0147</f>
        <v>2.0146999999999999</v>
      </c>
      <c r="D1066">
        <f>1.2624</f>
        <v>1.2624</v>
      </c>
      <c r="E1066">
        <f>1.6091</f>
        <v>1.6091</v>
      </c>
      <c r="F1066">
        <f>2.9629</f>
        <v>2.9628999999999999</v>
      </c>
    </row>
    <row r="1067" spans="1:6" x14ac:dyDescent="0.25">
      <c r="A1067" s="2">
        <v>43300</v>
      </c>
      <c r="B1067">
        <f>2.0815</f>
        <v>2.0815000000000001</v>
      </c>
      <c r="C1067">
        <f>2.0145</f>
        <v>2.0145</v>
      </c>
      <c r="D1067">
        <f>1.2608</f>
        <v>1.2607999999999999</v>
      </c>
      <c r="E1067">
        <f>1.6299</f>
        <v>1.6298999999999999</v>
      </c>
      <c r="F1067">
        <f>2.9402</f>
        <v>2.9401999999999999</v>
      </c>
    </row>
    <row r="1068" spans="1:6" x14ac:dyDescent="0.25">
      <c r="A1068" s="2">
        <v>43299</v>
      </c>
      <c r="B1068">
        <f>2.0923</f>
        <v>2.0922999999999998</v>
      </c>
      <c r="C1068">
        <f>2.0218</f>
        <v>2.0217999999999998</v>
      </c>
      <c r="D1068">
        <f>1.2642</f>
        <v>1.2642</v>
      </c>
      <c r="E1068">
        <f>1.6437</f>
        <v>1.6436999999999999</v>
      </c>
      <c r="F1068">
        <f>2.949</f>
        <v>2.9489999999999998</v>
      </c>
    </row>
    <row r="1069" spans="1:6" x14ac:dyDescent="0.25">
      <c r="A1069" s="2">
        <v>43298</v>
      </c>
      <c r="B1069">
        <f>2.1029</f>
        <v>2.1029</v>
      </c>
      <c r="C1069">
        <f>2.0368</f>
        <v>2.0367999999999999</v>
      </c>
      <c r="D1069">
        <f>1.2801</f>
        <v>1.2801</v>
      </c>
      <c r="E1069">
        <f>1.6607</f>
        <v>1.6607000000000001</v>
      </c>
      <c r="F1069">
        <f>2.9885</f>
        <v>2.9885000000000002</v>
      </c>
    </row>
    <row r="1070" spans="1:6" x14ac:dyDescent="0.25">
      <c r="A1070" s="2">
        <v>43297</v>
      </c>
      <c r="B1070">
        <f>2.1136</f>
        <v>2.1135999999999999</v>
      </c>
      <c r="C1070">
        <f>2.0474</f>
        <v>2.0474000000000001</v>
      </c>
      <c r="D1070">
        <f>1.2907</f>
        <v>1.2907</v>
      </c>
      <c r="E1070">
        <f>1.6633</f>
        <v>1.6633</v>
      </c>
      <c r="F1070">
        <f>3.0092</f>
        <v>3.0091999999999999</v>
      </c>
    </row>
    <row r="1071" spans="1:6" x14ac:dyDescent="0.25">
      <c r="A1071" s="2">
        <v>43294</v>
      </c>
      <c r="B1071">
        <f>2.1196</f>
        <v>2.1196000000000002</v>
      </c>
      <c r="C1071">
        <f>2.0731</f>
        <v>2.0731000000000002</v>
      </c>
      <c r="D1071">
        <f>1.3069</f>
        <v>1.3069</v>
      </c>
      <c r="E1071">
        <f>1.7569</f>
        <v>1.7568999999999999</v>
      </c>
      <c r="F1071">
        <f>3.0054</f>
        <v>3.0053999999999998</v>
      </c>
    </row>
    <row r="1072" spans="1:6" x14ac:dyDescent="0.25">
      <c r="A1072" s="2">
        <v>43293</v>
      </c>
      <c r="B1072">
        <f>2.1161</f>
        <v>2.1160999999999999</v>
      </c>
      <c r="C1072">
        <f>2.0667</f>
        <v>2.0667</v>
      </c>
      <c r="D1072">
        <f>1.318</f>
        <v>1.3180000000000001</v>
      </c>
      <c r="E1072">
        <f>1.7476</f>
        <v>1.7476</v>
      </c>
      <c r="F1072">
        <f>2.994</f>
        <v>2.9940000000000002</v>
      </c>
    </row>
    <row r="1073" spans="1:6" x14ac:dyDescent="0.25">
      <c r="A1073" s="2">
        <v>43292</v>
      </c>
      <c r="B1073">
        <f>2.1217</f>
        <v>2.1217000000000001</v>
      </c>
      <c r="C1073">
        <f>2.0803</f>
        <v>2.0802999999999998</v>
      </c>
      <c r="D1073">
        <f>1.348</f>
        <v>1.3480000000000001</v>
      </c>
      <c r="E1073">
        <f>1.7863</f>
        <v>1.7863</v>
      </c>
      <c r="F1073">
        <f>3.0043</f>
        <v>3.0043000000000002</v>
      </c>
    </row>
    <row r="1074" spans="1:6" x14ac:dyDescent="0.25">
      <c r="A1074" s="2">
        <v>43291</v>
      </c>
      <c r="B1074">
        <f>2.1312</f>
        <v>2.1312000000000002</v>
      </c>
      <c r="C1074">
        <f>2.1002</f>
        <v>2.1002000000000001</v>
      </c>
      <c r="D1074">
        <f>1.3571</f>
        <v>1.3571</v>
      </c>
      <c r="E1074">
        <f>1.844</f>
        <v>1.8440000000000001</v>
      </c>
      <c r="F1074">
        <f>2.9959</f>
        <v>2.9958999999999998</v>
      </c>
    </row>
    <row r="1075" spans="1:6" x14ac:dyDescent="0.25">
      <c r="A1075" s="2">
        <v>43290</v>
      </c>
      <c r="B1075">
        <f>2.1391</f>
        <v>2.1391</v>
      </c>
      <c r="C1075">
        <f>2.1095</f>
        <v>2.1095000000000002</v>
      </c>
      <c r="D1075">
        <f>1.3486</f>
        <v>1.3486</v>
      </c>
      <c r="E1075">
        <f>1.8374</f>
        <v>1.8373999999999999</v>
      </c>
      <c r="F1075">
        <f>2.9949</f>
        <v>2.9948999999999999</v>
      </c>
    </row>
    <row r="1076" spans="1:6" x14ac:dyDescent="0.25">
      <c r="A1076" s="2">
        <v>43287</v>
      </c>
      <c r="B1076">
        <f>2.1383</f>
        <v>2.1383000000000001</v>
      </c>
      <c r="C1076">
        <f>2.1022</f>
        <v>2.1021999999999998</v>
      </c>
      <c r="D1076">
        <f>1.3449</f>
        <v>1.3449</v>
      </c>
      <c r="E1076">
        <f>1.8328</f>
        <v>1.8328</v>
      </c>
      <c r="F1076">
        <f>2.9871</f>
        <v>2.9870999999999999</v>
      </c>
    </row>
    <row r="1077" spans="1:6" x14ac:dyDescent="0.25">
      <c r="A1077" s="2">
        <v>43286</v>
      </c>
      <c r="B1077">
        <f>2.1394</f>
        <v>2.1394000000000002</v>
      </c>
      <c r="C1077">
        <f>2.101</f>
        <v>2.101</v>
      </c>
      <c r="D1077">
        <f>1.3499</f>
        <v>1.3499000000000001</v>
      </c>
      <c r="E1077">
        <f>1.8425</f>
        <v>1.8425</v>
      </c>
      <c r="F1077">
        <f>2.9881</f>
        <v>2.9881000000000002</v>
      </c>
    </row>
    <row r="1078" spans="1:6" x14ac:dyDescent="0.25">
      <c r="A1078" s="2">
        <v>43285</v>
      </c>
      <c r="B1078">
        <f>2.1344</f>
        <v>2.1343999999999999</v>
      </c>
      <c r="C1078">
        <f>2.0842</f>
        <v>2.0842000000000001</v>
      </c>
      <c r="D1078">
        <f>1.3487</f>
        <v>1.3487</v>
      </c>
      <c r="E1078">
        <f>1.8033</f>
        <v>1.8032999999999999</v>
      </c>
      <c r="F1078">
        <f>3.0022</f>
        <v>3.0022000000000002</v>
      </c>
    </row>
    <row r="1079" spans="1:6" x14ac:dyDescent="0.25">
      <c r="A1079" s="2">
        <v>43284</v>
      </c>
      <c r="B1079">
        <f>2.1344</f>
        <v>2.1343999999999999</v>
      </c>
      <c r="C1079">
        <f>2.0842</f>
        <v>2.0842000000000001</v>
      </c>
      <c r="D1079">
        <f>1.352</f>
        <v>1.3520000000000001</v>
      </c>
      <c r="E1079">
        <f>1.8033</f>
        <v>1.8032999999999999</v>
      </c>
      <c r="F1079">
        <f>3.0169</f>
        <v>3.0169000000000001</v>
      </c>
    </row>
    <row r="1080" spans="1:6" x14ac:dyDescent="0.25">
      <c r="A1080" s="2">
        <v>43283</v>
      </c>
      <c r="B1080">
        <f>2.1423</f>
        <v>2.1423000000000001</v>
      </c>
      <c r="C1080">
        <f>2.0857</f>
        <v>2.0857000000000001</v>
      </c>
      <c r="D1080">
        <f>1.3531</f>
        <v>1.3531</v>
      </c>
      <c r="E1080">
        <f>1.8049</f>
        <v>1.8048999999999999</v>
      </c>
      <c r="F1080">
        <f>3.0339</f>
        <v>3.0339</v>
      </c>
    </row>
    <row r="1081" spans="1:6" x14ac:dyDescent="0.25">
      <c r="A1081" s="2">
        <v>43280</v>
      </c>
      <c r="B1081">
        <f>2.1285</f>
        <v>2.1284999999999998</v>
      </c>
      <c r="C1081">
        <f>2.0792</f>
        <v>2.0792000000000002</v>
      </c>
      <c r="D1081">
        <f>1.358</f>
        <v>1.3580000000000001</v>
      </c>
      <c r="E1081">
        <f>1.8016</f>
        <v>1.8016000000000001</v>
      </c>
      <c r="F1081">
        <f>3.0239</f>
        <v>3.0238999999999998</v>
      </c>
    </row>
    <row r="1082" spans="1:6" x14ac:dyDescent="0.25">
      <c r="A1082" s="2">
        <v>43279</v>
      </c>
      <c r="B1082">
        <f>2.1117</f>
        <v>2.1116999999999999</v>
      </c>
      <c r="C1082">
        <f>2.0583</f>
        <v>2.0583</v>
      </c>
      <c r="D1082">
        <f>1.3452</f>
        <v>1.3452</v>
      </c>
      <c r="E1082">
        <f>1.7872</f>
        <v>1.7871999999999999</v>
      </c>
      <c r="F1082">
        <f>2.9967</f>
        <v>2.9967000000000001</v>
      </c>
    </row>
    <row r="1083" spans="1:6" x14ac:dyDescent="0.25">
      <c r="A1083" s="2">
        <v>43278</v>
      </c>
      <c r="B1083">
        <f>2.1223</f>
        <v>2.1223000000000001</v>
      </c>
      <c r="C1083">
        <f>2.0677</f>
        <v>2.0676999999999999</v>
      </c>
      <c r="D1083">
        <f>1.343</f>
        <v>1.343</v>
      </c>
      <c r="E1083">
        <f>1.7986</f>
        <v>1.7986</v>
      </c>
      <c r="F1083">
        <f>3.0113</f>
        <v>3.0112999999999999</v>
      </c>
    </row>
    <row r="1084" spans="1:6" x14ac:dyDescent="0.25">
      <c r="A1084" s="2">
        <v>43277</v>
      </c>
      <c r="B1084">
        <f>2.1319</f>
        <v>2.1318999999999999</v>
      </c>
      <c r="C1084">
        <f>2.0748</f>
        <v>2.0748000000000002</v>
      </c>
      <c r="D1084">
        <f>1.3336</f>
        <v>1.3335999999999999</v>
      </c>
      <c r="E1084">
        <f>1.789</f>
        <v>1.7889999999999999</v>
      </c>
      <c r="F1084">
        <f>3.0205</f>
        <v>3.0205000000000002</v>
      </c>
    </row>
    <row r="1085" spans="1:6" x14ac:dyDescent="0.25">
      <c r="A1085" s="2">
        <v>43276</v>
      </c>
      <c r="B1085">
        <f>2.1228</f>
        <v>2.1227999999999998</v>
      </c>
      <c r="C1085">
        <f>2.0627</f>
        <v>2.0627</v>
      </c>
      <c r="D1085">
        <f>1.3432</f>
        <v>1.3431999999999999</v>
      </c>
      <c r="E1085">
        <f>1.7652</f>
        <v>1.7652000000000001</v>
      </c>
      <c r="F1085">
        <f>3.0356</f>
        <v>3.0356000000000001</v>
      </c>
    </row>
    <row r="1086" spans="1:6" x14ac:dyDescent="0.25">
      <c r="A1086" s="2">
        <v>43273</v>
      </c>
      <c r="B1086">
        <f>2.1361</f>
        <v>2.1360999999999999</v>
      </c>
      <c r="C1086">
        <f>2.0824</f>
        <v>2.0823999999999998</v>
      </c>
      <c r="D1086">
        <f>1.3469</f>
        <v>1.3469</v>
      </c>
      <c r="E1086">
        <f>1.7858</f>
        <v>1.7858000000000001</v>
      </c>
      <c r="F1086">
        <f>3.0307</f>
        <v>3.0306999999999999</v>
      </c>
    </row>
    <row r="1087" spans="1:6" x14ac:dyDescent="0.25">
      <c r="A1087" s="2">
        <v>43272</v>
      </c>
      <c r="B1087">
        <f>2.1191</f>
        <v>2.1191</v>
      </c>
      <c r="C1087">
        <f>2.0602</f>
        <v>2.0602</v>
      </c>
      <c r="D1087">
        <f>1.3425</f>
        <v>1.3425</v>
      </c>
      <c r="E1087">
        <f>1.76</f>
        <v>1.76</v>
      </c>
      <c r="F1087">
        <f>2.9979</f>
        <v>2.9979</v>
      </c>
    </row>
    <row r="1088" spans="1:6" x14ac:dyDescent="0.25">
      <c r="A1088" s="2">
        <v>43271</v>
      </c>
      <c r="B1088">
        <f>2.1287</f>
        <v>2.1286999999999998</v>
      </c>
      <c r="C1088">
        <f>2.0769</f>
        <v>2.0769000000000002</v>
      </c>
      <c r="D1088">
        <f>1.3461</f>
        <v>1.3461000000000001</v>
      </c>
      <c r="E1088">
        <f>1.783</f>
        <v>1.7829999999999999</v>
      </c>
      <c r="F1088">
        <f>3.0152</f>
        <v>3.0152000000000001</v>
      </c>
    </row>
    <row r="1089" spans="1:6" x14ac:dyDescent="0.25">
      <c r="A1089" s="2">
        <v>43270</v>
      </c>
      <c r="B1089">
        <f>2.1261</f>
        <v>2.1261000000000001</v>
      </c>
      <c r="C1089">
        <f>2.0761</f>
        <v>2.0760999999999998</v>
      </c>
      <c r="D1089">
        <f>1.3416</f>
        <v>1.3415999999999999</v>
      </c>
      <c r="E1089">
        <f>1.7929</f>
        <v>1.7928999999999999</v>
      </c>
      <c r="F1089">
        <f>3.0231</f>
        <v>3.0230999999999999</v>
      </c>
    </row>
    <row r="1090" spans="1:6" x14ac:dyDescent="0.25">
      <c r="A1090" s="2">
        <v>43269</v>
      </c>
      <c r="B1090">
        <f>2.1355</f>
        <v>2.1355</v>
      </c>
      <c r="C1090">
        <f>2.0879</f>
        <v>2.0878999999999999</v>
      </c>
      <c r="D1090">
        <f>1.344</f>
        <v>1.3440000000000001</v>
      </c>
      <c r="E1090">
        <f>1.8056</f>
        <v>1.8056000000000001</v>
      </c>
      <c r="F1090">
        <f>3.042</f>
        <v>3.0419999999999998</v>
      </c>
    </row>
    <row r="1091" spans="1:6" x14ac:dyDescent="0.25">
      <c r="A1091" s="2">
        <v>43266</v>
      </c>
      <c r="B1091">
        <f>2.1285</f>
        <v>2.1284999999999998</v>
      </c>
      <c r="C1091">
        <f>2.0749</f>
        <v>2.0749</v>
      </c>
      <c r="D1091">
        <f>1.3498</f>
        <v>1.3498000000000001</v>
      </c>
      <c r="E1091">
        <f>1.7821</f>
        <v>1.7821</v>
      </c>
      <c r="F1091">
        <f>3.0385</f>
        <v>3.0385</v>
      </c>
    </row>
    <row r="1092" spans="1:6" x14ac:dyDescent="0.25">
      <c r="A1092" s="2">
        <v>43265</v>
      </c>
      <c r="B1092">
        <f>2.1299</f>
        <v>2.1299000000000001</v>
      </c>
      <c r="C1092">
        <f>2.0853</f>
        <v>2.0853000000000002</v>
      </c>
      <c r="D1092">
        <f>1.3596</f>
        <v>1.3595999999999999</v>
      </c>
      <c r="E1092">
        <f>1.8307</f>
        <v>1.8307</v>
      </c>
      <c r="F1092">
        <f>3.0429</f>
        <v>3.0428999999999999</v>
      </c>
    </row>
    <row r="1093" spans="1:6" x14ac:dyDescent="0.25">
      <c r="A1093" s="2">
        <v>43264</v>
      </c>
      <c r="B1093">
        <f>2.1366</f>
        <v>2.1366000000000001</v>
      </c>
      <c r="C1093">
        <f>2.0947</f>
        <v>2.0947</v>
      </c>
      <c r="D1093">
        <f>1.3615</f>
        <v>1.3614999999999999</v>
      </c>
      <c r="E1093">
        <f>1.8399</f>
        <v>1.8399000000000001</v>
      </c>
      <c r="F1093">
        <f>3.0444</f>
        <v>3.0444</v>
      </c>
    </row>
    <row r="1094" spans="1:6" x14ac:dyDescent="0.25">
      <c r="A1094" s="2">
        <v>43263</v>
      </c>
      <c r="B1094">
        <f>2.137</f>
        <v>2.137</v>
      </c>
      <c r="C1094">
        <f>2.0863</f>
        <v>2.0863</v>
      </c>
      <c r="D1094">
        <f>1.3671</f>
        <v>1.3671</v>
      </c>
      <c r="E1094">
        <f>1.8213</f>
        <v>1.8212999999999999</v>
      </c>
      <c r="F1094">
        <f>3.0641</f>
        <v>3.0640999999999998</v>
      </c>
    </row>
    <row r="1095" spans="1:6" x14ac:dyDescent="0.25">
      <c r="A1095" s="2">
        <v>43262</v>
      </c>
      <c r="B1095">
        <f>2.1398</f>
        <v>2.1398000000000001</v>
      </c>
      <c r="C1095">
        <f>2.0866</f>
        <v>2.0865999999999998</v>
      </c>
      <c r="D1095">
        <f>1.3691</f>
        <v>1.3691</v>
      </c>
      <c r="E1095">
        <f>1.8213</f>
        <v>1.8212999999999999</v>
      </c>
      <c r="F1095">
        <f>3.0538</f>
        <v>3.0537999999999998</v>
      </c>
    </row>
    <row r="1096" spans="1:6" x14ac:dyDescent="0.25">
      <c r="A1096" s="2">
        <v>43259</v>
      </c>
      <c r="B1096">
        <f>2.1282</f>
        <v>2.1282000000000001</v>
      </c>
      <c r="C1096">
        <f>2.0811</f>
        <v>2.0811000000000002</v>
      </c>
      <c r="D1096">
        <f>1.3618</f>
        <v>1.3617999999999999</v>
      </c>
      <c r="E1096">
        <f>1.8125</f>
        <v>1.8125</v>
      </c>
      <c r="F1096">
        <f>3.0425</f>
        <v>3.0425</v>
      </c>
    </row>
    <row r="1097" spans="1:6" x14ac:dyDescent="0.25">
      <c r="A1097" s="2">
        <v>43258</v>
      </c>
      <c r="B1097">
        <f>2.14</f>
        <v>2.14</v>
      </c>
      <c r="C1097">
        <f>2.0901</f>
        <v>2.0901000000000001</v>
      </c>
      <c r="D1097">
        <f>1.3634</f>
        <v>1.3633999999999999</v>
      </c>
      <c r="E1097">
        <f>1.834</f>
        <v>1.8340000000000001</v>
      </c>
      <c r="F1097">
        <f>3.0234</f>
        <v>3.0234000000000001</v>
      </c>
    </row>
    <row r="1098" spans="1:6" x14ac:dyDescent="0.25">
      <c r="A1098" s="2">
        <v>43257</v>
      </c>
      <c r="B1098">
        <f>2.1578</f>
        <v>2.1577999999999999</v>
      </c>
      <c r="C1098">
        <f>2.0955</f>
        <v>2.0954999999999999</v>
      </c>
      <c r="D1098">
        <f>1.3521</f>
        <v>1.3521000000000001</v>
      </c>
      <c r="E1098">
        <f>1.7893</f>
        <v>1.7892999999999999</v>
      </c>
      <c r="F1098">
        <f>3.0301</f>
        <v>3.0301</v>
      </c>
    </row>
    <row r="1099" spans="1:6" x14ac:dyDescent="0.25">
      <c r="A1099" s="2">
        <v>43256</v>
      </c>
      <c r="B1099">
        <f>2.1364</f>
        <v>2.1364000000000001</v>
      </c>
      <c r="C1099">
        <f>2.0806</f>
        <v>2.0806</v>
      </c>
      <c r="D1099">
        <f>1.3586</f>
        <v>1.3586</v>
      </c>
      <c r="E1099">
        <f>1.7977</f>
        <v>1.7977000000000001</v>
      </c>
      <c r="F1099">
        <f>3.0155</f>
        <v>3.0154999999999998</v>
      </c>
    </row>
    <row r="1100" spans="1:6" x14ac:dyDescent="0.25">
      <c r="A1100" s="2">
        <v>43255</v>
      </c>
      <c r="B1100">
        <f>2.1353</f>
        <v>2.1353</v>
      </c>
      <c r="C1100">
        <f>2.0891</f>
        <v>2.0891000000000002</v>
      </c>
      <c r="D1100">
        <f>1.3717</f>
        <v>1.3716999999999999</v>
      </c>
      <c r="E1100">
        <f>1.8308</f>
        <v>1.8308</v>
      </c>
      <c r="F1100">
        <f>3.0204</f>
        <v>3.0204</v>
      </c>
    </row>
    <row r="1101" spans="1:6" x14ac:dyDescent="0.25">
      <c r="A1101" s="2">
        <v>43252</v>
      </c>
      <c r="B1101">
        <f>2.1127</f>
        <v>2.1126999999999998</v>
      </c>
      <c r="C1101">
        <f>2.0757</f>
        <v>2.0756999999999999</v>
      </c>
      <c r="D1101">
        <f>1.3591</f>
        <v>1.3591</v>
      </c>
      <c r="E1101">
        <f>1.845</f>
        <v>1.845</v>
      </c>
      <c r="F1101">
        <f>2.9955</f>
        <v>2.9954999999999998</v>
      </c>
    </row>
    <row r="1102" spans="1:6" x14ac:dyDescent="0.25">
      <c r="A1102" s="2">
        <v>43251</v>
      </c>
      <c r="B1102">
        <f>2.0894</f>
        <v>2.0893999999999999</v>
      </c>
      <c r="C1102">
        <f>2.0547</f>
        <v>2.0547</v>
      </c>
      <c r="D1102">
        <f>1.3419</f>
        <v>1.3419000000000001</v>
      </c>
      <c r="E1102">
        <f>1.8441</f>
        <v>1.8441000000000001</v>
      </c>
      <c r="F1102">
        <f>2.9792</f>
        <v>2.9792000000000001</v>
      </c>
    </row>
    <row r="1103" spans="1:6" x14ac:dyDescent="0.25">
      <c r="A1103" s="2">
        <v>43250</v>
      </c>
      <c r="B1103">
        <f>2.0778</f>
        <v>2.0777999999999999</v>
      </c>
      <c r="C1103">
        <f>2.0345</f>
        <v>2.0345</v>
      </c>
      <c r="D1103">
        <f>1.3126</f>
        <v>1.3126</v>
      </c>
      <c r="E1103">
        <f>1.8208</f>
        <v>1.8208</v>
      </c>
      <c r="F1103">
        <f>2.9481</f>
        <v>2.9481000000000002</v>
      </c>
    </row>
    <row r="1104" spans="1:6" x14ac:dyDescent="0.25">
      <c r="A1104" s="2">
        <v>43249</v>
      </c>
      <c r="B1104">
        <f>2.0513</f>
        <v>2.0512999999999999</v>
      </c>
      <c r="C1104">
        <f>1.9875</f>
        <v>1.9875</v>
      </c>
      <c r="D1104">
        <f>1.3038</f>
        <v>1.3038000000000001</v>
      </c>
      <c r="E1104">
        <f>1.7705</f>
        <v>1.7705</v>
      </c>
      <c r="F1104">
        <f>2.9337</f>
        <v>2.9337</v>
      </c>
    </row>
    <row r="1105" spans="1:6" x14ac:dyDescent="0.25">
      <c r="A1105" s="2">
        <v>43248</v>
      </c>
      <c r="B1105">
        <f>2.1055</f>
        <v>2.1055000000000001</v>
      </c>
      <c r="C1105">
        <f>2.0643</f>
        <v>2.0642999999999998</v>
      </c>
      <c r="D1105">
        <f>1.3367</f>
        <v>1.3367</v>
      </c>
      <c r="E1105">
        <f>1.8865</f>
        <v>1.8865000000000001</v>
      </c>
      <c r="F1105" t="e">
        <f>NA()</f>
        <v>#N/A</v>
      </c>
    </row>
    <row r="1106" spans="1:6" x14ac:dyDescent="0.25">
      <c r="A1106" s="2">
        <v>43245</v>
      </c>
      <c r="B1106">
        <f>2.1055</f>
        <v>2.1055000000000001</v>
      </c>
      <c r="C1106">
        <f>2.0651</f>
        <v>2.0651000000000002</v>
      </c>
      <c r="D1106">
        <f>1.3475</f>
        <v>1.3474999999999999</v>
      </c>
      <c r="E1106">
        <f>1.8865</f>
        <v>1.8865000000000001</v>
      </c>
      <c r="F1106">
        <f>2.9621</f>
        <v>2.9621</v>
      </c>
    </row>
    <row r="1107" spans="1:6" x14ac:dyDescent="0.25">
      <c r="A1107" s="2">
        <v>43244</v>
      </c>
      <c r="B1107">
        <f>2.1319</f>
        <v>2.1318999999999999</v>
      </c>
      <c r="C1107">
        <f>2.1131</f>
        <v>2.1131000000000002</v>
      </c>
      <c r="D1107">
        <f>1.3727</f>
        <v>1.3727</v>
      </c>
      <c r="E1107">
        <f>1.94</f>
        <v>1.94</v>
      </c>
      <c r="F1107">
        <f>2.9797</f>
        <v>2.9796999999999998</v>
      </c>
    </row>
    <row r="1108" spans="1:6" x14ac:dyDescent="0.25">
      <c r="A1108" s="2">
        <v>43243</v>
      </c>
      <c r="B1108">
        <f>2.1489</f>
        <v>2.1488999999999998</v>
      </c>
      <c r="C1108">
        <f>2.1333</f>
        <v>2.1333000000000002</v>
      </c>
      <c r="D1108">
        <f>1.3821</f>
        <v>1.3821000000000001</v>
      </c>
      <c r="E1108">
        <f>1.9722</f>
        <v>1.9722</v>
      </c>
      <c r="F1108">
        <f>3.002</f>
        <v>3.0019999999999998</v>
      </c>
    </row>
    <row r="1109" spans="1:6" x14ac:dyDescent="0.25">
      <c r="A1109" s="2">
        <v>43242</v>
      </c>
      <c r="B1109">
        <f>2.1701</f>
        <v>2.1701000000000001</v>
      </c>
      <c r="C1109">
        <f>2.1506</f>
        <v>2.1505999999999998</v>
      </c>
      <c r="D1109">
        <f>1.3903</f>
        <v>1.3903000000000001</v>
      </c>
      <c r="E1109">
        <f>1.992</f>
        <v>1.992</v>
      </c>
      <c r="F1109">
        <f>3.0487</f>
        <v>3.0487000000000002</v>
      </c>
    </row>
    <row r="1110" spans="1:6" x14ac:dyDescent="0.25">
      <c r="A1110" s="2">
        <v>43241</v>
      </c>
      <c r="B1110">
        <f>2.1726</f>
        <v>2.1726000000000001</v>
      </c>
      <c r="C1110">
        <f>2.1554</f>
        <v>2.1554000000000002</v>
      </c>
      <c r="D1110">
        <f>1.3866</f>
        <v>1.3866000000000001</v>
      </c>
      <c r="E1110">
        <f>2.0005</f>
        <v>2.0005000000000002</v>
      </c>
      <c r="F1110">
        <f>3.0289</f>
        <v>3.0289000000000001</v>
      </c>
    </row>
    <row r="1111" spans="1:6" x14ac:dyDescent="0.25">
      <c r="A1111" s="2">
        <v>43238</v>
      </c>
      <c r="B1111">
        <f>2.1699</f>
        <v>2.1699000000000002</v>
      </c>
      <c r="C1111">
        <f>2.1461</f>
        <v>2.1461000000000001</v>
      </c>
      <c r="D1111">
        <f>1.3951</f>
        <v>1.3951</v>
      </c>
      <c r="E1111">
        <f>1.9856</f>
        <v>1.9856</v>
      </c>
      <c r="F1111">
        <f>3.0362</f>
        <v>3.0362</v>
      </c>
    </row>
    <row r="1112" spans="1:6" x14ac:dyDescent="0.25">
      <c r="A1112" s="2">
        <v>43237</v>
      </c>
      <c r="B1112">
        <f>2.1894</f>
        <v>2.1894</v>
      </c>
      <c r="C1112">
        <f>2.1631</f>
        <v>2.1631</v>
      </c>
      <c r="D1112">
        <f>1.4066</f>
        <v>1.4066000000000001</v>
      </c>
      <c r="E1112">
        <f>1.9932</f>
        <v>1.9932000000000001</v>
      </c>
      <c r="F1112">
        <f>3.0558</f>
        <v>3.0558000000000001</v>
      </c>
    </row>
    <row r="1113" spans="1:6" x14ac:dyDescent="0.25">
      <c r="A1113" s="2">
        <v>43236</v>
      </c>
      <c r="B1113">
        <f>2.199</f>
        <v>2.1989999999999998</v>
      </c>
      <c r="C1113">
        <f>2.173</f>
        <v>2.173</v>
      </c>
      <c r="D1113">
        <f>1.4036</f>
        <v>1.4036</v>
      </c>
      <c r="E1113">
        <f>2.0085</f>
        <v>2.0085000000000002</v>
      </c>
      <c r="F1113">
        <f>3.0325</f>
        <v>3.0325000000000002</v>
      </c>
    </row>
    <row r="1114" spans="1:6" x14ac:dyDescent="0.25">
      <c r="A1114" s="2">
        <v>43235</v>
      </c>
      <c r="B1114">
        <f>2.1907</f>
        <v>2.1907000000000001</v>
      </c>
      <c r="C1114">
        <f>2.1687</f>
        <v>2.1686999999999999</v>
      </c>
      <c r="D1114">
        <f>1.4098</f>
        <v>1.4097999999999999</v>
      </c>
      <c r="E1114">
        <f>1.9794</f>
        <v>1.9794</v>
      </c>
      <c r="F1114">
        <f>3.0423</f>
        <v>3.0423</v>
      </c>
    </row>
    <row r="1115" spans="1:6" x14ac:dyDescent="0.25">
      <c r="A1115" s="2">
        <v>43234</v>
      </c>
      <c r="B1115">
        <f>2.1662</f>
        <v>2.1661999999999999</v>
      </c>
      <c r="C1115">
        <f>2.14</f>
        <v>2.14</v>
      </c>
      <c r="D1115">
        <f>1.4024</f>
        <v>1.4024000000000001</v>
      </c>
      <c r="E1115">
        <f>1.95</f>
        <v>1.95</v>
      </c>
      <c r="F1115">
        <f>3.0388</f>
        <v>3.0388000000000002</v>
      </c>
    </row>
    <row r="1116" spans="1:6" x14ac:dyDescent="0.25">
      <c r="A1116" s="2">
        <v>43231</v>
      </c>
      <c r="B1116">
        <f>2.1689</f>
        <v>2.1688999999999998</v>
      </c>
      <c r="C1116">
        <f>2.1388</f>
        <v>2.1387999999999998</v>
      </c>
      <c r="D1116">
        <f>1.391</f>
        <v>1.391</v>
      </c>
      <c r="E1116">
        <f>1.9552</f>
        <v>1.9552</v>
      </c>
      <c r="F1116">
        <f>3.038</f>
        <v>3.0379999999999998</v>
      </c>
    </row>
    <row r="1117" spans="1:6" x14ac:dyDescent="0.25">
      <c r="A1117" s="2">
        <v>43230</v>
      </c>
      <c r="B1117">
        <f>2.1775</f>
        <v>2.1775000000000002</v>
      </c>
      <c r="C1117">
        <f>2.1384</f>
        <v>2.1383999999999999</v>
      </c>
      <c r="D1117">
        <f>1.3926</f>
        <v>1.3926000000000001</v>
      </c>
      <c r="E1117">
        <f>1.9486</f>
        <v>1.9486000000000001</v>
      </c>
      <c r="F1117">
        <f>3.0413</f>
        <v>3.0413000000000001</v>
      </c>
    </row>
    <row r="1118" spans="1:6" x14ac:dyDescent="0.25">
      <c r="A1118" s="2">
        <v>43229</v>
      </c>
      <c r="B1118">
        <f>2.1873</f>
        <v>2.1873</v>
      </c>
      <c r="C1118">
        <f>2.1414</f>
        <v>2.1414</v>
      </c>
      <c r="D1118">
        <f>1.4024</f>
        <v>1.4024000000000001</v>
      </c>
      <c r="E1118">
        <f>1.9519</f>
        <v>1.9519</v>
      </c>
      <c r="F1118">
        <f>3.0323</f>
        <v>3.0323000000000002</v>
      </c>
    </row>
    <row r="1119" spans="1:6" x14ac:dyDescent="0.25">
      <c r="A1119" s="2">
        <v>43228</v>
      </c>
      <c r="B1119">
        <f>2.1673</f>
        <v>2.1673</v>
      </c>
      <c r="C1119">
        <f>2.1166</f>
        <v>2.1166</v>
      </c>
      <c r="D1119">
        <f>1.3959</f>
        <v>1.3958999999999999</v>
      </c>
      <c r="E1119">
        <f>1.9179</f>
        <v>1.9178999999999999</v>
      </c>
      <c r="F1119">
        <f>3.0436</f>
        <v>3.0436000000000001</v>
      </c>
    </row>
    <row r="1120" spans="1:6" x14ac:dyDescent="0.25">
      <c r="A1120" s="2">
        <v>43227</v>
      </c>
      <c r="B1120">
        <f>2.1705</f>
        <v>2.1705000000000001</v>
      </c>
      <c r="C1120">
        <f>2.1187</f>
        <v>2.1187</v>
      </c>
      <c r="D1120">
        <f>1.3903</f>
        <v>1.3903000000000001</v>
      </c>
      <c r="E1120">
        <f>1.9352</f>
        <v>1.9352</v>
      </c>
      <c r="F1120" t="e">
        <f>NA()</f>
        <v>#N/A</v>
      </c>
    </row>
    <row r="1121" spans="1:6" x14ac:dyDescent="0.25">
      <c r="A1121" s="2">
        <v>43224</v>
      </c>
      <c r="B1121">
        <f>2.1624</f>
        <v>2.1623999999999999</v>
      </c>
      <c r="C1121">
        <f>2.1072</f>
        <v>2.1072000000000002</v>
      </c>
      <c r="D1121">
        <f>1.3853</f>
        <v>1.3853</v>
      </c>
      <c r="E1121">
        <f>1.9181</f>
        <v>1.9180999999999999</v>
      </c>
      <c r="F1121">
        <f>3.0352</f>
        <v>3.0352000000000001</v>
      </c>
    </row>
    <row r="1122" spans="1:6" x14ac:dyDescent="0.25">
      <c r="A1122" s="2">
        <v>43223</v>
      </c>
      <c r="B1122">
        <f>2.1656</f>
        <v>2.1656</v>
      </c>
      <c r="C1122">
        <f>2.0991</f>
        <v>2.0991</v>
      </c>
      <c r="D1122">
        <f>1.3886</f>
        <v>1.3886000000000001</v>
      </c>
      <c r="E1122">
        <f>1.9032</f>
        <v>1.9032</v>
      </c>
      <c r="F1122">
        <f>3.0199</f>
        <v>3.0198999999999998</v>
      </c>
    </row>
    <row r="1123" spans="1:6" x14ac:dyDescent="0.25">
      <c r="A1123" s="2">
        <v>43222</v>
      </c>
      <c r="B1123">
        <f>2.1721</f>
        <v>2.1720999999999999</v>
      </c>
      <c r="C1123">
        <f>2.1039</f>
        <v>2.1038999999999999</v>
      </c>
      <c r="D1123">
        <f>1.4061</f>
        <v>1.4060999999999999</v>
      </c>
      <c r="E1123">
        <f>1.9181</f>
        <v>1.9180999999999999</v>
      </c>
      <c r="F1123">
        <f>3.0254</f>
        <v>3.0253999999999999</v>
      </c>
    </row>
    <row r="1124" spans="1:6" x14ac:dyDescent="0.25">
      <c r="A1124" s="2">
        <v>43221</v>
      </c>
      <c r="B1124">
        <f>2.1601</f>
        <v>2.1600999999999999</v>
      </c>
      <c r="C1124">
        <f>2.0877</f>
        <v>2.0876999999999999</v>
      </c>
      <c r="D1124">
        <f>1.4003</f>
        <v>1.4003000000000001</v>
      </c>
      <c r="E1124">
        <f>1.923</f>
        <v>1.923</v>
      </c>
      <c r="F1124">
        <f>3.0022</f>
        <v>3.0022000000000002</v>
      </c>
    </row>
    <row r="1125" spans="1:6" x14ac:dyDescent="0.25">
      <c r="A1125" s="2">
        <v>43220</v>
      </c>
      <c r="B1125">
        <f>2.1753</f>
        <v>2.1753</v>
      </c>
      <c r="C1125">
        <f>2.1096</f>
        <v>2.1095999999999999</v>
      </c>
      <c r="D1125">
        <f>1.4002</f>
        <v>1.4001999999999999</v>
      </c>
      <c r="E1125">
        <f>1.9562</f>
        <v>1.9561999999999999</v>
      </c>
      <c r="F1125">
        <f>2.9962</f>
        <v>2.9962</v>
      </c>
    </row>
    <row r="1126" spans="1:6" x14ac:dyDescent="0.25">
      <c r="A1126" s="2">
        <v>43217</v>
      </c>
      <c r="B1126">
        <f>2.1722</f>
        <v>2.1722000000000001</v>
      </c>
      <c r="C1126">
        <f>2.0961</f>
        <v>2.0960999999999999</v>
      </c>
      <c r="D1126">
        <f>1.3987</f>
        <v>1.3987000000000001</v>
      </c>
      <c r="E1126">
        <f>1.9602</f>
        <v>1.9601999999999999</v>
      </c>
      <c r="F1126">
        <f>2.9955</f>
        <v>2.9954999999999998</v>
      </c>
    </row>
    <row r="1127" spans="1:6" x14ac:dyDescent="0.25">
      <c r="A1127" s="2">
        <v>43216</v>
      </c>
      <c r="B1127">
        <f>2.1762</f>
        <v>2.1762000000000001</v>
      </c>
      <c r="C1127">
        <f>2.1047</f>
        <v>2.1046999999999998</v>
      </c>
      <c r="D1127">
        <f>1.4106</f>
        <v>1.4106000000000001</v>
      </c>
      <c r="E1127">
        <f>1.9669</f>
        <v>1.9669000000000001</v>
      </c>
      <c r="F1127">
        <f>3.0098</f>
        <v>3.0097999999999998</v>
      </c>
    </row>
    <row r="1128" spans="1:6" x14ac:dyDescent="0.25">
      <c r="A1128" s="2">
        <v>43215</v>
      </c>
      <c r="B1128">
        <f>2.1778</f>
        <v>2.1778</v>
      </c>
      <c r="C1128">
        <f>2.1039</f>
        <v>2.1038999999999999</v>
      </c>
      <c r="D1128">
        <f>1.4141</f>
        <v>1.4140999999999999</v>
      </c>
      <c r="E1128">
        <f>1.9563</f>
        <v>1.9562999999999999</v>
      </c>
      <c r="F1128">
        <f>3.0159</f>
        <v>3.0158999999999998</v>
      </c>
    </row>
    <row r="1129" spans="1:6" x14ac:dyDescent="0.25">
      <c r="A1129" s="2">
        <v>43214</v>
      </c>
      <c r="B1129">
        <f>2.1665</f>
        <v>2.1665000000000001</v>
      </c>
      <c r="C1129">
        <f>2.095</f>
        <v>2.0950000000000002</v>
      </c>
      <c r="D1129">
        <f>1.4105</f>
        <v>1.4105000000000001</v>
      </c>
      <c r="E1129">
        <f>1.9706</f>
        <v>1.9705999999999999</v>
      </c>
      <c r="F1129">
        <f>2.9958</f>
        <v>2.9958</v>
      </c>
    </row>
    <row r="1130" spans="1:6" x14ac:dyDescent="0.25">
      <c r="A1130" s="2">
        <v>43213</v>
      </c>
      <c r="B1130">
        <f>2.1885</f>
        <v>2.1884999999999999</v>
      </c>
      <c r="C1130">
        <f>2.1187</f>
        <v>2.1187</v>
      </c>
      <c r="D1130">
        <f>1.4096</f>
        <v>1.4096</v>
      </c>
      <c r="E1130">
        <f>2.0001</f>
        <v>2.0001000000000002</v>
      </c>
      <c r="F1130">
        <f>2.9773</f>
        <v>2.9773000000000001</v>
      </c>
    </row>
    <row r="1131" spans="1:6" x14ac:dyDescent="0.25">
      <c r="A1131" s="2">
        <v>43210</v>
      </c>
      <c r="B1131">
        <f>2.1821</f>
        <v>2.1821000000000002</v>
      </c>
      <c r="C1131">
        <f>2.1111</f>
        <v>2.1111</v>
      </c>
      <c r="D1131">
        <f>1.4038</f>
        <v>1.4037999999999999</v>
      </c>
      <c r="E1131">
        <f>1.9907</f>
        <v>1.9906999999999999</v>
      </c>
      <c r="F1131">
        <f>2.9721</f>
        <v>2.9721000000000002</v>
      </c>
    </row>
    <row r="1132" spans="1:6" x14ac:dyDescent="0.25">
      <c r="A1132" s="2">
        <v>43209</v>
      </c>
      <c r="B1132">
        <f>2.1818</f>
        <v>2.1818</v>
      </c>
      <c r="C1132">
        <f>2.1298</f>
        <v>2.1297999999999999</v>
      </c>
      <c r="D1132">
        <f>1.4097</f>
        <v>1.4097</v>
      </c>
      <c r="E1132">
        <f>1.8588</f>
        <v>1.8588</v>
      </c>
      <c r="F1132">
        <f>2.9638</f>
        <v>2.9638</v>
      </c>
    </row>
    <row r="1133" spans="1:6" x14ac:dyDescent="0.25">
      <c r="A1133" s="2">
        <v>43208</v>
      </c>
      <c r="B1133">
        <f>2.1629</f>
        <v>2.1629</v>
      </c>
      <c r="C1133">
        <f>2.1246</f>
        <v>2.1246</v>
      </c>
      <c r="D1133">
        <f>1.3945</f>
        <v>1.3945000000000001</v>
      </c>
      <c r="E1133">
        <f>1.8495</f>
        <v>1.8494999999999999</v>
      </c>
      <c r="F1133">
        <f>2.9358</f>
        <v>2.9358</v>
      </c>
    </row>
    <row r="1134" spans="1:6" x14ac:dyDescent="0.25">
      <c r="A1134" s="2">
        <v>43207</v>
      </c>
      <c r="B1134">
        <f>2.1393</f>
        <v>2.1393</v>
      </c>
      <c r="C1134">
        <f>2.0984</f>
        <v>2.0983999999999998</v>
      </c>
      <c r="D1134">
        <f>1.3879</f>
        <v>1.3878999999999999</v>
      </c>
      <c r="E1134">
        <f>1.8224</f>
        <v>1.8224</v>
      </c>
      <c r="F1134">
        <f>2.9463</f>
        <v>2.9462999999999999</v>
      </c>
    </row>
    <row r="1135" spans="1:6" x14ac:dyDescent="0.25">
      <c r="A1135" s="2">
        <v>43206</v>
      </c>
      <c r="B1135">
        <f>2.1329</f>
        <v>2.1328999999999998</v>
      </c>
      <c r="C1135">
        <f>2.0859</f>
        <v>2.0859000000000001</v>
      </c>
      <c r="D1135">
        <f>1.3869</f>
        <v>1.3869</v>
      </c>
      <c r="E1135">
        <f>1.8092</f>
        <v>1.8091999999999999</v>
      </c>
      <c r="F1135">
        <f>2.9343</f>
        <v>2.9342999999999999</v>
      </c>
    </row>
    <row r="1136" spans="1:6" x14ac:dyDescent="0.25">
      <c r="A1136" s="2">
        <v>43203</v>
      </c>
      <c r="B1136">
        <f>2.1425</f>
        <v>2.1425000000000001</v>
      </c>
      <c r="C1136">
        <f>2.1002</f>
        <v>2.1002000000000001</v>
      </c>
      <c r="D1136">
        <f>1.3873</f>
        <v>1.3873</v>
      </c>
      <c r="E1136">
        <f>1.8434</f>
        <v>1.8433999999999999</v>
      </c>
      <c r="F1136">
        <f>2.9359</f>
        <v>2.9359000000000002</v>
      </c>
    </row>
    <row r="1137" spans="1:6" x14ac:dyDescent="0.25">
      <c r="A1137" s="2">
        <v>43202</v>
      </c>
      <c r="B1137">
        <f>2.1397</f>
        <v>2.1396999999999999</v>
      </c>
      <c r="C1137">
        <f>2.1025</f>
        <v>2.1025</v>
      </c>
      <c r="D1137">
        <f>1.3835</f>
        <v>1.3835</v>
      </c>
      <c r="E1137">
        <f>1.852</f>
        <v>1.8520000000000001</v>
      </c>
      <c r="F1137">
        <f>2.9518</f>
        <v>2.9518</v>
      </c>
    </row>
    <row r="1138" spans="1:6" x14ac:dyDescent="0.25">
      <c r="A1138" s="2">
        <v>43201</v>
      </c>
      <c r="B1138">
        <f>2.1182</f>
        <v>2.1181999999999999</v>
      </c>
      <c r="C1138">
        <f>2.0837</f>
        <v>2.0836999999999999</v>
      </c>
      <c r="D1138">
        <f>1.3864</f>
        <v>1.3864000000000001</v>
      </c>
      <c r="E1138">
        <f>1.8759</f>
        <v>1.8758999999999999</v>
      </c>
      <c r="F1138">
        <f>2.9531</f>
        <v>2.9531000000000001</v>
      </c>
    </row>
    <row r="1139" spans="1:6" x14ac:dyDescent="0.25">
      <c r="A1139" s="2">
        <v>43200</v>
      </c>
      <c r="B1139">
        <f>2.0902</f>
        <v>2.0901999999999998</v>
      </c>
      <c r="C1139">
        <f>2.0502</f>
        <v>2.0501999999999998</v>
      </c>
      <c r="D1139">
        <f>1.3789</f>
        <v>1.3789</v>
      </c>
      <c r="E1139">
        <f>1.8401</f>
        <v>1.8401000000000001</v>
      </c>
      <c r="F1139">
        <f>2.9569</f>
        <v>2.9569000000000001</v>
      </c>
    </row>
    <row r="1140" spans="1:6" x14ac:dyDescent="0.25">
      <c r="A1140" s="2">
        <v>43199</v>
      </c>
      <c r="B1140">
        <f>2.0809</f>
        <v>2.0809000000000002</v>
      </c>
      <c r="C1140">
        <f>2.037</f>
        <v>2.0369999999999999</v>
      </c>
      <c r="D1140">
        <f>1.3665</f>
        <v>1.3665</v>
      </c>
      <c r="E1140">
        <f>1.7963</f>
        <v>1.7963</v>
      </c>
      <c r="F1140">
        <f>2.9498</f>
        <v>2.9498000000000002</v>
      </c>
    </row>
    <row r="1141" spans="1:6" x14ac:dyDescent="0.25">
      <c r="A1141" s="2">
        <v>43196</v>
      </c>
      <c r="B1141">
        <f>2.078</f>
        <v>2.0779999999999998</v>
      </c>
      <c r="C1141">
        <f>2.0383</f>
        <v>2.0383</v>
      </c>
      <c r="D1141">
        <f>1.371</f>
        <v>1.371</v>
      </c>
      <c r="E1141">
        <f>1.7973</f>
        <v>1.7972999999999999</v>
      </c>
      <c r="F1141">
        <f>2.9454</f>
        <v>2.9453999999999998</v>
      </c>
    </row>
    <row r="1142" spans="1:6" x14ac:dyDescent="0.25">
      <c r="A1142" s="2">
        <v>43195</v>
      </c>
      <c r="B1142">
        <f>2.0876</f>
        <v>2.0876000000000001</v>
      </c>
      <c r="C1142">
        <f>2.0547</f>
        <v>2.0547</v>
      </c>
      <c r="D1142">
        <f>1.3696</f>
        <v>1.3695999999999999</v>
      </c>
      <c r="E1142">
        <f>1.8545</f>
        <v>1.8545</v>
      </c>
      <c r="F1142">
        <f>2.9528</f>
        <v>2.9527999999999999</v>
      </c>
    </row>
    <row r="1143" spans="1:6" x14ac:dyDescent="0.25">
      <c r="A1143" s="2">
        <v>43194</v>
      </c>
      <c r="B1143">
        <f>2.0903</f>
        <v>2.0903</v>
      </c>
      <c r="C1143">
        <f>2.0629</f>
        <v>2.0629</v>
      </c>
      <c r="D1143">
        <f>1.3727</f>
        <v>1.3727</v>
      </c>
      <c r="E1143">
        <f>1.8762</f>
        <v>1.8762000000000001</v>
      </c>
      <c r="F1143">
        <f>2.9336</f>
        <v>2.9336000000000002</v>
      </c>
    </row>
    <row r="1144" spans="1:6" x14ac:dyDescent="0.25">
      <c r="A1144" s="2">
        <v>43193</v>
      </c>
      <c r="B1144">
        <f>2.0868</f>
        <v>2.0868000000000002</v>
      </c>
      <c r="C1144">
        <f>2.0566</f>
        <v>2.0566</v>
      </c>
      <c r="D1144">
        <f>1.3767</f>
        <v>1.3767</v>
      </c>
      <c r="E1144">
        <f>1.9211</f>
        <v>1.9211</v>
      </c>
      <c r="F1144">
        <f>2.9302</f>
        <v>2.9302000000000001</v>
      </c>
    </row>
    <row r="1145" spans="1:6" x14ac:dyDescent="0.25">
      <c r="A1145" s="2">
        <v>43192</v>
      </c>
      <c r="B1145">
        <f>2.0564</f>
        <v>2.0564</v>
      </c>
      <c r="C1145">
        <f>2.0259</f>
        <v>2.0259</v>
      </c>
      <c r="D1145">
        <f>1.3656</f>
        <v>1.3655999999999999</v>
      </c>
      <c r="E1145">
        <f>1.9255</f>
        <v>1.9255</v>
      </c>
      <c r="F1145" t="e">
        <f>NA()</f>
        <v>#N/A</v>
      </c>
    </row>
    <row r="1146" spans="1:6" x14ac:dyDescent="0.25">
      <c r="A1146" s="2">
        <v>43189</v>
      </c>
      <c r="B1146">
        <f>2.0559</f>
        <v>2.0558999999999998</v>
      </c>
      <c r="C1146">
        <f>2.0413</f>
        <v>2.0413000000000001</v>
      </c>
      <c r="D1146">
        <f>1.3656</f>
        <v>1.3655999999999999</v>
      </c>
      <c r="E1146">
        <f>1.9793</f>
        <v>1.9793000000000001</v>
      </c>
      <c r="F1146" t="e">
        <f>NA()</f>
        <v>#N/A</v>
      </c>
    </row>
    <row r="1147" spans="1:6" x14ac:dyDescent="0.25">
      <c r="A1147" s="2">
        <v>43188</v>
      </c>
      <c r="B1147">
        <f>2.0559</f>
        <v>2.0558999999999998</v>
      </c>
      <c r="C1147">
        <f>2.0413</f>
        <v>2.0413000000000001</v>
      </c>
      <c r="D1147">
        <f>1.3656</f>
        <v>1.3655999999999999</v>
      </c>
      <c r="E1147">
        <f>1.9793</f>
        <v>1.9793000000000001</v>
      </c>
      <c r="F1147">
        <f>2.9291</f>
        <v>2.9291</v>
      </c>
    </row>
    <row r="1148" spans="1:6" x14ac:dyDescent="0.25">
      <c r="A1148" s="2">
        <v>43187</v>
      </c>
      <c r="B1148">
        <f>2.0578</f>
        <v>2.0577999999999999</v>
      </c>
      <c r="C1148">
        <f>2.0488</f>
        <v>2.0488</v>
      </c>
      <c r="D1148">
        <f>1.3636</f>
        <v>1.3635999999999999</v>
      </c>
      <c r="E1148">
        <f>1.9985</f>
        <v>1.9984999999999999</v>
      </c>
      <c r="F1148">
        <f>2.9111</f>
        <v>2.9110999999999998</v>
      </c>
    </row>
    <row r="1149" spans="1:6" x14ac:dyDescent="0.25">
      <c r="A1149" s="2">
        <v>43186</v>
      </c>
      <c r="B1149">
        <f>2.0662</f>
        <v>2.0661999999999998</v>
      </c>
      <c r="C1149">
        <f>2.0634</f>
        <v>2.0634000000000001</v>
      </c>
      <c r="D1149">
        <f>1.3649</f>
        <v>1.3649</v>
      </c>
      <c r="E1149">
        <f>2.0229</f>
        <v>2.0228999999999999</v>
      </c>
      <c r="F1149">
        <f>2.9264</f>
        <v>2.9264000000000001</v>
      </c>
    </row>
    <row r="1150" spans="1:6" x14ac:dyDescent="0.25">
      <c r="A1150" s="2">
        <v>43185</v>
      </c>
      <c r="B1150">
        <f>2.0831</f>
        <v>2.0831</v>
      </c>
      <c r="C1150">
        <f>2.084</f>
        <v>2.0840000000000001</v>
      </c>
      <c r="D1150">
        <f>1.3628</f>
        <v>1.3628</v>
      </c>
      <c r="E1150">
        <f>2.031</f>
        <v>2.0310000000000001</v>
      </c>
      <c r="F1150">
        <f>2.9402</f>
        <v>2.9401999999999999</v>
      </c>
    </row>
    <row r="1151" spans="1:6" x14ac:dyDescent="0.25">
      <c r="A1151" s="2">
        <v>43182</v>
      </c>
      <c r="B1151">
        <f>2.0745</f>
        <v>2.0745</v>
      </c>
      <c r="C1151">
        <f>2.0751</f>
        <v>2.0750999999999999</v>
      </c>
      <c r="D1151">
        <f>1.346</f>
        <v>1.3460000000000001</v>
      </c>
      <c r="E1151">
        <f>2.0497</f>
        <v>2.0497000000000001</v>
      </c>
      <c r="F1151">
        <f>2.9453</f>
        <v>2.9453</v>
      </c>
    </row>
    <row r="1152" spans="1:6" x14ac:dyDescent="0.25">
      <c r="A1152" s="2">
        <v>43181</v>
      </c>
      <c r="B1152">
        <f>2.0827</f>
        <v>2.0827</v>
      </c>
      <c r="C1152">
        <f>2.0785</f>
        <v>2.0785</v>
      </c>
      <c r="D1152">
        <f>1.3314</f>
        <v>1.3313999999999999</v>
      </c>
      <c r="E1152">
        <f>2.0491</f>
        <v>2.0491000000000001</v>
      </c>
      <c r="F1152">
        <f>2.936</f>
        <v>2.9359999999999999</v>
      </c>
    </row>
    <row r="1153" spans="1:6" x14ac:dyDescent="0.25">
      <c r="A1153" s="2">
        <v>43180</v>
      </c>
      <c r="B1153">
        <f>2.1074</f>
        <v>2.1074000000000002</v>
      </c>
      <c r="C1153">
        <f>2.0989</f>
        <v>2.0989</v>
      </c>
      <c r="D1153">
        <f>1.3316</f>
        <v>1.3315999999999999</v>
      </c>
      <c r="E1153">
        <f>2.061</f>
        <v>2.0609999999999999</v>
      </c>
      <c r="F1153">
        <f>2.9547</f>
        <v>2.9546999999999999</v>
      </c>
    </row>
    <row r="1154" spans="1:6" x14ac:dyDescent="0.25">
      <c r="A1154" s="2">
        <v>43179</v>
      </c>
      <c r="B1154">
        <f>2.0901</f>
        <v>2.0901000000000001</v>
      </c>
      <c r="C1154">
        <f>2.0812</f>
        <v>2.0811999999999999</v>
      </c>
      <c r="D1154">
        <f>1.3141</f>
        <v>1.3141</v>
      </c>
      <c r="E1154">
        <f>2.0122</f>
        <v>2.0122</v>
      </c>
      <c r="F1154">
        <f>2.952</f>
        <v>2.952</v>
      </c>
    </row>
    <row r="1155" spans="1:6" x14ac:dyDescent="0.25">
      <c r="A1155" s="2">
        <v>43178</v>
      </c>
      <c r="B1155">
        <f>2.0787</f>
        <v>2.0787</v>
      </c>
      <c r="C1155">
        <f>2.0704</f>
        <v>2.0703999999999998</v>
      </c>
      <c r="D1155">
        <f>1.3039</f>
        <v>1.3039000000000001</v>
      </c>
      <c r="E1155">
        <f>1.9957</f>
        <v>1.9957</v>
      </c>
      <c r="F1155">
        <f>2.9474</f>
        <v>2.9474</v>
      </c>
    </row>
    <row r="1156" spans="1:6" x14ac:dyDescent="0.25">
      <c r="A1156" s="2">
        <v>43175</v>
      </c>
      <c r="B1156">
        <f>2.0846</f>
        <v>2.0846</v>
      </c>
      <c r="C1156">
        <f>2.0833</f>
        <v>2.0832999999999999</v>
      </c>
      <c r="D1156">
        <f>1.2999</f>
        <v>1.2999000000000001</v>
      </c>
      <c r="E1156">
        <f>2.0144</f>
        <v>2.0144000000000002</v>
      </c>
      <c r="F1156">
        <f>2.9669</f>
        <v>2.9668999999999999</v>
      </c>
    </row>
    <row r="1157" spans="1:6" x14ac:dyDescent="0.25">
      <c r="A1157" s="2">
        <v>43174</v>
      </c>
      <c r="B1157">
        <f>2.0909</f>
        <v>2.0909</v>
      </c>
      <c r="C1157">
        <f>2.0907</f>
        <v>2.0907</v>
      </c>
      <c r="D1157">
        <f>1.2957</f>
        <v>1.2957000000000001</v>
      </c>
      <c r="E1157">
        <f>2.0283</f>
        <v>2.0283000000000002</v>
      </c>
      <c r="F1157">
        <f>2.9904</f>
        <v>2.9904000000000002</v>
      </c>
    </row>
    <row r="1158" spans="1:6" x14ac:dyDescent="0.25">
      <c r="A1158" s="2">
        <v>43173</v>
      </c>
      <c r="B1158">
        <f>2.0842</f>
        <v>2.0842000000000001</v>
      </c>
      <c r="C1158">
        <f>2.0938</f>
        <v>2.0937999999999999</v>
      </c>
      <c r="D1158">
        <f>1.3007</f>
        <v>1.3007</v>
      </c>
      <c r="E1158">
        <f>2.0212</f>
        <v>2.0211999999999999</v>
      </c>
      <c r="F1158">
        <f>3.0077</f>
        <v>3.0076999999999998</v>
      </c>
    </row>
    <row r="1159" spans="1:6" x14ac:dyDescent="0.25">
      <c r="A1159" s="2">
        <v>43172</v>
      </c>
      <c r="B1159">
        <f>2.0939</f>
        <v>2.0939000000000001</v>
      </c>
      <c r="C1159">
        <f>2.0861</f>
        <v>2.0861000000000001</v>
      </c>
      <c r="D1159">
        <f>1.3013</f>
        <v>1.3012999999999999</v>
      </c>
      <c r="E1159">
        <f>2.0306</f>
        <v>2.0306000000000002</v>
      </c>
      <c r="F1159">
        <f>3.017</f>
        <v>3.0169999999999999</v>
      </c>
    </row>
    <row r="1160" spans="1:6" x14ac:dyDescent="0.25">
      <c r="A1160" s="2">
        <v>43171</v>
      </c>
      <c r="B1160">
        <f>2.1057</f>
        <v>2.1057000000000001</v>
      </c>
      <c r="C1160">
        <f>2.0875</f>
        <v>2.0874999999999999</v>
      </c>
      <c r="D1160">
        <f>1.305</f>
        <v>1.3049999999999999</v>
      </c>
      <c r="E1160">
        <f>2.0454</f>
        <v>2.0453999999999999</v>
      </c>
      <c r="F1160">
        <f>3.0433</f>
        <v>3.0432999999999999</v>
      </c>
    </row>
    <row r="1161" spans="1:6" x14ac:dyDescent="0.25">
      <c r="A1161" s="2">
        <v>43168</v>
      </c>
      <c r="B1161">
        <f>2.1256</f>
        <v>2.1255999999999999</v>
      </c>
      <c r="C1161">
        <f>2.1103</f>
        <v>2.1103000000000001</v>
      </c>
      <c r="D1161">
        <f>1.2984</f>
        <v>1.2984</v>
      </c>
      <c r="E1161">
        <f>2.0689</f>
        <v>2.0689000000000002</v>
      </c>
      <c r="F1161">
        <f>3.0465</f>
        <v>3.0465</v>
      </c>
    </row>
    <row r="1162" spans="1:6" x14ac:dyDescent="0.25">
      <c r="A1162" s="2">
        <v>43167</v>
      </c>
      <c r="B1162">
        <f>2.1188</f>
        <v>2.1187999999999998</v>
      </c>
      <c r="C1162">
        <f>2.1136</f>
        <v>2.1135999999999999</v>
      </c>
      <c r="D1162">
        <f>1.2932</f>
        <v>1.2931999999999999</v>
      </c>
      <c r="E1162">
        <f>2.0946</f>
        <v>2.0945999999999998</v>
      </c>
      <c r="F1162">
        <f>3.0511</f>
        <v>3.0510999999999999</v>
      </c>
    </row>
    <row r="1163" spans="1:6" x14ac:dyDescent="0.25">
      <c r="A1163" s="2">
        <v>43166</v>
      </c>
      <c r="B1163">
        <f>2.1319</f>
        <v>2.1318999999999999</v>
      </c>
      <c r="C1163">
        <f>2.1472</f>
        <v>2.1472000000000002</v>
      </c>
      <c r="D1163">
        <f>1.2902</f>
        <v>1.2902</v>
      </c>
      <c r="E1163">
        <f>2.1339</f>
        <v>2.1339000000000001</v>
      </c>
      <c r="F1163">
        <f>3.0568</f>
        <v>3.0568</v>
      </c>
    </row>
    <row r="1164" spans="1:6" x14ac:dyDescent="0.25">
      <c r="A1164" s="2">
        <v>43165</v>
      </c>
      <c r="B1164">
        <f>2.1285</f>
        <v>2.1284999999999998</v>
      </c>
      <c r="C1164">
        <f>2.1276</f>
        <v>2.1276000000000002</v>
      </c>
      <c r="D1164">
        <f>1.2845</f>
        <v>1.2845</v>
      </c>
      <c r="E1164">
        <f>2.1411</f>
        <v>2.1410999999999998</v>
      </c>
      <c r="F1164">
        <f>3.0665</f>
        <v>3.0665</v>
      </c>
    </row>
    <row r="1165" spans="1:6" x14ac:dyDescent="0.25">
      <c r="A1165" s="2">
        <v>43164</v>
      </c>
      <c r="B1165">
        <f>2.1385</f>
        <v>2.1385000000000001</v>
      </c>
      <c r="C1165">
        <f>2.125</f>
        <v>2.125</v>
      </c>
      <c r="D1165">
        <f>1.2753</f>
        <v>1.2753000000000001</v>
      </c>
      <c r="E1165">
        <f>2.1604</f>
        <v>2.1604000000000001</v>
      </c>
      <c r="F1165">
        <f>3.0746</f>
        <v>3.0746000000000002</v>
      </c>
    </row>
    <row r="1166" spans="1:6" x14ac:dyDescent="0.25">
      <c r="A1166" s="2">
        <v>43161</v>
      </c>
      <c r="B1166">
        <f>2.1354</f>
        <v>2.1354000000000002</v>
      </c>
      <c r="C1166">
        <f>2.1156</f>
        <v>2.1156000000000001</v>
      </c>
      <c r="D1166">
        <f>1.2769</f>
        <v>1.2768999999999999</v>
      </c>
      <c r="E1166">
        <f>2.1307</f>
        <v>2.1307</v>
      </c>
      <c r="F1166">
        <f>3.0683</f>
        <v>3.0682999999999998</v>
      </c>
    </row>
    <row r="1167" spans="1:6" x14ac:dyDescent="0.25">
      <c r="A1167" s="2">
        <v>43160</v>
      </c>
      <c r="B1167">
        <f>2.1073</f>
        <v>2.1073</v>
      </c>
      <c r="C1167">
        <f>2.0821</f>
        <v>2.0821000000000001</v>
      </c>
      <c r="D1167">
        <f>1.2909</f>
        <v>1.2908999999999999</v>
      </c>
      <c r="E1167">
        <f>2.1047</f>
        <v>2.1046999999999998</v>
      </c>
      <c r="F1167">
        <f>3.0621</f>
        <v>3.0621</v>
      </c>
    </row>
    <row r="1168" spans="1:6" x14ac:dyDescent="0.25">
      <c r="A1168" s="2">
        <v>43159</v>
      </c>
      <c r="B1168">
        <f>2.1191</f>
        <v>2.1191</v>
      </c>
      <c r="C1168">
        <f>2.0867</f>
        <v>2.0867</v>
      </c>
      <c r="D1168">
        <f>1.2939</f>
        <v>1.2939000000000001</v>
      </c>
      <c r="E1168">
        <f>2.0935</f>
        <v>2.0935000000000001</v>
      </c>
      <c r="F1168">
        <f>3.0773</f>
        <v>3.0773000000000001</v>
      </c>
    </row>
    <row r="1169" spans="1:6" x14ac:dyDescent="0.25">
      <c r="A1169" s="2">
        <v>43158</v>
      </c>
      <c r="B1169">
        <f>2.1342</f>
        <v>2.1341999999999999</v>
      </c>
      <c r="C1169">
        <f>2.1057</f>
        <v>2.1057000000000001</v>
      </c>
      <c r="D1169">
        <f>1.2971</f>
        <v>1.2970999999999999</v>
      </c>
      <c r="E1169">
        <f>2.1129</f>
        <v>2.1128999999999998</v>
      </c>
      <c r="F1169">
        <f>3.0884</f>
        <v>3.0884</v>
      </c>
    </row>
    <row r="1170" spans="1:6" x14ac:dyDescent="0.25">
      <c r="A1170" s="2">
        <v>43157</v>
      </c>
      <c r="B1170">
        <f>2.1359</f>
        <v>2.1358999999999999</v>
      </c>
      <c r="C1170">
        <f>2.108</f>
        <v>2.1080000000000001</v>
      </c>
      <c r="D1170">
        <f>1.3026</f>
        <v>1.3026</v>
      </c>
      <c r="E1170">
        <f>2.1126</f>
        <v>2.1126</v>
      </c>
      <c r="F1170">
        <f>3.0811</f>
        <v>3.0811000000000002</v>
      </c>
    </row>
    <row r="1171" spans="1:6" x14ac:dyDescent="0.25">
      <c r="A1171" s="2">
        <v>43154</v>
      </c>
      <c r="B1171">
        <f>2.1264</f>
        <v>2.1263999999999998</v>
      </c>
      <c r="C1171">
        <f>2.0909</f>
        <v>2.0909</v>
      </c>
      <c r="D1171">
        <f>1.3058</f>
        <v>1.3058000000000001</v>
      </c>
      <c r="E1171">
        <f>2.0887</f>
        <v>2.0886999999999998</v>
      </c>
      <c r="F1171">
        <f>3.0899</f>
        <v>3.0899000000000001</v>
      </c>
    </row>
    <row r="1172" spans="1:6" x14ac:dyDescent="0.25">
      <c r="A1172" s="2">
        <v>43153</v>
      </c>
      <c r="B1172">
        <f>2.12</f>
        <v>2.12</v>
      </c>
      <c r="C1172">
        <f>2.0676</f>
        <v>2.0676000000000001</v>
      </c>
      <c r="D1172">
        <f>1.3042</f>
        <v>1.3042</v>
      </c>
      <c r="E1172">
        <f>2.0487</f>
        <v>2.0487000000000002</v>
      </c>
      <c r="F1172">
        <f>3.0951</f>
        <v>3.0951</v>
      </c>
    </row>
    <row r="1173" spans="1:6" x14ac:dyDescent="0.25">
      <c r="A1173" s="2">
        <v>43152</v>
      </c>
      <c r="B1173">
        <f>2.1268</f>
        <v>2.1267999999999998</v>
      </c>
      <c r="C1173">
        <f>2.07</f>
        <v>2.0699999999999998</v>
      </c>
      <c r="D1173">
        <f>1.2892</f>
        <v>1.2891999999999999</v>
      </c>
      <c r="E1173">
        <f>2.0307</f>
        <v>2.0306999999999999</v>
      </c>
      <c r="F1173">
        <f>3.1079</f>
        <v>3.1078999999999999</v>
      </c>
    </row>
    <row r="1174" spans="1:6" x14ac:dyDescent="0.25">
      <c r="A1174" s="2">
        <v>43151</v>
      </c>
      <c r="B1174">
        <f>2.1094</f>
        <v>2.1093999999999999</v>
      </c>
      <c r="C1174">
        <f>2.0554</f>
        <v>2.0554000000000001</v>
      </c>
      <c r="D1174">
        <f>1.3076</f>
        <v>1.3076000000000001</v>
      </c>
      <c r="E1174">
        <f>2.0293</f>
        <v>2.0293000000000001</v>
      </c>
      <c r="F1174">
        <f>3.1314</f>
        <v>3.1314000000000002</v>
      </c>
    </row>
    <row r="1175" spans="1:6" x14ac:dyDescent="0.25">
      <c r="A1175" s="2">
        <v>43150</v>
      </c>
      <c r="B1175">
        <f>2.0991</f>
        <v>2.0991</v>
      </c>
      <c r="C1175">
        <f>2.0499</f>
        <v>2.0499000000000001</v>
      </c>
      <c r="D1175">
        <f>1.3138</f>
        <v>1.3138000000000001</v>
      </c>
      <c r="E1175">
        <f>2.0205</f>
        <v>2.0205000000000002</v>
      </c>
      <c r="F1175">
        <f>3.1334</f>
        <v>3.1334</v>
      </c>
    </row>
    <row r="1176" spans="1:6" x14ac:dyDescent="0.25">
      <c r="A1176" s="2">
        <v>43147</v>
      </c>
      <c r="B1176">
        <f>2.0991</f>
        <v>2.0991</v>
      </c>
      <c r="C1176">
        <f>2.0499</f>
        <v>2.0499000000000001</v>
      </c>
      <c r="D1176">
        <f>1.3199</f>
        <v>1.3199000000000001</v>
      </c>
      <c r="E1176">
        <f>2.0205</f>
        <v>2.0205000000000002</v>
      </c>
      <c r="F1176">
        <f>3.1211</f>
        <v>3.1211000000000002</v>
      </c>
    </row>
    <row r="1177" spans="1:6" x14ac:dyDescent="0.25">
      <c r="A1177" s="2">
        <v>43146</v>
      </c>
      <c r="B1177">
        <f>2.1135</f>
        <v>2.1135000000000002</v>
      </c>
      <c r="C1177">
        <f>2.0455</f>
        <v>2.0455000000000001</v>
      </c>
      <c r="D1177">
        <f>1.3371</f>
        <v>1.3371</v>
      </c>
      <c r="E1177">
        <f>1.9936</f>
        <v>1.9936</v>
      </c>
      <c r="F1177">
        <f>3.1295</f>
        <v>3.1295000000000002</v>
      </c>
    </row>
    <row r="1178" spans="1:6" x14ac:dyDescent="0.25">
      <c r="A1178" s="2">
        <v>43145</v>
      </c>
      <c r="B1178">
        <f>2.1096</f>
        <v>2.1095999999999999</v>
      </c>
      <c r="C1178">
        <f>2.036</f>
        <v>2.036</v>
      </c>
      <c r="D1178">
        <f>1.3339</f>
        <v>1.3339000000000001</v>
      </c>
      <c r="E1178">
        <f>1.9684</f>
        <v>1.9683999999999999</v>
      </c>
      <c r="F1178">
        <f>3.1</f>
        <v>3.1</v>
      </c>
    </row>
    <row r="1179" spans="1:6" x14ac:dyDescent="0.25">
      <c r="A1179" s="2">
        <v>43144</v>
      </c>
      <c r="B1179">
        <f>2.0556</f>
        <v>2.0556000000000001</v>
      </c>
      <c r="C1179">
        <f>1.9505</f>
        <v>1.9504999999999999</v>
      </c>
      <c r="D1179">
        <f>1.3201</f>
        <v>1.3201000000000001</v>
      </c>
      <c r="E1179">
        <f>1.8272</f>
        <v>1.8271999999999999</v>
      </c>
      <c r="F1179">
        <f>3.0935</f>
        <v>3.0935000000000001</v>
      </c>
    </row>
    <row r="1180" spans="1:6" x14ac:dyDescent="0.25">
      <c r="A1180" s="2">
        <v>43143</v>
      </c>
      <c r="B1180">
        <f>2.071</f>
        <v>2.0710000000000002</v>
      </c>
      <c r="C1180">
        <f>1.9567</f>
        <v>1.9567000000000001</v>
      </c>
      <c r="D1180">
        <f>1.325</f>
        <v>1.325</v>
      </c>
      <c r="E1180">
        <f>1.8176</f>
        <v>1.8176000000000001</v>
      </c>
      <c r="F1180">
        <f>3.0939</f>
        <v>3.0939000000000001</v>
      </c>
    </row>
    <row r="1181" spans="1:6" x14ac:dyDescent="0.25">
      <c r="A1181" s="2">
        <v>43140</v>
      </c>
      <c r="B1181">
        <f>2.0668</f>
        <v>2.0668000000000002</v>
      </c>
      <c r="C1181">
        <f>1.949</f>
        <v>1.9490000000000001</v>
      </c>
      <c r="D1181">
        <f>1.3309</f>
        <v>1.3309</v>
      </c>
      <c r="E1181">
        <f>1.7678</f>
        <v>1.7678</v>
      </c>
      <c r="F1181">
        <f>3.0786</f>
        <v>3.0785999999999998</v>
      </c>
    </row>
    <row r="1182" spans="1:6" x14ac:dyDescent="0.25">
      <c r="A1182" s="2">
        <v>43139</v>
      </c>
      <c r="B1182">
        <f>2.0858</f>
        <v>2.0857999999999999</v>
      </c>
      <c r="C1182">
        <f>1.9687</f>
        <v>1.9686999999999999</v>
      </c>
      <c r="D1182">
        <f>1.3435</f>
        <v>1.3434999999999999</v>
      </c>
      <c r="E1182">
        <f>1.8341</f>
        <v>1.8341000000000001</v>
      </c>
      <c r="F1182">
        <f>3.1023</f>
        <v>3.1023000000000001</v>
      </c>
    </row>
    <row r="1183" spans="1:6" x14ac:dyDescent="0.25">
      <c r="A1183" s="2">
        <v>43138</v>
      </c>
      <c r="B1183">
        <f>2.1201</f>
        <v>2.1200999999999999</v>
      </c>
      <c r="C1183">
        <f>2.0153</f>
        <v>2.0152999999999999</v>
      </c>
      <c r="D1183">
        <f>1.341</f>
        <v>1.341</v>
      </c>
      <c r="E1183">
        <f>1.8518</f>
        <v>1.8517999999999999</v>
      </c>
      <c r="F1183">
        <f>3.1346</f>
        <v>3.1345999999999998</v>
      </c>
    </row>
    <row r="1184" spans="1:6" x14ac:dyDescent="0.25">
      <c r="A1184" s="2">
        <v>43137</v>
      </c>
      <c r="B1184">
        <f>2.1081</f>
        <v>2.1080999999999999</v>
      </c>
      <c r="C1184">
        <f>2.0059</f>
        <v>2.0059</v>
      </c>
      <c r="D1184">
        <f>1.3296</f>
        <v>1.3295999999999999</v>
      </c>
      <c r="E1184">
        <f>1.8023</f>
        <v>1.8023</v>
      </c>
      <c r="F1184">
        <f>3.1089</f>
        <v>3.1089000000000002</v>
      </c>
    </row>
    <row r="1185" spans="1:6" x14ac:dyDescent="0.25">
      <c r="A1185" s="2">
        <v>43136</v>
      </c>
      <c r="B1185">
        <f>2.0942</f>
        <v>2.0941999999999998</v>
      </c>
      <c r="C1185">
        <f>1.9794</f>
        <v>1.9794</v>
      </c>
      <c r="D1185">
        <f>1.3391</f>
        <v>1.3391</v>
      </c>
      <c r="E1185">
        <f>1.8252</f>
        <v>1.8251999999999999</v>
      </c>
      <c r="F1185">
        <f>3.1043</f>
        <v>3.1042999999999998</v>
      </c>
    </row>
    <row r="1186" spans="1:6" x14ac:dyDescent="0.25">
      <c r="A1186" s="2">
        <v>43133</v>
      </c>
      <c r="B1186">
        <f>2.1383</f>
        <v>2.1383000000000001</v>
      </c>
      <c r="C1186">
        <f>2.0388</f>
        <v>2.0388000000000002</v>
      </c>
      <c r="D1186">
        <f>1.3341</f>
        <v>1.3341000000000001</v>
      </c>
      <c r="E1186">
        <f>1.8439</f>
        <v>1.8439000000000001</v>
      </c>
      <c r="F1186">
        <f>3.0893</f>
        <v>3.0893000000000002</v>
      </c>
    </row>
    <row r="1187" spans="1:6" x14ac:dyDescent="0.25">
      <c r="A1187" s="2">
        <v>43132</v>
      </c>
      <c r="B1187">
        <f>2.1219</f>
        <v>2.1219000000000001</v>
      </c>
      <c r="C1187">
        <f>2.0245</f>
        <v>2.0245000000000002</v>
      </c>
      <c r="D1187">
        <f>1.3272</f>
        <v>1.3271999999999999</v>
      </c>
      <c r="E1187">
        <f>1.8448</f>
        <v>1.8448</v>
      </c>
      <c r="F1187">
        <f>3.0614</f>
        <v>3.0613999999999999</v>
      </c>
    </row>
    <row r="1188" spans="1:6" x14ac:dyDescent="0.25">
      <c r="A1188" s="2">
        <v>43131</v>
      </c>
      <c r="B1188">
        <f>2.1121</f>
        <v>2.1120999999999999</v>
      </c>
      <c r="C1188">
        <f>2.0051</f>
        <v>2.0051000000000001</v>
      </c>
      <c r="D1188">
        <f>1.3143</f>
        <v>1.3143</v>
      </c>
      <c r="E1188">
        <f>1.8372</f>
        <v>1.8371999999999999</v>
      </c>
      <c r="F1188">
        <f>3.0823</f>
        <v>3.0823</v>
      </c>
    </row>
    <row r="1189" spans="1:6" x14ac:dyDescent="0.25">
      <c r="A1189" s="2">
        <v>43130</v>
      </c>
      <c r="B1189">
        <f>2.1001</f>
        <v>2.1000999999999999</v>
      </c>
      <c r="C1189">
        <f>2.0015</f>
        <v>2.0015000000000001</v>
      </c>
      <c r="D1189">
        <f>1.3003</f>
        <v>1.3003</v>
      </c>
      <c r="E1189">
        <f>1.8378</f>
        <v>1.8378000000000001</v>
      </c>
      <c r="F1189">
        <f>3.0948</f>
        <v>3.0948000000000002</v>
      </c>
    </row>
    <row r="1190" spans="1:6" x14ac:dyDescent="0.25">
      <c r="A1190" s="2">
        <v>43129</v>
      </c>
      <c r="B1190">
        <f>2.0945</f>
        <v>2.0945</v>
      </c>
      <c r="C1190">
        <f>2.0111</f>
        <v>2.0110999999999999</v>
      </c>
      <c r="D1190">
        <f>1.3074</f>
        <v>1.3073999999999999</v>
      </c>
      <c r="E1190">
        <f>1.8952</f>
        <v>1.8952</v>
      </c>
      <c r="F1190">
        <f>3.0946</f>
        <v>3.0945999999999998</v>
      </c>
    </row>
    <row r="1191" spans="1:6" x14ac:dyDescent="0.25">
      <c r="A1191" s="2">
        <v>43126</v>
      </c>
      <c r="B1191">
        <f>2.0901</f>
        <v>2.0901000000000001</v>
      </c>
      <c r="C1191">
        <f>2.0245</f>
        <v>2.0245000000000002</v>
      </c>
      <c r="D1191">
        <f>1.2927</f>
        <v>1.2927</v>
      </c>
      <c r="E1191">
        <f>1.9314</f>
        <v>1.9314</v>
      </c>
      <c r="F1191">
        <f>3.0742</f>
        <v>3.0741999999999998</v>
      </c>
    </row>
    <row r="1192" spans="1:6" x14ac:dyDescent="0.25">
      <c r="A1192" s="2">
        <v>43125</v>
      </c>
      <c r="B1192">
        <f>2.0585</f>
        <v>2.0585</v>
      </c>
      <c r="C1192">
        <f>1.9917</f>
        <v>1.9917</v>
      </c>
      <c r="D1192">
        <f>1.3054</f>
        <v>1.3053999999999999</v>
      </c>
      <c r="E1192">
        <f>1.9037</f>
        <v>1.9036999999999999</v>
      </c>
      <c r="F1192">
        <f>3.054</f>
        <v>3.0539999999999998</v>
      </c>
    </row>
    <row r="1193" spans="1:6" x14ac:dyDescent="0.25">
      <c r="A1193" s="2">
        <v>43124</v>
      </c>
      <c r="B1193">
        <f>2.0711</f>
        <v>2.0710999999999999</v>
      </c>
      <c r="C1193">
        <f>2.0004</f>
        <v>2.0004</v>
      </c>
      <c r="D1193">
        <f>1.3144</f>
        <v>1.3144</v>
      </c>
      <c r="E1193">
        <f>1.8801</f>
        <v>1.8801000000000001</v>
      </c>
      <c r="F1193">
        <f>3.0781</f>
        <v>3.0781000000000001</v>
      </c>
    </row>
    <row r="1194" spans="1:6" x14ac:dyDescent="0.25">
      <c r="A1194" s="2">
        <v>43123</v>
      </c>
      <c r="B1194">
        <f>2.0518</f>
        <v>2.0518000000000001</v>
      </c>
      <c r="C1194">
        <f>1.9816</f>
        <v>1.9816</v>
      </c>
      <c r="D1194">
        <f>1.311</f>
        <v>1.3109999999999999</v>
      </c>
      <c r="E1194">
        <f>1.8436</f>
        <v>1.8435999999999999</v>
      </c>
      <c r="F1194">
        <f>3.0919</f>
        <v>3.0918999999999999</v>
      </c>
    </row>
    <row r="1195" spans="1:6" x14ac:dyDescent="0.25">
      <c r="A1195" s="2">
        <v>43122</v>
      </c>
      <c r="B1195">
        <f>2.0648</f>
        <v>2.0648</v>
      </c>
      <c r="C1195">
        <f>1.9933</f>
        <v>1.9933000000000001</v>
      </c>
      <c r="D1195">
        <f>1.31</f>
        <v>1.31</v>
      </c>
      <c r="E1195">
        <f>1.8176</f>
        <v>1.8176000000000001</v>
      </c>
      <c r="F1195">
        <f>3.0914</f>
        <v>3.0914000000000001</v>
      </c>
    </row>
    <row r="1196" spans="1:6" x14ac:dyDescent="0.25">
      <c r="A1196" s="2">
        <v>43119</v>
      </c>
      <c r="B1196">
        <f>2.0732</f>
        <v>2.0731999999999999</v>
      </c>
      <c r="C1196">
        <f>1.9979</f>
        <v>1.9979</v>
      </c>
      <c r="D1196">
        <f>1.3109</f>
        <v>1.3109</v>
      </c>
      <c r="E1196">
        <f>1.8089</f>
        <v>1.8089</v>
      </c>
      <c r="F1196">
        <f>3.088</f>
        <v>3.0880000000000001</v>
      </c>
    </row>
    <row r="1197" spans="1:6" x14ac:dyDescent="0.25">
      <c r="A1197" s="2">
        <v>43118</v>
      </c>
      <c r="B1197">
        <f>2.0882</f>
        <v>2.0882000000000001</v>
      </c>
      <c r="C1197">
        <f>1.9896</f>
        <v>1.9896</v>
      </c>
      <c r="D1197">
        <f>1.3246</f>
        <v>1.3246</v>
      </c>
      <c r="E1197">
        <f>1.8192</f>
        <v>1.8191999999999999</v>
      </c>
      <c r="F1197">
        <f>3.0656</f>
        <v>3.0655999999999999</v>
      </c>
    </row>
    <row r="1198" spans="1:6" x14ac:dyDescent="0.25">
      <c r="A1198" s="2">
        <v>43117</v>
      </c>
      <c r="B1198">
        <f>2.0655</f>
        <v>2.0655000000000001</v>
      </c>
      <c r="C1198">
        <f>1.9675</f>
        <v>1.9675</v>
      </c>
      <c r="D1198">
        <f>1.3301</f>
        <v>1.3301000000000001</v>
      </c>
      <c r="E1198">
        <f>1.7996</f>
        <v>1.7996000000000001</v>
      </c>
      <c r="F1198">
        <f>3.0585</f>
        <v>3.0585</v>
      </c>
    </row>
    <row r="1199" spans="1:6" x14ac:dyDescent="0.25">
      <c r="A1199" s="2">
        <v>43116</v>
      </c>
      <c r="B1199">
        <f>2.0395</f>
        <v>2.0394999999999999</v>
      </c>
      <c r="C1199">
        <f>1.9437</f>
        <v>1.9437</v>
      </c>
      <c r="D1199">
        <f>1.3382</f>
        <v>1.3382000000000001</v>
      </c>
      <c r="E1199">
        <f>1.7892</f>
        <v>1.7891999999999999</v>
      </c>
      <c r="F1199">
        <f>3.0651</f>
        <v>3.0651000000000002</v>
      </c>
    </row>
    <row r="1200" spans="1:6" x14ac:dyDescent="0.25">
      <c r="A1200" s="2">
        <v>43115</v>
      </c>
      <c r="B1200">
        <f>2.0238</f>
        <v>2.0238</v>
      </c>
      <c r="C1200">
        <f>1.9359</f>
        <v>1.9359</v>
      </c>
      <c r="D1200">
        <f>1.3339</f>
        <v>1.3339000000000001</v>
      </c>
      <c r="E1200">
        <f>1.7426</f>
        <v>1.7425999999999999</v>
      </c>
      <c r="F1200">
        <f>3.0668</f>
        <v>3.0668000000000002</v>
      </c>
    </row>
    <row r="1201" spans="1:6" x14ac:dyDescent="0.25">
      <c r="A1201" s="2">
        <v>43112</v>
      </c>
      <c r="B1201">
        <f>2.0238</f>
        <v>2.0238</v>
      </c>
      <c r="C1201">
        <f>1.9359</f>
        <v>1.9359</v>
      </c>
      <c r="D1201">
        <f>1.3222</f>
        <v>1.3222</v>
      </c>
      <c r="E1201">
        <f>1.7426</f>
        <v>1.7425999999999999</v>
      </c>
      <c r="F1201">
        <f>3.0712</f>
        <v>3.0712000000000002</v>
      </c>
    </row>
    <row r="1202" spans="1:6" x14ac:dyDescent="0.25">
      <c r="A1202" s="2">
        <v>43111</v>
      </c>
      <c r="B1202">
        <f>2.0169</f>
        <v>2.0169000000000001</v>
      </c>
      <c r="C1202">
        <f>1.9106</f>
        <v>1.9106000000000001</v>
      </c>
      <c r="D1202">
        <f>1.3177</f>
        <v>1.3177000000000001</v>
      </c>
      <c r="E1202">
        <f>1.6639</f>
        <v>1.6638999999999999</v>
      </c>
      <c r="F1202">
        <f>3.0681</f>
        <v>3.0680999999999998</v>
      </c>
    </row>
    <row r="1203" spans="1:6" x14ac:dyDescent="0.25">
      <c r="A1203" s="2">
        <v>43110</v>
      </c>
      <c r="B1203">
        <f>2.0419</f>
        <v>2.0419</v>
      </c>
      <c r="C1203">
        <f>1.9386</f>
        <v>1.9386000000000001</v>
      </c>
      <c r="D1203">
        <f>1.3093</f>
        <v>1.3092999999999999</v>
      </c>
      <c r="E1203">
        <f>1.6588</f>
        <v>1.6588000000000001</v>
      </c>
      <c r="F1203">
        <f>3.0675</f>
        <v>3.0674999999999999</v>
      </c>
    </row>
    <row r="1204" spans="1:6" x14ac:dyDescent="0.25">
      <c r="A1204" s="2">
        <v>43109</v>
      </c>
      <c r="B1204">
        <f>2.0413</f>
        <v>2.0413000000000001</v>
      </c>
      <c r="C1204">
        <f>1.9479</f>
        <v>1.9479</v>
      </c>
      <c r="D1204">
        <f>1.2975</f>
        <v>1.2975000000000001</v>
      </c>
      <c r="E1204">
        <f>1.6584</f>
        <v>1.6584000000000001</v>
      </c>
      <c r="F1204">
        <f>3.0492</f>
        <v>3.0491999999999999</v>
      </c>
    </row>
    <row r="1205" spans="1:6" x14ac:dyDescent="0.25">
      <c r="A1205" s="2">
        <v>43108</v>
      </c>
      <c r="B1205">
        <f>2.0235</f>
        <v>2.0234999999999999</v>
      </c>
      <c r="C1205">
        <f>1.9287</f>
        <v>1.9287000000000001</v>
      </c>
      <c r="D1205">
        <f>1.2877</f>
        <v>1.2877000000000001</v>
      </c>
      <c r="E1205">
        <f>1.6299</f>
        <v>1.6298999999999999</v>
      </c>
      <c r="F1205">
        <f>3.0196</f>
        <v>3.0196000000000001</v>
      </c>
    </row>
    <row r="1206" spans="1:6" x14ac:dyDescent="0.25">
      <c r="A1206" s="2">
        <v>43105</v>
      </c>
      <c r="B1206">
        <f>2.0359</f>
        <v>2.0358999999999998</v>
      </c>
      <c r="C1206">
        <f>1.9371</f>
        <v>1.9371</v>
      </c>
      <c r="D1206">
        <f>1.2867</f>
        <v>1.2867</v>
      </c>
      <c r="E1206">
        <f>1.636</f>
        <v>1.6359999999999999</v>
      </c>
      <c r="F1206">
        <f>3.0262</f>
        <v>3.0261999999999998</v>
      </c>
    </row>
    <row r="1207" spans="1:6" x14ac:dyDescent="0.25">
      <c r="A1207" s="2">
        <v>43104</v>
      </c>
      <c r="B1207">
        <f>2.0142</f>
        <v>2.0142000000000002</v>
      </c>
      <c r="C1207">
        <f>1.911</f>
        <v>1.911</v>
      </c>
      <c r="D1207">
        <f>1.3013</f>
        <v>1.3012999999999999</v>
      </c>
      <c r="E1207">
        <f>1.6227</f>
        <v>1.6227</v>
      </c>
      <c r="F1207">
        <f>3.0562</f>
        <v>3.0562</v>
      </c>
    </row>
    <row r="1208" spans="1:6" x14ac:dyDescent="0.25">
      <c r="A1208" s="2">
        <v>43103</v>
      </c>
      <c r="B1208">
        <f>2.0044</f>
        <v>2.0044</v>
      </c>
      <c r="C1208">
        <f>1.8961</f>
        <v>1.8960999999999999</v>
      </c>
      <c r="D1208">
        <f>1.3162</f>
        <v>1.3162</v>
      </c>
      <c r="E1208">
        <f>1.6037</f>
        <v>1.6036999999999999</v>
      </c>
      <c r="F1208">
        <f>3.0516</f>
        <v>3.0516000000000001</v>
      </c>
    </row>
    <row r="1209" spans="1:6" x14ac:dyDescent="0.25">
      <c r="A1209" s="2">
        <v>43102</v>
      </c>
      <c r="B1209">
        <f>2.0101</f>
        <v>2.0101</v>
      </c>
      <c r="C1209">
        <f>1.9008</f>
        <v>1.9008</v>
      </c>
      <c r="D1209">
        <f>1.3198</f>
        <v>1.3198000000000001</v>
      </c>
      <c r="E1209">
        <f>1.5848</f>
        <v>1.5848</v>
      </c>
      <c r="F1209">
        <f>3.0582</f>
        <v>3.0581999999999998</v>
      </c>
    </row>
    <row r="1210" spans="1:6" x14ac:dyDescent="0.25">
      <c r="A1210" s="2">
        <v>43101</v>
      </c>
      <c r="B1210">
        <f>1.9834</f>
        <v>1.9834000000000001</v>
      </c>
      <c r="C1210">
        <f>1.8771</f>
        <v>1.8771</v>
      </c>
      <c r="D1210">
        <f>1.2964</f>
        <v>1.2964</v>
      </c>
      <c r="E1210">
        <f>1.5641</f>
        <v>1.5641</v>
      </c>
      <c r="F1210" t="e">
        <f>NA()</f>
        <v>#N/A</v>
      </c>
    </row>
    <row r="1211" spans="1:6" x14ac:dyDescent="0.25">
      <c r="A1211" s="2">
        <v>43098</v>
      </c>
      <c r="B1211">
        <f>1.9834</f>
        <v>1.9834000000000001</v>
      </c>
      <c r="C1211">
        <f>1.8771</f>
        <v>1.8771</v>
      </c>
      <c r="D1211">
        <f>1.2964</f>
        <v>1.2964</v>
      </c>
      <c r="E1211">
        <f>1.5641</f>
        <v>1.5641</v>
      </c>
      <c r="F1211">
        <f>3.0284</f>
        <v>3.0284</v>
      </c>
    </row>
    <row r="1212" spans="1:6" x14ac:dyDescent="0.25">
      <c r="A1212" s="2">
        <v>43097</v>
      </c>
      <c r="B1212">
        <f>1.9726</f>
        <v>1.9725999999999999</v>
      </c>
      <c r="C1212">
        <f>1.8539</f>
        <v>1.8539000000000001</v>
      </c>
      <c r="D1212">
        <f>1.2965</f>
        <v>1.2965</v>
      </c>
      <c r="E1212">
        <f>1.5123</f>
        <v>1.5123</v>
      </c>
      <c r="F1212">
        <f>3.0318</f>
        <v>3.0318000000000001</v>
      </c>
    </row>
    <row r="1213" spans="1:6" x14ac:dyDescent="0.25">
      <c r="A1213" s="2">
        <v>43096</v>
      </c>
      <c r="B1213">
        <f>1.953</f>
        <v>1.9530000000000001</v>
      </c>
      <c r="C1213">
        <f>1.8403</f>
        <v>1.8403</v>
      </c>
      <c r="D1213">
        <f>1.3002</f>
        <v>1.3002</v>
      </c>
      <c r="E1213">
        <f>1.4877</f>
        <v>1.4877</v>
      </c>
      <c r="F1213">
        <f>3.0325</f>
        <v>3.0325000000000002</v>
      </c>
    </row>
    <row r="1214" spans="1:6" x14ac:dyDescent="0.25">
      <c r="A1214" s="2">
        <v>43095</v>
      </c>
      <c r="B1214">
        <f>1.9531</f>
        <v>1.9531000000000001</v>
      </c>
      <c r="C1214">
        <f>1.8418</f>
        <v>1.8418000000000001</v>
      </c>
      <c r="D1214">
        <f>1.2864</f>
        <v>1.2864</v>
      </c>
      <c r="E1214">
        <f>1.473</f>
        <v>1.4730000000000001</v>
      </c>
      <c r="F1214" t="e">
        <f>NA()</f>
        <v>#N/A</v>
      </c>
    </row>
    <row r="1215" spans="1:6" x14ac:dyDescent="0.25">
      <c r="A1215" s="2">
        <v>43094</v>
      </c>
      <c r="B1215">
        <f>1.9514</f>
        <v>1.9514</v>
      </c>
      <c r="C1215">
        <f>1.841</f>
        <v>1.841</v>
      </c>
      <c r="D1215">
        <f>1.2864</f>
        <v>1.2864</v>
      </c>
      <c r="E1215">
        <f>1.4548</f>
        <v>1.4548000000000001</v>
      </c>
      <c r="F1215" t="e">
        <f>NA()</f>
        <v>#N/A</v>
      </c>
    </row>
    <row r="1216" spans="1:6" x14ac:dyDescent="0.25">
      <c r="A1216" s="2">
        <v>43091</v>
      </c>
      <c r="B1216">
        <f>1.9514</f>
        <v>1.9514</v>
      </c>
      <c r="C1216">
        <f>1.8401</f>
        <v>1.8401000000000001</v>
      </c>
      <c r="D1216">
        <f>1.2864</f>
        <v>1.2864</v>
      </c>
      <c r="E1216">
        <f>1.4548</f>
        <v>1.4548000000000001</v>
      </c>
      <c r="F1216">
        <f>3.0449</f>
        <v>3.0449000000000002</v>
      </c>
    </row>
    <row r="1217" spans="1:6" x14ac:dyDescent="0.25">
      <c r="A1217" s="2">
        <v>43090</v>
      </c>
      <c r="B1217">
        <f>1.9474</f>
        <v>1.9474</v>
      </c>
      <c r="C1217">
        <f>1.8407</f>
        <v>1.8407</v>
      </c>
      <c r="D1217">
        <f>1.2896</f>
        <v>1.2896000000000001</v>
      </c>
      <c r="E1217">
        <f>1.4383</f>
        <v>1.4382999999999999</v>
      </c>
      <c r="F1217">
        <f>3.0392</f>
        <v>3.0392000000000001</v>
      </c>
    </row>
    <row r="1218" spans="1:6" x14ac:dyDescent="0.25">
      <c r="A1218" s="2">
        <v>43089</v>
      </c>
      <c r="B1218">
        <f>1.9273</f>
        <v>1.9273</v>
      </c>
      <c r="C1218">
        <f>1.8109</f>
        <v>1.8109</v>
      </c>
      <c r="D1218">
        <f>1.2957</f>
        <v>1.2957000000000001</v>
      </c>
      <c r="E1218">
        <f>1.3992</f>
        <v>1.3992</v>
      </c>
      <c r="F1218">
        <f>3.0131</f>
        <v>3.0131000000000001</v>
      </c>
    </row>
    <row r="1219" spans="1:6" x14ac:dyDescent="0.25">
      <c r="A1219" s="2">
        <v>43088</v>
      </c>
      <c r="B1219">
        <f>1.9315</f>
        <v>1.9315</v>
      </c>
      <c r="C1219">
        <f>1.8067</f>
        <v>1.8067</v>
      </c>
      <c r="D1219">
        <f>1.2982</f>
        <v>1.2982</v>
      </c>
      <c r="E1219">
        <f>1.3874</f>
        <v>1.3874</v>
      </c>
      <c r="F1219">
        <f>2.9804</f>
        <v>2.9803999999999999</v>
      </c>
    </row>
    <row r="1220" spans="1:6" x14ac:dyDescent="0.25">
      <c r="A1220" s="2">
        <v>43087</v>
      </c>
      <c r="B1220">
        <f>1.9079</f>
        <v>1.9078999999999999</v>
      </c>
      <c r="C1220">
        <f>1.7848</f>
        <v>1.7847999999999999</v>
      </c>
      <c r="D1220">
        <f>1.3099</f>
        <v>1.3099000000000001</v>
      </c>
      <c r="E1220">
        <f>1.3739</f>
        <v>1.3738999999999999</v>
      </c>
      <c r="F1220">
        <f>2.9631</f>
        <v>2.9630999999999998</v>
      </c>
    </row>
    <row r="1221" spans="1:6" x14ac:dyDescent="0.25">
      <c r="A1221" s="2">
        <v>43084</v>
      </c>
      <c r="B1221">
        <f>1.8949</f>
        <v>1.8949</v>
      </c>
      <c r="C1221">
        <f>1.7715</f>
        <v>1.7715000000000001</v>
      </c>
      <c r="D1221">
        <f>1.2912</f>
        <v>1.2911999999999999</v>
      </c>
      <c r="E1221">
        <f>1.3652</f>
        <v>1.3652</v>
      </c>
      <c r="F1221">
        <f>2.966</f>
        <v>2.9660000000000002</v>
      </c>
    </row>
    <row r="1222" spans="1:6" x14ac:dyDescent="0.25">
      <c r="A1222" s="2">
        <v>43083</v>
      </c>
      <c r="B1222">
        <f>1.8913</f>
        <v>1.8913</v>
      </c>
      <c r="C1222">
        <f>1.7791</f>
        <v>1.7790999999999999</v>
      </c>
      <c r="D1222">
        <f>1.2827</f>
        <v>1.2827</v>
      </c>
      <c r="E1222">
        <f>1.3759</f>
        <v>1.3758999999999999</v>
      </c>
      <c r="F1222">
        <f>2.9578</f>
        <v>2.9578000000000002</v>
      </c>
    </row>
    <row r="1223" spans="1:6" x14ac:dyDescent="0.25">
      <c r="A1223" s="2">
        <v>43082</v>
      </c>
      <c r="B1223">
        <f>1.8916</f>
        <v>1.8915999999999999</v>
      </c>
      <c r="C1223">
        <f>1.777</f>
        <v>1.7769999999999999</v>
      </c>
      <c r="D1223">
        <f>1.289</f>
        <v>1.2889999999999999</v>
      </c>
      <c r="E1223">
        <f>1.355</f>
        <v>1.355</v>
      </c>
      <c r="F1223">
        <f>2.9533</f>
        <v>2.9533</v>
      </c>
    </row>
    <row r="1224" spans="1:6" x14ac:dyDescent="0.25">
      <c r="A1224" s="2">
        <v>43081</v>
      </c>
      <c r="B1224">
        <f>1.9201</f>
        <v>1.9200999999999999</v>
      </c>
      <c r="C1224">
        <f>1.8231</f>
        <v>1.8230999999999999</v>
      </c>
      <c r="D1224">
        <f>1.2817</f>
        <v>1.2817000000000001</v>
      </c>
      <c r="E1224">
        <f>1.431</f>
        <v>1.431</v>
      </c>
      <c r="F1224">
        <f>2.9851</f>
        <v>2.9851000000000001</v>
      </c>
    </row>
    <row r="1225" spans="1:6" x14ac:dyDescent="0.25">
      <c r="A1225" s="2">
        <v>43080</v>
      </c>
      <c r="B1225">
        <f>1.8955</f>
        <v>1.8955</v>
      </c>
      <c r="C1225">
        <f>1.7962</f>
        <v>1.7962</v>
      </c>
      <c r="D1225">
        <f>1.2604</f>
        <v>1.2604</v>
      </c>
      <c r="E1225">
        <f>1.409</f>
        <v>1.409</v>
      </c>
      <c r="F1225">
        <f>2.9742</f>
        <v>2.9742000000000002</v>
      </c>
    </row>
    <row r="1226" spans="1:6" x14ac:dyDescent="0.25">
      <c r="A1226" s="2">
        <v>43077</v>
      </c>
      <c r="B1226">
        <f>1.8969</f>
        <v>1.8969</v>
      </c>
      <c r="C1226">
        <f>1.7928</f>
        <v>1.7927999999999999</v>
      </c>
      <c r="D1226">
        <f>1.2598</f>
        <v>1.2598</v>
      </c>
      <c r="E1226">
        <f>1.3867</f>
        <v>1.3867</v>
      </c>
      <c r="F1226">
        <f>3.0002</f>
        <v>3.0002</v>
      </c>
    </row>
    <row r="1227" spans="1:6" x14ac:dyDescent="0.25">
      <c r="A1227" s="2">
        <v>43076</v>
      </c>
      <c r="B1227">
        <f>1.889</f>
        <v>1.889</v>
      </c>
      <c r="C1227">
        <f>1.7874</f>
        <v>1.7874000000000001</v>
      </c>
      <c r="D1227">
        <f>1.254</f>
        <v>1.254</v>
      </c>
      <c r="E1227">
        <f>1.3626</f>
        <v>1.3626</v>
      </c>
      <c r="F1227">
        <f>3.008</f>
        <v>3.008</v>
      </c>
    </row>
    <row r="1228" spans="1:6" x14ac:dyDescent="0.25">
      <c r="A1228" s="2">
        <v>43075</v>
      </c>
      <c r="B1228">
        <f>1.8763</f>
        <v>1.8763000000000001</v>
      </c>
      <c r="C1228">
        <f>1.7644</f>
        <v>1.7644</v>
      </c>
      <c r="D1228">
        <f>1.2617</f>
        <v>1.2617</v>
      </c>
      <c r="E1228">
        <f>1.3557</f>
        <v>1.3556999999999999</v>
      </c>
      <c r="F1228">
        <f>2.9842</f>
        <v>2.9842</v>
      </c>
    </row>
    <row r="1229" spans="1:6" x14ac:dyDescent="0.25">
      <c r="A1229" s="2">
        <v>43074</v>
      </c>
      <c r="B1229">
        <f>1.8866</f>
        <v>1.8866000000000001</v>
      </c>
      <c r="C1229">
        <f>1.7759</f>
        <v>1.7759</v>
      </c>
      <c r="D1229">
        <f>1.2558</f>
        <v>1.2558</v>
      </c>
      <c r="E1229">
        <f>1.3808</f>
        <v>1.3808</v>
      </c>
      <c r="F1229">
        <f>2.9733</f>
        <v>2.9733000000000001</v>
      </c>
    </row>
    <row r="1230" spans="1:6" x14ac:dyDescent="0.25">
      <c r="A1230" s="2">
        <v>43073</v>
      </c>
      <c r="B1230">
        <f>1.8988</f>
        <v>1.8988</v>
      </c>
      <c r="C1230">
        <f>1.7776</f>
        <v>1.7776000000000001</v>
      </c>
      <c r="D1230">
        <f>1.2515</f>
        <v>1.2515000000000001</v>
      </c>
      <c r="E1230">
        <f>1.3591</f>
        <v>1.3591</v>
      </c>
      <c r="F1230">
        <f>2.9475</f>
        <v>2.9474999999999998</v>
      </c>
    </row>
    <row r="1231" spans="1:6" x14ac:dyDescent="0.25">
      <c r="A1231" s="2">
        <v>43070</v>
      </c>
      <c r="B1231">
        <f>1.8851</f>
        <v>1.8851</v>
      </c>
      <c r="C1231">
        <f>1.7774</f>
        <v>1.7774000000000001</v>
      </c>
      <c r="D1231">
        <f>1.2451</f>
        <v>1.2451000000000001</v>
      </c>
      <c r="E1231">
        <f>1.3689</f>
        <v>1.3689</v>
      </c>
      <c r="F1231">
        <f>2.9473</f>
        <v>2.9472999999999998</v>
      </c>
    </row>
    <row r="1232" spans="1:6" x14ac:dyDescent="0.25">
      <c r="A1232" s="2">
        <v>43069</v>
      </c>
      <c r="B1232">
        <f>1.8827</f>
        <v>1.8827</v>
      </c>
      <c r="C1232">
        <f>1.7745</f>
        <v>1.7745</v>
      </c>
      <c r="D1232">
        <f>1.2497</f>
        <v>1.2497</v>
      </c>
      <c r="E1232">
        <f>1.3195</f>
        <v>1.3194999999999999</v>
      </c>
      <c r="F1232">
        <f>2.9702</f>
        <v>2.9702000000000002</v>
      </c>
    </row>
    <row r="1233" spans="1:6" x14ac:dyDescent="0.25">
      <c r="A1233" s="2">
        <v>43068</v>
      </c>
      <c r="B1233">
        <f>1.8662</f>
        <v>1.8662000000000001</v>
      </c>
      <c r="C1233">
        <f>1.7652</f>
        <v>1.7652000000000001</v>
      </c>
      <c r="D1233">
        <f>1.2446</f>
        <v>1.2445999999999999</v>
      </c>
      <c r="E1233">
        <f>1.3052</f>
        <v>1.3051999999999999</v>
      </c>
      <c r="F1233">
        <f>3.0093</f>
        <v>3.0093000000000001</v>
      </c>
    </row>
    <row r="1234" spans="1:6" x14ac:dyDescent="0.25">
      <c r="A1234" s="2">
        <v>43067</v>
      </c>
      <c r="B1234">
        <f>1.8599</f>
        <v>1.8599000000000001</v>
      </c>
      <c r="C1234">
        <f>1.7665</f>
        <v>1.7665</v>
      </c>
      <c r="D1234">
        <f>1.2275</f>
        <v>1.2275</v>
      </c>
      <c r="E1234">
        <f>1.3309</f>
        <v>1.3309</v>
      </c>
      <c r="F1234">
        <f>3.0073</f>
        <v>3.0072999999999999</v>
      </c>
    </row>
    <row r="1235" spans="1:6" x14ac:dyDescent="0.25">
      <c r="A1235" s="2">
        <v>43066</v>
      </c>
      <c r="B1235">
        <f>1.8628</f>
        <v>1.8628</v>
      </c>
      <c r="C1235">
        <f>1.7771</f>
        <v>1.7770999999999999</v>
      </c>
      <c r="D1235">
        <f>1.228</f>
        <v>1.228</v>
      </c>
      <c r="E1235">
        <f>1.3737</f>
        <v>1.3736999999999999</v>
      </c>
      <c r="F1235">
        <f>3.0059</f>
        <v>3.0059</v>
      </c>
    </row>
    <row r="1236" spans="1:6" x14ac:dyDescent="0.25">
      <c r="A1236" s="2">
        <v>43063</v>
      </c>
      <c r="B1236">
        <f>1.8683</f>
        <v>1.8683000000000001</v>
      </c>
      <c r="C1236">
        <f>1.7893</f>
        <v>1.7892999999999999</v>
      </c>
      <c r="D1236">
        <f>1.2267</f>
        <v>1.2266999999999999</v>
      </c>
      <c r="E1236">
        <f>1.4294</f>
        <v>1.4294</v>
      </c>
      <c r="F1236">
        <f>2.995</f>
        <v>2.9950000000000001</v>
      </c>
    </row>
    <row r="1237" spans="1:6" x14ac:dyDescent="0.25">
      <c r="A1237" s="2">
        <v>43062</v>
      </c>
      <c r="B1237">
        <f>1.8719</f>
        <v>1.8718999999999999</v>
      </c>
      <c r="C1237">
        <f>1.7922</f>
        <v>1.7922</v>
      </c>
      <c r="D1237">
        <f>1.2233</f>
        <v>1.2233000000000001</v>
      </c>
      <c r="E1237">
        <f>1.4322</f>
        <v>1.4321999999999999</v>
      </c>
      <c r="F1237">
        <f>2.9936</f>
        <v>2.9935999999999998</v>
      </c>
    </row>
    <row r="1238" spans="1:6" x14ac:dyDescent="0.25">
      <c r="A1238" s="2">
        <v>43061</v>
      </c>
      <c r="B1238">
        <f>1.8719</f>
        <v>1.8718999999999999</v>
      </c>
      <c r="C1238">
        <f>1.7922</f>
        <v>1.7922</v>
      </c>
      <c r="D1238">
        <f>1.2204</f>
        <v>1.2203999999999999</v>
      </c>
      <c r="E1238">
        <f>1.4322</f>
        <v>1.4321999999999999</v>
      </c>
      <c r="F1238">
        <f>2.9991</f>
        <v>2.9990999999999999</v>
      </c>
    </row>
    <row r="1239" spans="1:6" x14ac:dyDescent="0.25">
      <c r="A1239" s="2">
        <v>43060</v>
      </c>
      <c r="B1239">
        <f>1.873</f>
        <v>1.873</v>
      </c>
      <c r="C1239">
        <f>1.7923</f>
        <v>1.7923</v>
      </c>
      <c r="D1239">
        <f>1.2252</f>
        <v>1.2252000000000001</v>
      </c>
      <c r="E1239">
        <f>1.436</f>
        <v>1.4359999999999999</v>
      </c>
      <c r="F1239">
        <f>3.0074</f>
        <v>3.0074000000000001</v>
      </c>
    </row>
    <row r="1240" spans="1:6" x14ac:dyDescent="0.25">
      <c r="A1240" s="2">
        <v>43059</v>
      </c>
      <c r="B1240">
        <f>1.8798</f>
        <v>1.8797999999999999</v>
      </c>
      <c r="C1240">
        <f>1.8026</f>
        <v>1.8026</v>
      </c>
      <c r="D1240">
        <f>1.2304</f>
        <v>1.2303999999999999</v>
      </c>
      <c r="E1240">
        <f>1.4568</f>
        <v>1.4568000000000001</v>
      </c>
      <c r="F1240">
        <f>3.0086</f>
        <v>3.0085999999999999</v>
      </c>
    </row>
    <row r="1241" spans="1:6" x14ac:dyDescent="0.25">
      <c r="A1241" s="2">
        <v>43056</v>
      </c>
      <c r="B1241">
        <f>1.8858</f>
        <v>1.8857999999999999</v>
      </c>
      <c r="C1241">
        <f>1.8138</f>
        <v>1.8138000000000001</v>
      </c>
      <c r="D1241">
        <f>1.2347</f>
        <v>1.2346999999999999</v>
      </c>
      <c r="E1241">
        <f>1.4967</f>
        <v>1.4966999999999999</v>
      </c>
      <c r="F1241">
        <f>3.0065</f>
        <v>3.0065</v>
      </c>
    </row>
    <row r="1242" spans="1:6" x14ac:dyDescent="0.25">
      <c r="A1242" s="2">
        <v>43055</v>
      </c>
      <c r="B1242">
        <f>1.8966</f>
        <v>1.8966000000000001</v>
      </c>
      <c r="C1242">
        <f>1.8213</f>
        <v>1.8212999999999999</v>
      </c>
      <c r="D1242">
        <f>1.241</f>
        <v>1.2410000000000001</v>
      </c>
      <c r="E1242">
        <f>1.52</f>
        <v>1.52</v>
      </c>
      <c r="F1242">
        <f>2.9947</f>
        <v>2.9946999999999999</v>
      </c>
    </row>
    <row r="1243" spans="1:6" x14ac:dyDescent="0.25">
      <c r="A1243" s="2">
        <v>43054</v>
      </c>
      <c r="B1243">
        <f>1.8829</f>
        <v>1.8829</v>
      </c>
      <c r="C1243">
        <f>1.8181</f>
        <v>1.8181</v>
      </c>
      <c r="D1243">
        <f>1.2428</f>
        <v>1.2427999999999999</v>
      </c>
      <c r="E1243">
        <f>1.5374</f>
        <v>1.5374000000000001</v>
      </c>
      <c r="F1243">
        <f>3.0022</f>
        <v>3.0022000000000002</v>
      </c>
    </row>
    <row r="1244" spans="1:6" x14ac:dyDescent="0.25">
      <c r="A1244" s="2">
        <v>43053</v>
      </c>
      <c r="B1244">
        <f>1.8961</f>
        <v>1.8960999999999999</v>
      </c>
      <c r="C1244">
        <f>1.8136</f>
        <v>1.8136000000000001</v>
      </c>
      <c r="D1244">
        <f>1.257</f>
        <v>1.2569999999999999</v>
      </c>
      <c r="E1244">
        <f>1.5206</f>
        <v>1.5206</v>
      </c>
      <c r="F1244">
        <f>3.0115</f>
        <v>3.0114999999999998</v>
      </c>
    </row>
    <row r="1245" spans="1:6" x14ac:dyDescent="0.25">
      <c r="A1245" s="2">
        <v>43052</v>
      </c>
      <c r="B1245">
        <f>1.9059</f>
        <v>1.9058999999999999</v>
      </c>
      <c r="C1245">
        <f>1.8212</f>
        <v>1.8211999999999999</v>
      </c>
      <c r="D1245">
        <f>1.2655</f>
        <v>1.2655000000000001</v>
      </c>
      <c r="E1245">
        <f>1.5438</f>
        <v>1.5438000000000001</v>
      </c>
      <c r="F1245">
        <f>3.0311</f>
        <v>3.0310999999999999</v>
      </c>
    </row>
    <row r="1246" spans="1:6" x14ac:dyDescent="0.25">
      <c r="A1246" s="2">
        <v>43049</v>
      </c>
      <c r="B1246">
        <f>1.9058</f>
        <v>1.9057999999999999</v>
      </c>
      <c r="C1246">
        <f>1.8283</f>
        <v>1.8283</v>
      </c>
      <c r="D1246">
        <f>1.2666</f>
        <v>1.2665999999999999</v>
      </c>
      <c r="E1246">
        <f>1.5708</f>
        <v>1.5708</v>
      </c>
      <c r="F1246">
        <f>3.0071</f>
        <v>3.0070999999999999</v>
      </c>
    </row>
    <row r="1247" spans="1:6" x14ac:dyDescent="0.25">
      <c r="A1247" s="2">
        <v>43048</v>
      </c>
      <c r="B1247">
        <f>1.8976</f>
        <v>1.8976</v>
      </c>
      <c r="C1247">
        <f>1.8252</f>
        <v>1.8251999999999999</v>
      </c>
      <c r="D1247">
        <f>1.258</f>
        <v>1.258</v>
      </c>
      <c r="E1247">
        <f>1.5875</f>
        <v>1.5874999999999999</v>
      </c>
      <c r="F1247">
        <f>2.9739</f>
        <v>2.9739</v>
      </c>
    </row>
    <row r="1248" spans="1:6" x14ac:dyDescent="0.25">
      <c r="A1248" s="2">
        <v>43047</v>
      </c>
      <c r="B1248">
        <f>1.8955</f>
        <v>1.8955</v>
      </c>
      <c r="C1248">
        <f>1.8287</f>
        <v>1.8287</v>
      </c>
      <c r="D1248">
        <f>1.2467</f>
        <v>1.2466999999999999</v>
      </c>
      <c r="E1248">
        <f>1.6011</f>
        <v>1.6011</v>
      </c>
      <c r="F1248">
        <f>2.9421</f>
        <v>2.9420999999999999</v>
      </c>
    </row>
    <row r="1249" spans="1:6" x14ac:dyDescent="0.25">
      <c r="A1249" s="2">
        <v>43046</v>
      </c>
      <c r="B1249">
        <f>1.8798</f>
        <v>1.8797999999999999</v>
      </c>
      <c r="C1249">
        <f>1.8216</f>
        <v>1.8216000000000001</v>
      </c>
      <c r="D1249">
        <f>1.2359</f>
        <v>1.2359</v>
      </c>
      <c r="E1249">
        <f>1.6332</f>
        <v>1.6332</v>
      </c>
      <c r="F1249">
        <f>2.9434</f>
        <v>2.9434</v>
      </c>
    </row>
    <row r="1250" spans="1:6" x14ac:dyDescent="0.25">
      <c r="A1250" s="2">
        <v>43045</v>
      </c>
      <c r="B1250">
        <f>1.875</f>
        <v>1.875</v>
      </c>
      <c r="C1250">
        <f>1.8214</f>
        <v>1.8213999999999999</v>
      </c>
      <c r="D1250">
        <f>1.214</f>
        <v>1.214</v>
      </c>
      <c r="E1250">
        <f>1.6367</f>
        <v>1.6367</v>
      </c>
      <c r="F1250">
        <f>2.9161</f>
        <v>2.9161000000000001</v>
      </c>
    </row>
    <row r="1251" spans="1:6" x14ac:dyDescent="0.25">
      <c r="A1251" s="2">
        <v>43042</v>
      </c>
      <c r="B1251">
        <f>1.8701</f>
        <v>1.8701000000000001</v>
      </c>
      <c r="C1251">
        <f>1.8057</f>
        <v>1.8057000000000001</v>
      </c>
      <c r="D1251">
        <f>1.2174</f>
        <v>1.2174</v>
      </c>
      <c r="E1251">
        <f>1.5969</f>
        <v>1.5969</v>
      </c>
      <c r="F1251">
        <f>2.9451</f>
        <v>2.9451000000000001</v>
      </c>
    </row>
    <row r="1252" spans="1:6" x14ac:dyDescent="0.25">
      <c r="A1252" s="2">
        <v>43041</v>
      </c>
      <c r="B1252">
        <f>1.8819</f>
        <v>1.8818999999999999</v>
      </c>
      <c r="C1252">
        <f>1.8156</f>
        <v>1.8156000000000001</v>
      </c>
      <c r="D1252">
        <f>1.2157</f>
        <v>1.2157</v>
      </c>
      <c r="E1252">
        <f>1.6149</f>
        <v>1.6149</v>
      </c>
      <c r="F1252">
        <f>2.9845</f>
        <v>2.9845000000000002</v>
      </c>
    </row>
    <row r="1253" spans="1:6" x14ac:dyDescent="0.25">
      <c r="A1253" s="2">
        <v>43040</v>
      </c>
      <c r="B1253">
        <f>1.8862</f>
        <v>1.8862000000000001</v>
      </c>
      <c r="C1253">
        <f>1.8188</f>
        <v>1.8188</v>
      </c>
      <c r="D1253">
        <f>1.22</f>
        <v>1.22</v>
      </c>
      <c r="E1253">
        <f>1.612</f>
        <v>1.6120000000000001</v>
      </c>
      <c r="F1253">
        <f>2.9939</f>
        <v>2.9939</v>
      </c>
    </row>
    <row r="1254" spans="1:6" x14ac:dyDescent="0.25">
      <c r="A1254" s="2">
        <v>43039</v>
      </c>
      <c r="B1254">
        <f>1.8847</f>
        <v>1.8847</v>
      </c>
      <c r="C1254">
        <f>1.8179</f>
        <v>1.8179000000000001</v>
      </c>
      <c r="D1254">
        <f>1.2205</f>
        <v>1.2204999999999999</v>
      </c>
      <c r="E1254">
        <f>1.5981</f>
        <v>1.5981000000000001</v>
      </c>
      <c r="F1254">
        <f>2.9821</f>
        <v>2.9821</v>
      </c>
    </row>
    <row r="1255" spans="1:6" x14ac:dyDescent="0.25">
      <c r="A1255" s="2">
        <v>43038</v>
      </c>
      <c r="B1255">
        <f>1.8768</f>
        <v>1.8768</v>
      </c>
      <c r="C1255">
        <f>1.8056</f>
        <v>1.8056000000000001</v>
      </c>
      <c r="D1255">
        <f>1.2243</f>
        <v>1.2242999999999999</v>
      </c>
      <c r="E1255">
        <f>1.5745</f>
        <v>1.5745</v>
      </c>
      <c r="F1255">
        <f>2.9589</f>
        <v>2.9588999999999999</v>
      </c>
    </row>
    <row r="1256" spans="1:6" x14ac:dyDescent="0.25">
      <c r="A1256" s="2">
        <v>43035</v>
      </c>
      <c r="B1256">
        <f>1.8932</f>
        <v>1.8932</v>
      </c>
      <c r="C1256">
        <f>1.8103</f>
        <v>1.8103</v>
      </c>
      <c r="D1256">
        <f>1.2305</f>
        <v>1.2304999999999999</v>
      </c>
      <c r="E1256">
        <f>1.5545</f>
        <v>1.5545</v>
      </c>
      <c r="F1256">
        <f>2.9614</f>
        <v>2.9613999999999998</v>
      </c>
    </row>
    <row r="1257" spans="1:6" x14ac:dyDescent="0.25">
      <c r="A1257" s="2">
        <v>43034</v>
      </c>
      <c r="B1257">
        <f>1.8923</f>
        <v>1.8923000000000001</v>
      </c>
      <c r="C1257">
        <f>1.7942</f>
        <v>1.7942</v>
      </c>
      <c r="D1257">
        <f>1.2301</f>
        <v>1.2301</v>
      </c>
      <c r="E1257">
        <f>1.516</f>
        <v>1.516</v>
      </c>
      <c r="F1257">
        <f>2.9674</f>
        <v>2.9674</v>
      </c>
    </row>
    <row r="1258" spans="1:6" x14ac:dyDescent="0.25">
      <c r="A1258" s="2">
        <v>43033</v>
      </c>
      <c r="B1258">
        <f>1.887</f>
        <v>1.887</v>
      </c>
      <c r="C1258">
        <f>1.7878</f>
        <v>1.7878000000000001</v>
      </c>
      <c r="D1258">
        <f>1.2397</f>
        <v>1.2397</v>
      </c>
      <c r="E1258">
        <f>1.5169</f>
        <v>1.5168999999999999</v>
      </c>
      <c r="F1258">
        <f>2.9795</f>
        <v>2.9794999999999998</v>
      </c>
    </row>
    <row r="1259" spans="1:6" x14ac:dyDescent="0.25">
      <c r="A1259" s="2">
        <v>43032</v>
      </c>
      <c r="B1259">
        <f>1.8734</f>
        <v>1.8734</v>
      </c>
      <c r="C1259">
        <f>1.7825</f>
        <v>1.7825</v>
      </c>
      <c r="D1259">
        <f>1.2311</f>
        <v>1.2311000000000001</v>
      </c>
      <c r="E1259">
        <f>1.497</f>
        <v>1.4970000000000001</v>
      </c>
      <c r="F1259">
        <f>2.95</f>
        <v>2.95</v>
      </c>
    </row>
    <row r="1260" spans="1:6" x14ac:dyDescent="0.25">
      <c r="A1260" s="2">
        <v>43031</v>
      </c>
      <c r="B1260">
        <f>1.8663</f>
        <v>1.8663000000000001</v>
      </c>
      <c r="C1260">
        <f>1.7731</f>
        <v>1.7730999999999999</v>
      </c>
      <c r="D1260">
        <f>1.225</f>
        <v>1.2250000000000001</v>
      </c>
      <c r="E1260">
        <f>1.5034</f>
        <v>1.5034000000000001</v>
      </c>
      <c r="F1260">
        <f>2.9484</f>
        <v>2.9483999999999999</v>
      </c>
    </row>
    <row r="1261" spans="1:6" x14ac:dyDescent="0.25">
      <c r="A1261" s="2">
        <v>43028</v>
      </c>
      <c r="B1261">
        <f>1.8723</f>
        <v>1.8723000000000001</v>
      </c>
      <c r="C1261">
        <f>1.7852</f>
        <v>1.7851999999999999</v>
      </c>
      <c r="D1261">
        <f>1.2155</f>
        <v>1.2155</v>
      </c>
      <c r="E1261">
        <f>1.4917</f>
        <v>1.4917</v>
      </c>
      <c r="F1261">
        <f>2.9407</f>
        <v>2.9407000000000001</v>
      </c>
    </row>
    <row r="1262" spans="1:6" x14ac:dyDescent="0.25">
      <c r="A1262" s="2">
        <v>43027</v>
      </c>
      <c r="B1262">
        <f>1.8636</f>
        <v>1.8635999999999999</v>
      </c>
      <c r="C1262">
        <f>1.7743</f>
        <v>1.7743</v>
      </c>
      <c r="D1262">
        <f>1.205</f>
        <v>1.2050000000000001</v>
      </c>
      <c r="E1262">
        <f>1.4948</f>
        <v>1.4947999999999999</v>
      </c>
      <c r="F1262">
        <f>2.9376</f>
        <v>2.9376000000000002</v>
      </c>
    </row>
    <row r="1263" spans="1:6" x14ac:dyDescent="0.25">
      <c r="A1263" s="2">
        <v>43026</v>
      </c>
      <c r="B1263">
        <f>1.8519</f>
        <v>1.8519000000000001</v>
      </c>
      <c r="C1263">
        <f>1.7528</f>
        <v>1.7527999999999999</v>
      </c>
      <c r="D1263">
        <f>1.2166</f>
        <v>1.2165999999999999</v>
      </c>
      <c r="E1263">
        <f>1.4824</f>
        <v>1.4823999999999999</v>
      </c>
      <c r="F1263">
        <f>2.9538</f>
        <v>2.9538000000000002</v>
      </c>
    </row>
    <row r="1264" spans="1:6" x14ac:dyDescent="0.25">
      <c r="A1264" s="2">
        <v>43025</v>
      </c>
      <c r="B1264">
        <f>1.8379</f>
        <v>1.8379000000000001</v>
      </c>
      <c r="C1264">
        <f>1.7387</f>
        <v>1.7386999999999999</v>
      </c>
      <c r="D1264">
        <f>1.2209</f>
        <v>1.2209000000000001</v>
      </c>
      <c r="E1264">
        <f>1.4847</f>
        <v>1.4846999999999999</v>
      </c>
      <c r="F1264">
        <f>2.9743</f>
        <v>2.9742999999999999</v>
      </c>
    </row>
    <row r="1265" spans="1:6" x14ac:dyDescent="0.25">
      <c r="A1265" s="2">
        <v>43024</v>
      </c>
      <c r="B1265">
        <f>1.846</f>
        <v>1.8460000000000001</v>
      </c>
      <c r="C1265">
        <f>1.7498</f>
        <v>1.7498</v>
      </c>
      <c r="D1265">
        <f>1.2296</f>
        <v>1.2296</v>
      </c>
      <c r="E1265">
        <f>1.5041</f>
        <v>1.5041</v>
      </c>
      <c r="F1265">
        <f>2.9861</f>
        <v>2.9861</v>
      </c>
    </row>
    <row r="1266" spans="1:6" x14ac:dyDescent="0.25">
      <c r="A1266" s="2">
        <v>43021</v>
      </c>
      <c r="B1266">
        <f>1.8567</f>
        <v>1.8567</v>
      </c>
      <c r="C1266">
        <f>1.7682</f>
        <v>1.7682</v>
      </c>
      <c r="D1266">
        <f>1.2235</f>
        <v>1.2235</v>
      </c>
      <c r="E1266">
        <f>1.5513</f>
        <v>1.5512999999999999</v>
      </c>
      <c r="F1266">
        <f>2.9758</f>
        <v>2.9758</v>
      </c>
    </row>
    <row r="1267" spans="1:6" x14ac:dyDescent="0.25">
      <c r="A1267" s="2">
        <v>43020</v>
      </c>
      <c r="B1267">
        <f>1.8945</f>
        <v>1.8945000000000001</v>
      </c>
      <c r="C1267">
        <f>1.8164</f>
        <v>1.8164</v>
      </c>
      <c r="D1267">
        <f>1.2307</f>
        <v>1.2306999999999999</v>
      </c>
      <c r="E1267">
        <f>1.6107</f>
        <v>1.6107</v>
      </c>
      <c r="F1267">
        <f>2.9606</f>
        <v>2.9605999999999999</v>
      </c>
    </row>
    <row r="1268" spans="1:6" x14ac:dyDescent="0.25">
      <c r="A1268" s="2">
        <v>43019</v>
      </c>
      <c r="B1268">
        <f>1.8884</f>
        <v>1.8884000000000001</v>
      </c>
      <c r="C1268">
        <f>1.8162</f>
        <v>1.8162</v>
      </c>
      <c r="D1268">
        <f>1.2385</f>
        <v>1.2384999999999999</v>
      </c>
      <c r="E1268">
        <f>1.6028</f>
        <v>1.6028</v>
      </c>
      <c r="F1268">
        <f>3.007</f>
        <v>3.0070000000000001</v>
      </c>
    </row>
    <row r="1269" spans="1:6" x14ac:dyDescent="0.25">
      <c r="A1269" s="2">
        <v>43018</v>
      </c>
      <c r="B1269">
        <f>1.8837</f>
        <v>1.8836999999999999</v>
      </c>
      <c r="C1269">
        <f>1.8118</f>
        <v>1.8118000000000001</v>
      </c>
      <c r="D1269">
        <f>1.2297</f>
        <v>1.2297</v>
      </c>
      <c r="E1269">
        <f>1.5805</f>
        <v>1.5805</v>
      </c>
      <c r="F1269">
        <f>2.9891</f>
        <v>2.9891000000000001</v>
      </c>
    </row>
    <row r="1270" spans="1:6" x14ac:dyDescent="0.25">
      <c r="A1270" s="2">
        <v>43017</v>
      </c>
      <c r="B1270">
        <f>1.874</f>
        <v>1.8740000000000001</v>
      </c>
      <c r="C1270">
        <f>1.8029</f>
        <v>1.8028999999999999</v>
      </c>
      <c r="D1270">
        <f>1.2282</f>
        <v>1.2282</v>
      </c>
      <c r="E1270">
        <f>1.5686</f>
        <v>1.5686</v>
      </c>
      <c r="F1270">
        <f>2.9548</f>
        <v>2.9548000000000001</v>
      </c>
    </row>
    <row r="1271" spans="1:6" x14ac:dyDescent="0.25">
      <c r="A1271" s="2">
        <v>43014</v>
      </c>
      <c r="B1271">
        <f>1.874</f>
        <v>1.8740000000000001</v>
      </c>
      <c r="C1271">
        <f>1.8029</f>
        <v>1.8028999999999999</v>
      </c>
      <c r="D1271">
        <f>1.2349</f>
        <v>1.2349000000000001</v>
      </c>
      <c r="E1271">
        <f>1.5686</f>
        <v>1.5686</v>
      </c>
      <c r="F1271">
        <f>2.9875</f>
        <v>2.9874999999999998</v>
      </c>
    </row>
    <row r="1272" spans="1:6" x14ac:dyDescent="0.25">
      <c r="A1272" s="2">
        <v>43013</v>
      </c>
      <c r="B1272">
        <f>1.8691</f>
        <v>1.8691</v>
      </c>
      <c r="C1272">
        <f>1.7945</f>
        <v>1.7945</v>
      </c>
      <c r="D1272">
        <f>1.2333</f>
        <v>1.2333000000000001</v>
      </c>
      <c r="E1272">
        <f>1.5765</f>
        <v>1.5765</v>
      </c>
      <c r="F1272">
        <f>2.9723</f>
        <v>2.9723000000000002</v>
      </c>
    </row>
    <row r="1273" spans="1:6" x14ac:dyDescent="0.25">
      <c r="A1273" s="2">
        <v>43012</v>
      </c>
      <c r="B1273">
        <f>1.8591</f>
        <v>1.8591</v>
      </c>
      <c r="C1273">
        <f>1.7806</f>
        <v>1.7806</v>
      </c>
      <c r="D1273">
        <f>1.2247</f>
        <v>1.2246999999999999</v>
      </c>
      <c r="E1273">
        <f>1.558</f>
        <v>1.5580000000000001</v>
      </c>
      <c r="F1273">
        <f>2.9597</f>
        <v>2.9597000000000002</v>
      </c>
    </row>
    <row r="1274" spans="1:6" x14ac:dyDescent="0.25">
      <c r="A1274" s="2">
        <v>43011</v>
      </c>
      <c r="B1274">
        <f>1.8506</f>
        <v>1.8506</v>
      </c>
      <c r="C1274">
        <f>1.765</f>
        <v>1.7649999999999999</v>
      </c>
      <c r="D1274">
        <f>1.2285</f>
        <v>1.2284999999999999</v>
      </c>
      <c r="E1274">
        <f>1.5477</f>
        <v>1.5477000000000001</v>
      </c>
      <c r="F1274">
        <f>2.9369</f>
        <v>2.9369000000000001</v>
      </c>
    </row>
    <row r="1275" spans="1:6" x14ac:dyDescent="0.25">
      <c r="A1275" s="2">
        <v>43010</v>
      </c>
      <c r="B1275">
        <f>1.8446</f>
        <v>1.8446</v>
      </c>
      <c r="C1275">
        <f>1.7605</f>
        <v>1.7605</v>
      </c>
      <c r="D1275">
        <f>1.2297</f>
        <v>1.2297</v>
      </c>
      <c r="E1275">
        <f>1.5389</f>
        <v>1.5388999999999999</v>
      </c>
      <c r="F1275">
        <f>2.9323</f>
        <v>2.9323000000000001</v>
      </c>
    </row>
    <row r="1276" spans="1:6" x14ac:dyDescent="0.25">
      <c r="A1276" s="2">
        <v>43007</v>
      </c>
      <c r="B1276">
        <f>1.8543</f>
        <v>1.8543000000000001</v>
      </c>
      <c r="C1276">
        <f>1.7769</f>
        <v>1.7768999999999999</v>
      </c>
      <c r="D1276">
        <f>1.2309</f>
        <v>1.2309000000000001</v>
      </c>
      <c r="E1276">
        <f>1.5642</f>
        <v>1.5642</v>
      </c>
      <c r="F1276">
        <f>2.9303</f>
        <v>2.9302999999999999</v>
      </c>
    </row>
    <row r="1277" spans="1:6" x14ac:dyDescent="0.25">
      <c r="A1277" s="2">
        <v>43006</v>
      </c>
      <c r="B1277">
        <f>1.879</f>
        <v>1.879</v>
      </c>
      <c r="C1277">
        <f>1.8001</f>
        <v>1.8001</v>
      </c>
      <c r="D1277">
        <f>1.2353</f>
        <v>1.2353000000000001</v>
      </c>
      <c r="E1277">
        <f>1.5869</f>
        <v>1.5869</v>
      </c>
      <c r="F1277">
        <f>2.9423</f>
        <v>2.9422999999999999</v>
      </c>
    </row>
    <row r="1278" spans="1:6" x14ac:dyDescent="0.25">
      <c r="A1278" s="2">
        <v>43005</v>
      </c>
      <c r="B1278">
        <f>1.8726</f>
        <v>1.8726</v>
      </c>
      <c r="C1278">
        <f>1.8052</f>
        <v>1.8051999999999999</v>
      </c>
      <c r="D1278">
        <f>1.2267</f>
        <v>1.2266999999999999</v>
      </c>
      <c r="E1278">
        <f>1.5972</f>
        <v>1.5972</v>
      </c>
      <c r="F1278">
        <f>2.9279</f>
        <v>2.9279000000000002</v>
      </c>
    </row>
    <row r="1279" spans="1:6" x14ac:dyDescent="0.25">
      <c r="A1279" s="2">
        <v>43004</v>
      </c>
      <c r="B1279">
        <f>1.8465</f>
        <v>1.8465</v>
      </c>
      <c r="C1279">
        <f>1.7821</f>
        <v>1.7821</v>
      </c>
      <c r="D1279">
        <f>1.2068</f>
        <v>1.2068000000000001</v>
      </c>
      <c r="E1279">
        <f>1.5714</f>
        <v>1.5713999999999999</v>
      </c>
      <c r="F1279">
        <f>2.9247</f>
        <v>2.9247000000000001</v>
      </c>
    </row>
    <row r="1280" spans="1:6" x14ac:dyDescent="0.25">
      <c r="A1280" s="2">
        <v>43003</v>
      </c>
      <c r="B1280">
        <f>1.8449</f>
        <v>1.8449</v>
      </c>
      <c r="C1280">
        <f>1.7779</f>
        <v>1.7779</v>
      </c>
      <c r="D1280">
        <f>1.1956</f>
        <v>1.1956</v>
      </c>
      <c r="E1280">
        <f>1.571</f>
        <v>1.571</v>
      </c>
      <c r="F1280">
        <f>2.9284</f>
        <v>2.9283999999999999</v>
      </c>
    </row>
    <row r="1281" spans="1:6" x14ac:dyDescent="0.25">
      <c r="A1281" s="2">
        <v>43000</v>
      </c>
      <c r="B1281">
        <f>1.8526</f>
        <v>1.8526</v>
      </c>
      <c r="C1281">
        <f>1.7694</f>
        <v>1.7694000000000001</v>
      </c>
      <c r="D1281">
        <f>1.1964</f>
        <v>1.1963999999999999</v>
      </c>
      <c r="E1281">
        <f>1.536</f>
        <v>1.536</v>
      </c>
      <c r="F1281">
        <f>2.9125</f>
        <v>2.9125000000000001</v>
      </c>
    </row>
    <row r="1282" spans="1:6" x14ac:dyDescent="0.25">
      <c r="A1282" s="2">
        <v>42999</v>
      </c>
      <c r="B1282">
        <f>1.8384</f>
        <v>1.8384</v>
      </c>
      <c r="C1282">
        <f>1.7522</f>
        <v>1.7522</v>
      </c>
      <c r="D1282">
        <f>1.1912</f>
        <v>1.1912</v>
      </c>
      <c r="E1282">
        <f>1.5009</f>
        <v>1.5008999999999999</v>
      </c>
      <c r="F1282">
        <f>2.901</f>
        <v>2.9009999999999998</v>
      </c>
    </row>
    <row r="1283" spans="1:6" x14ac:dyDescent="0.25">
      <c r="A1283" s="2">
        <v>42998</v>
      </c>
      <c r="B1283">
        <f>1.8536</f>
        <v>1.8535999999999999</v>
      </c>
      <c r="C1283">
        <f>1.7655</f>
        <v>1.7655000000000001</v>
      </c>
      <c r="D1283">
        <f>1.1866</f>
        <v>1.1866000000000001</v>
      </c>
      <c r="E1283">
        <f>1.5208</f>
        <v>1.5207999999999999</v>
      </c>
      <c r="F1283">
        <f>2.8918</f>
        <v>2.8917999999999999</v>
      </c>
    </row>
    <row r="1284" spans="1:6" x14ac:dyDescent="0.25">
      <c r="A1284" s="2">
        <v>42997</v>
      </c>
      <c r="B1284">
        <f>1.8782</f>
        <v>1.8782000000000001</v>
      </c>
      <c r="C1284">
        <f>1.7854</f>
        <v>1.7854000000000001</v>
      </c>
      <c r="D1284">
        <f>1.1782</f>
        <v>1.1781999999999999</v>
      </c>
      <c r="E1284">
        <f>1.5359</f>
        <v>1.5359</v>
      </c>
      <c r="F1284">
        <f>2.8779</f>
        <v>2.8778999999999999</v>
      </c>
    </row>
    <row r="1285" spans="1:6" x14ac:dyDescent="0.25">
      <c r="A1285" s="2">
        <v>42996</v>
      </c>
      <c r="B1285">
        <f>1.8781</f>
        <v>1.8781000000000001</v>
      </c>
      <c r="C1285">
        <f>1.7885</f>
        <v>1.7885</v>
      </c>
      <c r="D1285">
        <f>1.1753</f>
        <v>1.1753</v>
      </c>
      <c r="E1285">
        <f>1.5332</f>
        <v>1.5331999999999999</v>
      </c>
      <c r="F1285">
        <f>2.8472</f>
        <v>2.8472</v>
      </c>
    </row>
    <row r="1286" spans="1:6" x14ac:dyDescent="0.25">
      <c r="A1286" s="2">
        <v>42993</v>
      </c>
      <c r="B1286">
        <f>1.8605</f>
        <v>1.8605</v>
      </c>
      <c r="C1286">
        <f>1.7682</f>
        <v>1.7682</v>
      </c>
      <c r="D1286">
        <f>1.1751</f>
        <v>1.1751</v>
      </c>
      <c r="E1286">
        <f>1.5106</f>
        <v>1.5105999999999999</v>
      </c>
      <c r="F1286">
        <f>2.8685</f>
        <v>2.8685</v>
      </c>
    </row>
    <row r="1287" spans="1:6" x14ac:dyDescent="0.25">
      <c r="A1287" s="2">
        <v>42992</v>
      </c>
      <c r="B1287">
        <f>1.8555</f>
        <v>1.8554999999999999</v>
      </c>
      <c r="C1287">
        <f>1.7586</f>
        <v>1.7585999999999999</v>
      </c>
      <c r="D1287">
        <f>1.172</f>
        <v>1.1719999999999999</v>
      </c>
      <c r="E1287">
        <f>1.4841</f>
        <v>1.4841</v>
      </c>
      <c r="F1287">
        <f>2.9014</f>
        <v>2.9014000000000002</v>
      </c>
    </row>
    <row r="1288" spans="1:6" x14ac:dyDescent="0.25">
      <c r="A1288" s="2">
        <v>42991</v>
      </c>
      <c r="B1288">
        <f>1.8497</f>
        <v>1.8496999999999999</v>
      </c>
      <c r="C1288">
        <f>1.7421</f>
        <v>1.7421</v>
      </c>
      <c r="D1288">
        <f>1.1794</f>
        <v>1.1794</v>
      </c>
      <c r="E1288">
        <f>1.4347</f>
        <v>1.4347000000000001</v>
      </c>
      <c r="F1288">
        <f>2.8936</f>
        <v>2.8936000000000002</v>
      </c>
    </row>
    <row r="1289" spans="1:6" x14ac:dyDescent="0.25">
      <c r="A1289" s="2">
        <v>42990</v>
      </c>
      <c r="B1289">
        <f>1.8452</f>
        <v>1.8452</v>
      </c>
      <c r="C1289">
        <f>1.732</f>
        <v>1.732</v>
      </c>
      <c r="D1289">
        <f>1.1688</f>
        <v>1.1688000000000001</v>
      </c>
      <c r="E1289">
        <f>1.4175</f>
        <v>1.4175</v>
      </c>
      <c r="F1289">
        <f>2.8818</f>
        <v>2.8818000000000001</v>
      </c>
    </row>
    <row r="1290" spans="1:6" x14ac:dyDescent="0.25">
      <c r="A1290" s="2">
        <v>42989</v>
      </c>
      <c r="B1290">
        <f>1.8354</f>
        <v>1.8353999999999999</v>
      </c>
      <c r="C1290">
        <f>1.7182</f>
        <v>1.7181999999999999</v>
      </c>
      <c r="D1290">
        <f>1.1472</f>
        <v>1.1472</v>
      </c>
      <c r="E1290">
        <f>1.405</f>
        <v>1.405</v>
      </c>
      <c r="F1290">
        <f>2.8913</f>
        <v>2.8913000000000002</v>
      </c>
    </row>
    <row r="1291" spans="1:6" x14ac:dyDescent="0.25">
      <c r="A1291" s="2">
        <v>42986</v>
      </c>
      <c r="B1291">
        <f>1.8084</f>
        <v>1.8084</v>
      </c>
      <c r="C1291">
        <f>1.6955</f>
        <v>1.6955</v>
      </c>
      <c r="D1291">
        <f>1.1464</f>
        <v>1.1464000000000001</v>
      </c>
      <c r="E1291">
        <f>1.3881</f>
        <v>1.3880999999999999</v>
      </c>
      <c r="F1291">
        <f>2.8873</f>
        <v>2.8873000000000002</v>
      </c>
    </row>
    <row r="1292" spans="1:6" x14ac:dyDescent="0.25">
      <c r="A1292" s="2">
        <v>42985</v>
      </c>
      <c r="B1292">
        <f>1.7931</f>
        <v>1.7930999999999999</v>
      </c>
      <c r="C1292">
        <f>1.6751</f>
        <v>1.6751</v>
      </c>
      <c r="D1292">
        <f>1.1484</f>
        <v>1.1484000000000001</v>
      </c>
      <c r="E1292">
        <f>1.3558</f>
        <v>1.3557999999999999</v>
      </c>
      <c r="F1292">
        <f>2.8805</f>
        <v>2.8805000000000001</v>
      </c>
    </row>
    <row r="1293" spans="1:6" x14ac:dyDescent="0.25">
      <c r="A1293" s="2">
        <v>42984</v>
      </c>
      <c r="B1293">
        <f>1.7953</f>
        <v>1.7952999999999999</v>
      </c>
      <c r="C1293">
        <f>1.6753</f>
        <v>1.6753</v>
      </c>
      <c r="D1293">
        <f>1.1614</f>
        <v>1.1614</v>
      </c>
      <c r="E1293">
        <f>1.3422</f>
        <v>1.3422000000000001</v>
      </c>
      <c r="F1293">
        <f>2.8687</f>
        <v>2.8687</v>
      </c>
    </row>
    <row r="1294" spans="1:6" x14ac:dyDescent="0.25">
      <c r="A1294" s="2">
        <v>42983</v>
      </c>
      <c r="B1294">
        <f>1.7787</f>
        <v>1.7786999999999999</v>
      </c>
      <c r="C1294">
        <f>1.6521</f>
        <v>1.6520999999999999</v>
      </c>
      <c r="D1294">
        <f>1.1612</f>
        <v>1.1612</v>
      </c>
      <c r="E1294">
        <f>1.3459</f>
        <v>1.3459000000000001</v>
      </c>
      <c r="F1294">
        <f>2.8525</f>
        <v>2.8525</v>
      </c>
    </row>
    <row r="1295" spans="1:6" x14ac:dyDescent="0.25">
      <c r="A1295" s="2">
        <v>42982</v>
      </c>
      <c r="B1295">
        <f>1.794</f>
        <v>1.794</v>
      </c>
      <c r="C1295">
        <f>1.6627</f>
        <v>1.6627000000000001</v>
      </c>
      <c r="D1295">
        <f>1.1602</f>
        <v>1.1601999999999999</v>
      </c>
      <c r="E1295">
        <f>1.3338</f>
        <v>1.3338000000000001</v>
      </c>
      <c r="F1295">
        <f>2.8648</f>
        <v>2.8647999999999998</v>
      </c>
    </row>
    <row r="1296" spans="1:6" x14ac:dyDescent="0.25">
      <c r="A1296" s="2">
        <v>42979</v>
      </c>
      <c r="B1296">
        <f>1.7936</f>
        <v>1.7936000000000001</v>
      </c>
      <c r="C1296">
        <f>1.6627</f>
        <v>1.6627000000000001</v>
      </c>
      <c r="D1296">
        <f>1.1525</f>
        <v>1.1525000000000001</v>
      </c>
      <c r="E1296">
        <f>1.3338</f>
        <v>1.3338000000000001</v>
      </c>
      <c r="F1296">
        <f>2.8713</f>
        <v>2.8713000000000002</v>
      </c>
    </row>
    <row r="1297" spans="1:6" x14ac:dyDescent="0.25">
      <c r="A1297" s="2">
        <v>42978</v>
      </c>
      <c r="B1297">
        <f>1.7731</f>
        <v>1.7730999999999999</v>
      </c>
      <c r="C1297">
        <f>1.6456</f>
        <v>1.6456</v>
      </c>
      <c r="D1297">
        <f>1.1483</f>
        <v>1.1483000000000001</v>
      </c>
      <c r="E1297">
        <f>1.3271</f>
        <v>1.3270999999999999</v>
      </c>
      <c r="F1297">
        <f>2.8605</f>
        <v>2.8605</v>
      </c>
    </row>
    <row r="1298" spans="1:6" x14ac:dyDescent="0.25">
      <c r="A1298" s="2">
        <v>42977</v>
      </c>
      <c r="B1298">
        <f>1.7604</f>
        <v>1.7604</v>
      </c>
      <c r="C1298">
        <f>1.6259</f>
        <v>1.6258999999999999</v>
      </c>
      <c r="D1298">
        <f>1.1436</f>
        <v>1.1435999999999999</v>
      </c>
      <c r="E1298">
        <f>1.2853</f>
        <v>1.2853000000000001</v>
      </c>
      <c r="F1298">
        <f>2.8617</f>
        <v>2.8616999999999999</v>
      </c>
    </row>
    <row r="1299" spans="1:6" x14ac:dyDescent="0.25">
      <c r="A1299" s="2">
        <v>42976</v>
      </c>
      <c r="B1299">
        <f>1.7523</f>
        <v>1.7523</v>
      </c>
      <c r="C1299">
        <f>1.6154</f>
        <v>1.6153999999999999</v>
      </c>
      <c r="D1299">
        <f>1.136</f>
        <v>1.1359999999999999</v>
      </c>
      <c r="E1299">
        <f>1.2795</f>
        <v>1.2795000000000001</v>
      </c>
      <c r="F1299">
        <f>2.8576</f>
        <v>2.8576000000000001</v>
      </c>
    </row>
    <row r="1300" spans="1:6" x14ac:dyDescent="0.25">
      <c r="A1300" s="2">
        <v>42975</v>
      </c>
      <c r="B1300">
        <f>1.7588</f>
        <v>1.7587999999999999</v>
      </c>
      <c r="C1300">
        <f>1.6195</f>
        <v>1.6194999999999999</v>
      </c>
      <c r="D1300">
        <f>1.1282</f>
        <v>1.1282000000000001</v>
      </c>
      <c r="E1300">
        <f>1.2814</f>
        <v>1.2814000000000001</v>
      </c>
      <c r="F1300" t="e">
        <f>NA()</f>
        <v>#N/A</v>
      </c>
    </row>
    <row r="1301" spans="1:6" x14ac:dyDescent="0.25">
      <c r="A1301" s="2">
        <v>42972</v>
      </c>
      <c r="B1301">
        <f>1.755</f>
        <v>1.7549999999999999</v>
      </c>
      <c r="C1301">
        <f>1.621</f>
        <v>1.621</v>
      </c>
      <c r="D1301">
        <f>1.1388</f>
        <v>1.1388</v>
      </c>
      <c r="E1301">
        <f>1.2638</f>
        <v>1.2638</v>
      </c>
      <c r="F1301">
        <f>2.8494</f>
        <v>2.8494000000000002</v>
      </c>
    </row>
    <row r="1302" spans="1:6" x14ac:dyDescent="0.25">
      <c r="A1302" s="2">
        <v>42971</v>
      </c>
      <c r="B1302">
        <f>1.762</f>
        <v>1.762</v>
      </c>
      <c r="C1302">
        <f>1.6302</f>
        <v>1.6302000000000001</v>
      </c>
      <c r="D1302">
        <f>1.1365</f>
        <v>1.1365000000000001</v>
      </c>
      <c r="E1302">
        <f>1.2517</f>
        <v>1.2517</v>
      </c>
      <c r="F1302">
        <f>2.8331</f>
        <v>2.8331</v>
      </c>
    </row>
    <row r="1303" spans="1:6" x14ac:dyDescent="0.25">
      <c r="A1303" s="2">
        <v>42970</v>
      </c>
      <c r="B1303">
        <f>1.762</f>
        <v>1.762</v>
      </c>
      <c r="C1303">
        <f>1.6378</f>
        <v>1.6377999999999999</v>
      </c>
      <c r="D1303">
        <f>1.1377</f>
        <v>1.1376999999999999</v>
      </c>
      <c r="E1303">
        <f>1.2612</f>
        <v>1.2612000000000001</v>
      </c>
      <c r="F1303">
        <f>2.82</f>
        <v>2.82</v>
      </c>
    </row>
    <row r="1304" spans="1:6" x14ac:dyDescent="0.25">
      <c r="A1304" s="2">
        <v>42969</v>
      </c>
      <c r="B1304">
        <f>1.7744</f>
        <v>1.7744</v>
      </c>
      <c r="C1304">
        <f>1.6365</f>
        <v>1.6365000000000001</v>
      </c>
      <c r="D1304">
        <f>1.1412</f>
        <v>1.1412</v>
      </c>
      <c r="E1304">
        <f>1.2404</f>
        <v>1.2403999999999999</v>
      </c>
      <c r="F1304">
        <f>2.808</f>
        <v>2.8079999999999998</v>
      </c>
    </row>
    <row r="1305" spans="1:6" x14ac:dyDescent="0.25">
      <c r="A1305" s="2">
        <v>42968</v>
      </c>
      <c r="B1305">
        <f>1.7628</f>
        <v>1.7627999999999999</v>
      </c>
      <c r="C1305">
        <f>1.6231</f>
        <v>1.6231</v>
      </c>
      <c r="D1305">
        <f>1.1516</f>
        <v>1.1516</v>
      </c>
      <c r="E1305">
        <f>1.2405</f>
        <v>1.2404999999999999</v>
      </c>
      <c r="F1305">
        <f>2.8275</f>
        <v>2.8275000000000001</v>
      </c>
    </row>
    <row r="1306" spans="1:6" x14ac:dyDescent="0.25">
      <c r="A1306" s="2">
        <v>42965</v>
      </c>
      <c r="B1306">
        <f>1.767</f>
        <v>1.7669999999999999</v>
      </c>
      <c r="C1306">
        <f>1.6327</f>
        <v>1.6327</v>
      </c>
      <c r="D1306">
        <f>1.1509</f>
        <v>1.1509</v>
      </c>
      <c r="E1306">
        <f>1.2528</f>
        <v>1.2527999999999999</v>
      </c>
      <c r="F1306">
        <f>2.8407</f>
        <v>2.8407</v>
      </c>
    </row>
    <row r="1307" spans="1:6" x14ac:dyDescent="0.25">
      <c r="A1307" s="2">
        <v>42964</v>
      </c>
      <c r="B1307">
        <f>1.7664</f>
        <v>1.7664</v>
      </c>
      <c r="C1307">
        <f>1.6309</f>
        <v>1.6309</v>
      </c>
      <c r="D1307">
        <f>1.1445</f>
        <v>1.1445000000000001</v>
      </c>
      <c r="E1307">
        <f>1.242</f>
        <v>1.242</v>
      </c>
      <c r="F1307">
        <f>2.8507</f>
        <v>2.8506999999999998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interest rates</vt:lpstr>
      <vt:lpstr>other commodities</vt:lpstr>
      <vt:lpstr>equity asset prices</vt:lpstr>
      <vt:lpstr>currencies</vt:lpstr>
      <vt:lpstr>energy prices</vt:lpstr>
      <vt:lpstr>inflation expectations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Girand, Chris</cp:lastModifiedBy>
  <dcterms:created xsi:type="dcterms:W3CDTF">2013-04-03T15:49:21Z</dcterms:created>
  <dcterms:modified xsi:type="dcterms:W3CDTF">2022-08-17T18:28:13Z</dcterms:modified>
</cp:coreProperties>
</file>